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mments3.xml" ContentType="application/vnd.openxmlformats-officedocument.spreadsheetml.comments+xml"/>
  <Override PartName="/xl/drawings/drawing15.xml" ContentType="application/vnd.openxmlformats-officedocument.drawing+xml"/>
  <Override PartName="/xl/comments4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eria.lugo\Desktop\Cuenta publica\CEA\2019\2019\2019\1T\"/>
    </mc:Choice>
  </mc:AlternateContent>
  <xr:revisionPtr revIDLastSave="0" documentId="8_{D5EADE82-6CDE-438B-8E99-F87017B8A94A}" xr6:coauthVersionLast="47" xr6:coauthVersionMax="47" xr10:uidLastSave="{00000000-0000-0000-0000-000000000000}"/>
  <bookViews>
    <workbookView xWindow="-120" yWindow="-120" windowWidth="29040" windowHeight="15840" firstSheet="6" xr2:uid="{D5FC11AE-4B3E-426C-A739-7E377447ECC5}"/>
  </bookViews>
  <sheets>
    <sheet name="ETCA-II-01" sheetId="1" r:id="rId1"/>
    <sheet name="ETCA-II-02" sheetId="2" r:id="rId2"/>
    <sheet name="ETCA-II-03" sheetId="3" r:id="rId3"/>
    <sheet name="ETCA II-04" sheetId="4" r:id="rId4"/>
    <sheet name="ETCA-II-05" sheetId="5" r:id="rId5"/>
    <sheet name="ETCA-II-06" sheetId="6" r:id="rId6"/>
    <sheet name="ETCA-II-07" sheetId="7" r:id="rId7"/>
    <sheet name="ETCA-II-08" sheetId="8" r:id="rId8"/>
    <sheet name="ETCA-II-09" sheetId="9" r:id="rId9"/>
    <sheet name="ETCA-II-10" sheetId="10" r:id="rId10"/>
    <sheet name="ETCA-II-11" sheetId="11" r:id="rId11"/>
    <sheet name="ETCA-II-12" sheetId="12" r:id="rId12"/>
    <sheet name="ETCA-II-14" sheetId="13" r:id="rId13"/>
    <sheet name="ETCA-II-15" sheetId="14" r:id="rId14"/>
    <sheet name="ETCA -II- 13" sheetId="15" r:id="rId15"/>
    <sheet name="ETCA-II-16" sheetId="16" r:id="rId16"/>
    <sheet name="ETCA-II-17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xlnm.Print_Area" localSheetId="14">'ETCA -II- 13'!$A$1:$I$8</definedName>
    <definedName name="_xlnm.Print_Area" localSheetId="0">'ETCA-II-01'!$A$1:$H$53</definedName>
    <definedName name="_xlnm.Print_Area" localSheetId="1">'ETCA-II-02'!$A$1:$I$87</definedName>
    <definedName name="_xlnm.Print_Area" localSheetId="2">'ETCA-II-03'!$A$1:$D$35</definedName>
    <definedName name="_xlnm.Print_Area" localSheetId="4">'ETCA-II-05'!$A$1:$H$165</definedName>
    <definedName name="_xlnm.Print_Area" localSheetId="5">'ETCA-II-06'!$A$1:$G$26</definedName>
    <definedName name="_xlnm.Print_Area" localSheetId="6">'ETCA-II-07'!$A$1:$G$36</definedName>
    <definedName name="_xlnm.Print_Area" localSheetId="7">'ETCA-II-08'!$A$1:$G$41</definedName>
    <definedName name="_xlnm.Print_Area" localSheetId="8">'ETCA-II-09'!$A$1:$G$21</definedName>
    <definedName name="_xlnm.Print_Area" localSheetId="9">'ETCA-II-10'!$A$1:$G$27</definedName>
    <definedName name="_xlnm.Print_Area" localSheetId="10">'ETCA-II-11'!$A$1:$G$48</definedName>
    <definedName name="_xlnm.Print_Area" localSheetId="11">'ETCA-II-12'!$A$1:$H$86</definedName>
    <definedName name="_xlnm.Print_Area" localSheetId="12">'ETCA-II-14'!$A$1:$G$39</definedName>
    <definedName name="_xlnm.Print_Area" localSheetId="13">'ETCA-II-15'!$A$1:$C$47</definedName>
    <definedName name="_xlnm.Print_Area" localSheetId="15">'ETCA-II-16'!$A$1:$E$37</definedName>
    <definedName name="_xlnm.Print_Area" localSheetId="16">'ETCA-II-17'!$A$1:$D$38</definedName>
    <definedName name="_xlnm.Database" localSheetId="14">#REF!</definedName>
    <definedName name="_xlnm.Database" localSheetId="0">#REF!</definedName>
    <definedName name="_xlnm.Database" localSheetId="2">#REF!</definedName>
    <definedName name="_xlnm.Database" localSheetId="5">#REF!</definedName>
    <definedName name="_xlnm.Database" localSheetId="6">#REF!</definedName>
    <definedName name="_xlnm.Database" localSheetId="13">#REF!</definedName>
    <definedName name="_xlnm.Database" localSheetId="16">#REF!</definedName>
    <definedName name="_xlnm.Database">#REF!</definedName>
    <definedName name="ppto" localSheetId="14">[4]Hoja2!$B$3:$M$95</definedName>
    <definedName name="ppto">[3]Hoja2!$B$3:$M$95</definedName>
    <definedName name="qw" localSheetId="14">#REF!</definedName>
    <definedName name="qw">#REF!</definedName>
    <definedName name="_xlnm.Print_Titles" localSheetId="14">'ETCA -II- 13'!$1:$8</definedName>
    <definedName name="_xlnm.Print_Titles" localSheetId="0">'ETCA-II-01'!$1:$5</definedName>
    <definedName name="_xlnm.Print_Titles" localSheetId="1">'ETCA-II-02'!$6:$8</definedName>
    <definedName name="_xlnm.Print_Titles" localSheetId="11">'ETCA-II-12'!$7:$8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7" l="1"/>
  <c r="B4" i="17"/>
  <c r="C10" i="17"/>
  <c r="C20" i="17"/>
  <c r="D20" i="17"/>
  <c r="C32" i="17"/>
  <c r="D32" i="17"/>
  <c r="C33" i="17"/>
  <c r="D33" i="17"/>
  <c r="A3" i="16"/>
  <c r="A4" i="16"/>
  <c r="D9" i="16"/>
  <c r="E9" i="16"/>
  <c r="E10" i="16"/>
  <c r="E11" i="16"/>
  <c r="E12" i="16"/>
  <c r="E13" i="16"/>
  <c r="E14" i="16"/>
  <c r="E15" i="16"/>
  <c r="E19" i="16" s="1"/>
  <c r="E16" i="16"/>
  <c r="E17" i="16"/>
  <c r="E18" i="16"/>
  <c r="C19" i="16"/>
  <c r="D19" i="16"/>
  <c r="E21" i="16"/>
  <c r="E31" i="16" s="1"/>
  <c r="E22" i="16"/>
  <c r="E23" i="16"/>
  <c r="E24" i="16"/>
  <c r="E25" i="16"/>
  <c r="E26" i="16"/>
  <c r="E27" i="16"/>
  <c r="E28" i="16"/>
  <c r="E29" i="16"/>
  <c r="E30" i="16"/>
  <c r="C31" i="16"/>
  <c r="D31" i="16"/>
  <c r="C32" i="16"/>
  <c r="D32" i="16"/>
  <c r="C10" i="15"/>
  <c r="C11" i="15"/>
  <c r="D11" i="15"/>
  <c r="E11" i="15" s="1"/>
  <c r="E12" i="15"/>
  <c r="H12" i="15" s="1"/>
  <c r="I12" i="15"/>
  <c r="E13" i="15"/>
  <c r="H13" i="15"/>
  <c r="I13" i="15"/>
  <c r="E14" i="15"/>
  <c r="H14" i="15"/>
  <c r="E15" i="15"/>
  <c r="H15" i="15" s="1"/>
  <c r="I15" i="15"/>
  <c r="E16" i="15"/>
  <c r="H16" i="15"/>
  <c r="I16" i="15"/>
  <c r="E17" i="15"/>
  <c r="H17" i="15"/>
  <c r="I17" i="15"/>
  <c r="E18" i="15"/>
  <c r="I18" i="15" s="1"/>
  <c r="H18" i="15"/>
  <c r="C20" i="15"/>
  <c r="E20" i="15" s="1"/>
  <c r="D20" i="15"/>
  <c r="D19" i="15" s="1"/>
  <c r="E21" i="15"/>
  <c r="H21" i="15"/>
  <c r="I21" i="15"/>
  <c r="C22" i="15"/>
  <c r="D22" i="15"/>
  <c r="C23" i="15"/>
  <c r="D23" i="15"/>
  <c r="E23" i="15"/>
  <c r="H23" i="15" s="1"/>
  <c r="I23" i="15"/>
  <c r="E24" i="15"/>
  <c r="H24" i="15"/>
  <c r="I24" i="15"/>
  <c r="C25" i="15"/>
  <c r="D25" i="15"/>
  <c r="E25" i="15"/>
  <c r="H25" i="15" s="1"/>
  <c r="I25" i="15"/>
  <c r="E26" i="15"/>
  <c r="H26" i="15"/>
  <c r="I26" i="15"/>
  <c r="E27" i="15"/>
  <c r="H27" i="15"/>
  <c r="I27" i="15"/>
  <c r="E28" i="15"/>
  <c r="I28" i="15" s="1"/>
  <c r="H28" i="15"/>
  <c r="E29" i="15"/>
  <c r="H29" i="15" s="1"/>
  <c r="C30" i="15"/>
  <c r="D30" i="15"/>
  <c r="E30" i="15" s="1"/>
  <c r="I30" i="15" s="1"/>
  <c r="E31" i="15"/>
  <c r="H31" i="15" s="1"/>
  <c r="C32" i="15"/>
  <c r="D32" i="15"/>
  <c r="E32" i="15" s="1"/>
  <c r="I32" i="15" s="1"/>
  <c r="E33" i="15"/>
  <c r="H33" i="15" s="1"/>
  <c r="C35" i="15"/>
  <c r="E35" i="15" s="1"/>
  <c r="D35" i="15"/>
  <c r="E36" i="15"/>
  <c r="I36" i="15" s="1"/>
  <c r="H36" i="15"/>
  <c r="E37" i="15"/>
  <c r="H37" i="15" s="1"/>
  <c r="C38" i="15"/>
  <c r="D38" i="15"/>
  <c r="D34" i="15" s="1"/>
  <c r="E39" i="15"/>
  <c r="H39" i="15" s="1"/>
  <c r="C40" i="15"/>
  <c r="D40" i="15"/>
  <c r="E40" i="15" s="1"/>
  <c r="I40" i="15" s="1"/>
  <c r="H40" i="15"/>
  <c r="E41" i="15"/>
  <c r="H41" i="15" s="1"/>
  <c r="E42" i="15"/>
  <c r="H42" i="15"/>
  <c r="I42" i="15"/>
  <c r="E43" i="15"/>
  <c r="C45" i="15"/>
  <c r="D45" i="15"/>
  <c r="D44" i="15" s="1"/>
  <c r="E46" i="15"/>
  <c r="H46" i="15"/>
  <c r="I46" i="15"/>
  <c r="C47" i="15"/>
  <c r="E47" i="15" s="1"/>
  <c r="D47" i="15"/>
  <c r="E48" i="15"/>
  <c r="H48" i="15"/>
  <c r="I48" i="15"/>
  <c r="E49" i="15"/>
  <c r="C50" i="15"/>
  <c r="D50" i="15"/>
  <c r="E50" i="15"/>
  <c r="H50" i="15"/>
  <c r="I50" i="15"/>
  <c r="E51" i="15"/>
  <c r="E52" i="15"/>
  <c r="H52" i="15" s="1"/>
  <c r="I52" i="15"/>
  <c r="C53" i="15"/>
  <c r="D53" i="15"/>
  <c r="E53" i="15"/>
  <c r="E54" i="15"/>
  <c r="H54" i="15" s="1"/>
  <c r="I54" i="15"/>
  <c r="C55" i="15"/>
  <c r="D55" i="15"/>
  <c r="E55" i="15"/>
  <c r="C56" i="15"/>
  <c r="D56" i="15"/>
  <c r="E56" i="15"/>
  <c r="H56" i="15"/>
  <c r="I56" i="15"/>
  <c r="E57" i="15"/>
  <c r="E58" i="15"/>
  <c r="H58" i="15" s="1"/>
  <c r="I58" i="15"/>
  <c r="E59" i="15"/>
  <c r="H59" i="15" s="1"/>
  <c r="D61" i="15"/>
  <c r="C62" i="15"/>
  <c r="E62" i="15" s="1"/>
  <c r="D62" i="15"/>
  <c r="E63" i="15"/>
  <c r="I63" i="15" s="1"/>
  <c r="H63" i="15"/>
  <c r="C64" i="15"/>
  <c r="E64" i="15" s="1"/>
  <c r="D64" i="15"/>
  <c r="E65" i="15"/>
  <c r="I65" i="15" s="1"/>
  <c r="H65" i="15"/>
  <c r="C66" i="15"/>
  <c r="E66" i="15" s="1"/>
  <c r="D66" i="15"/>
  <c r="E67" i="15"/>
  <c r="I67" i="15" s="1"/>
  <c r="H67" i="15"/>
  <c r="C68" i="15"/>
  <c r="E68" i="15" s="1"/>
  <c r="D68" i="15"/>
  <c r="E69" i="15"/>
  <c r="I69" i="15" s="1"/>
  <c r="H69" i="15"/>
  <c r="C70" i="15"/>
  <c r="E70" i="15" s="1"/>
  <c r="D70" i="15"/>
  <c r="E71" i="15"/>
  <c r="I71" i="15" s="1"/>
  <c r="H71" i="15"/>
  <c r="E72" i="15"/>
  <c r="H72" i="15" s="1"/>
  <c r="E73" i="15"/>
  <c r="H73" i="15"/>
  <c r="C74" i="15"/>
  <c r="D74" i="15"/>
  <c r="E74" i="15"/>
  <c r="E75" i="15"/>
  <c r="H75" i="15" s="1"/>
  <c r="I75" i="15"/>
  <c r="E76" i="15"/>
  <c r="H76" i="15" s="1"/>
  <c r="C78" i="15"/>
  <c r="D78" i="15"/>
  <c r="E78" i="15" s="1"/>
  <c r="E79" i="15"/>
  <c r="H79" i="15" s="1"/>
  <c r="E80" i="15"/>
  <c r="H80" i="15"/>
  <c r="I80" i="15"/>
  <c r="C81" i="15"/>
  <c r="E81" i="15" s="1"/>
  <c r="D81" i="15"/>
  <c r="E82" i="15"/>
  <c r="H82" i="15"/>
  <c r="I82" i="15"/>
  <c r="C83" i="15"/>
  <c r="C84" i="15"/>
  <c r="D84" i="15"/>
  <c r="E84" i="15" s="1"/>
  <c r="I84" i="15" s="1"/>
  <c r="E85" i="15"/>
  <c r="H85" i="15" s="1"/>
  <c r="D86" i="15"/>
  <c r="C87" i="15"/>
  <c r="E87" i="15" s="1"/>
  <c r="D87" i="15"/>
  <c r="E88" i="15"/>
  <c r="I88" i="15" s="1"/>
  <c r="H88" i="15"/>
  <c r="E89" i="15"/>
  <c r="H89" i="15" s="1"/>
  <c r="E90" i="15"/>
  <c r="H90" i="15"/>
  <c r="E91" i="15"/>
  <c r="H91" i="15" s="1"/>
  <c r="E92" i="15"/>
  <c r="H92" i="15" s="1"/>
  <c r="E93" i="15"/>
  <c r="H93" i="15" s="1"/>
  <c r="E94" i="15"/>
  <c r="H94" i="15"/>
  <c r="C95" i="15"/>
  <c r="D95" i="15"/>
  <c r="E95" i="15"/>
  <c r="E96" i="15"/>
  <c r="H96" i="15" s="1"/>
  <c r="I96" i="15"/>
  <c r="E97" i="15"/>
  <c r="H97" i="15" s="1"/>
  <c r="C98" i="15"/>
  <c r="E98" i="15" s="1"/>
  <c r="D98" i="15"/>
  <c r="E99" i="15"/>
  <c r="H99" i="15"/>
  <c r="I99" i="15"/>
  <c r="C100" i="15"/>
  <c r="E101" i="15"/>
  <c r="H101" i="15"/>
  <c r="E102" i="15"/>
  <c r="H102" i="15"/>
  <c r="E103" i="15"/>
  <c r="H103" i="15"/>
  <c r="E104" i="15"/>
  <c r="H104" i="15" s="1"/>
  <c r="C105" i="15"/>
  <c r="D105" i="15"/>
  <c r="E105" i="15" s="1"/>
  <c r="I105" i="15" s="1"/>
  <c r="H105" i="15"/>
  <c r="E106" i="15"/>
  <c r="H106" i="15" s="1"/>
  <c r="E107" i="15"/>
  <c r="H107" i="15"/>
  <c r="E108" i="15"/>
  <c r="H108" i="15"/>
  <c r="C109" i="15"/>
  <c r="D109" i="15"/>
  <c r="E109" i="15" s="1"/>
  <c r="E110" i="15"/>
  <c r="H110" i="15" s="1"/>
  <c r="I110" i="15"/>
  <c r="C112" i="15"/>
  <c r="C111" i="15" s="1"/>
  <c r="E111" i="15" s="1"/>
  <c r="D112" i="15"/>
  <c r="D111" i="15" s="1"/>
  <c r="E112" i="15"/>
  <c r="E113" i="15"/>
  <c r="H113" i="15" s="1"/>
  <c r="I113" i="15"/>
  <c r="E114" i="15"/>
  <c r="H114" i="15" s="1"/>
  <c r="I114" i="15"/>
  <c r="C116" i="15"/>
  <c r="C115" i="15" s="1"/>
  <c r="E115" i="15" s="1"/>
  <c r="D116" i="15"/>
  <c r="D115" i="15" s="1"/>
  <c r="E116" i="15"/>
  <c r="E117" i="15"/>
  <c r="H117" i="15" s="1"/>
  <c r="I117" i="15"/>
  <c r="C118" i="15"/>
  <c r="D118" i="15"/>
  <c r="E118" i="15"/>
  <c r="E119" i="15"/>
  <c r="H119" i="15" s="1"/>
  <c r="I119" i="15"/>
  <c r="C120" i="15"/>
  <c r="C121" i="15"/>
  <c r="D121" i="15"/>
  <c r="E121" i="15"/>
  <c r="H121" i="15"/>
  <c r="I121" i="15"/>
  <c r="E122" i="15"/>
  <c r="C123" i="15"/>
  <c r="D123" i="15"/>
  <c r="E123" i="15"/>
  <c r="H123" i="15"/>
  <c r="I123" i="15"/>
  <c r="E124" i="15"/>
  <c r="C125" i="15"/>
  <c r="D126" i="15"/>
  <c r="C127" i="15"/>
  <c r="D127" i="15"/>
  <c r="E127" i="15"/>
  <c r="H127" i="15" s="1"/>
  <c r="I127" i="15"/>
  <c r="E128" i="15"/>
  <c r="H128" i="15"/>
  <c r="I128" i="15"/>
  <c r="C129" i="15"/>
  <c r="D129" i="15"/>
  <c r="E129" i="15"/>
  <c r="H129" i="15" s="1"/>
  <c r="I129" i="15"/>
  <c r="E130" i="15"/>
  <c r="H130" i="15"/>
  <c r="I130" i="15"/>
  <c r="C131" i="15"/>
  <c r="D131" i="15"/>
  <c r="E131" i="15"/>
  <c r="H131" i="15" s="1"/>
  <c r="I131" i="15"/>
  <c r="E132" i="15"/>
  <c r="H132" i="15"/>
  <c r="I132" i="15"/>
  <c r="E133" i="15"/>
  <c r="H133" i="15"/>
  <c r="C136" i="15"/>
  <c r="D136" i="15"/>
  <c r="E137" i="15"/>
  <c r="H137" i="15"/>
  <c r="I137" i="15"/>
  <c r="C138" i="15"/>
  <c r="E138" i="15" s="1"/>
  <c r="D138" i="15"/>
  <c r="E139" i="15"/>
  <c r="H139" i="15"/>
  <c r="I139" i="15"/>
  <c r="C140" i="15"/>
  <c r="E140" i="15" s="1"/>
  <c r="D140" i="15"/>
  <c r="D135" i="15" s="1"/>
  <c r="E141" i="15"/>
  <c r="H141" i="15"/>
  <c r="I141" i="15"/>
  <c r="C142" i="15"/>
  <c r="E142" i="15" s="1"/>
  <c r="D142" i="15"/>
  <c r="E143" i="15"/>
  <c r="H143" i="15"/>
  <c r="I143" i="15"/>
  <c r="C144" i="15"/>
  <c r="E144" i="15" s="1"/>
  <c r="D144" i="15"/>
  <c r="E145" i="15"/>
  <c r="H145" i="15"/>
  <c r="I145" i="15"/>
  <c r="E146" i="15"/>
  <c r="H146" i="15" s="1"/>
  <c r="E147" i="15"/>
  <c r="H147" i="15" s="1"/>
  <c r="C148" i="15"/>
  <c r="D148" i="15"/>
  <c r="E148" i="15"/>
  <c r="H148" i="15" s="1"/>
  <c r="E149" i="15"/>
  <c r="H149" i="15"/>
  <c r="I149" i="15"/>
  <c r="C150" i="15"/>
  <c r="D150" i="15"/>
  <c r="E150" i="15"/>
  <c r="H150" i="15" s="1"/>
  <c r="E151" i="15"/>
  <c r="H151" i="15"/>
  <c r="I151" i="15"/>
  <c r="E152" i="15"/>
  <c r="H152" i="15" s="1"/>
  <c r="C153" i="15"/>
  <c r="D153" i="15"/>
  <c r="E153" i="15" s="1"/>
  <c r="E154" i="15"/>
  <c r="H154" i="15" s="1"/>
  <c r="C155" i="15"/>
  <c r="C152" i="15" s="1"/>
  <c r="D155" i="15"/>
  <c r="E155" i="15" s="1"/>
  <c r="E156" i="15"/>
  <c r="H156" i="15" s="1"/>
  <c r="C157" i="15"/>
  <c r="D157" i="15"/>
  <c r="E157" i="15" s="1"/>
  <c r="E158" i="15"/>
  <c r="H158" i="15" s="1"/>
  <c r="E159" i="15"/>
  <c r="H159" i="15"/>
  <c r="I159" i="15"/>
  <c r="C160" i="15"/>
  <c r="D160" i="15"/>
  <c r="D152" i="15" s="1"/>
  <c r="E160" i="15"/>
  <c r="H160" i="15" s="1"/>
  <c r="E161" i="15"/>
  <c r="H161" i="15"/>
  <c r="I161" i="15"/>
  <c r="C162" i="15"/>
  <c r="D162" i="15"/>
  <c r="E162" i="15"/>
  <c r="H162" i="15" s="1"/>
  <c r="I162" i="15"/>
  <c r="E163" i="15"/>
  <c r="H163" i="15"/>
  <c r="I163" i="15"/>
  <c r="C164" i="15"/>
  <c r="D164" i="15"/>
  <c r="E164" i="15"/>
  <c r="H164" i="15" s="1"/>
  <c r="I164" i="15"/>
  <c r="E165" i="15"/>
  <c r="H165" i="15"/>
  <c r="I165" i="15"/>
  <c r="C167" i="15"/>
  <c r="C166" i="15" s="1"/>
  <c r="D167" i="15"/>
  <c r="E167" i="15" s="1"/>
  <c r="E168" i="15"/>
  <c r="H168" i="15" s="1"/>
  <c r="I168" i="15"/>
  <c r="C169" i="15"/>
  <c r="D169" i="15"/>
  <c r="E169" i="15" s="1"/>
  <c r="E170" i="15"/>
  <c r="H170" i="15" s="1"/>
  <c r="I170" i="15"/>
  <c r="C171" i="15"/>
  <c r="D171" i="15"/>
  <c r="E171" i="15" s="1"/>
  <c r="E172" i="15"/>
  <c r="H172" i="15" s="1"/>
  <c r="I172" i="15"/>
  <c r="E173" i="15"/>
  <c r="H173" i="15"/>
  <c r="I173" i="15"/>
  <c r="C174" i="15"/>
  <c r="D174" i="15"/>
  <c r="E174" i="15"/>
  <c r="H174" i="15"/>
  <c r="I174" i="15"/>
  <c r="E175" i="15"/>
  <c r="H175" i="15"/>
  <c r="I175" i="15"/>
  <c r="C176" i="15"/>
  <c r="D176" i="15"/>
  <c r="E176" i="15"/>
  <c r="H176" i="15"/>
  <c r="I176" i="15"/>
  <c r="E177" i="15"/>
  <c r="H177" i="15"/>
  <c r="E178" i="15"/>
  <c r="H178" i="15" s="1"/>
  <c r="I178" i="15"/>
  <c r="E179" i="15"/>
  <c r="H179" i="15" s="1"/>
  <c r="H180" i="15"/>
  <c r="C181" i="15"/>
  <c r="E181" i="15" s="1"/>
  <c r="H181" i="15" s="1"/>
  <c r="D181" i="15"/>
  <c r="E182" i="15"/>
  <c r="C183" i="15"/>
  <c r="E183" i="15" s="1"/>
  <c r="H183" i="15" s="1"/>
  <c r="D183" i="15"/>
  <c r="I183" i="15"/>
  <c r="E184" i="15"/>
  <c r="I184" i="15" s="1"/>
  <c r="C186" i="15"/>
  <c r="D186" i="15"/>
  <c r="E187" i="15"/>
  <c r="H187" i="15"/>
  <c r="I187" i="15"/>
  <c r="C188" i="15"/>
  <c r="E188" i="15" s="1"/>
  <c r="D188" i="15"/>
  <c r="E189" i="15"/>
  <c r="H189" i="15"/>
  <c r="I189" i="15"/>
  <c r="C190" i="15"/>
  <c r="D190" i="15"/>
  <c r="E191" i="15"/>
  <c r="H191" i="15"/>
  <c r="I191" i="15"/>
  <c r="C192" i="15"/>
  <c r="D192" i="15"/>
  <c r="E193" i="15"/>
  <c r="H193" i="15"/>
  <c r="I193" i="15"/>
  <c r="C195" i="15"/>
  <c r="D195" i="15"/>
  <c r="E195" i="15"/>
  <c r="E196" i="15"/>
  <c r="H196" i="15"/>
  <c r="I196" i="15"/>
  <c r="C197" i="15"/>
  <c r="D197" i="15"/>
  <c r="E197" i="15"/>
  <c r="E198" i="15"/>
  <c r="H198" i="15"/>
  <c r="I198" i="15"/>
  <c r="C199" i="15"/>
  <c r="D199" i="15"/>
  <c r="E199" i="15"/>
  <c r="E200" i="15"/>
  <c r="H200" i="15"/>
  <c r="E201" i="15"/>
  <c r="H201" i="15" s="1"/>
  <c r="I201" i="15"/>
  <c r="C202" i="15"/>
  <c r="D202" i="15"/>
  <c r="E203" i="15"/>
  <c r="H203" i="15" s="1"/>
  <c r="I203" i="15"/>
  <c r="C204" i="15"/>
  <c r="C194" i="15" s="1"/>
  <c r="D204" i="15"/>
  <c r="E205" i="15"/>
  <c r="H205" i="15" s="1"/>
  <c r="I205" i="15"/>
  <c r="E206" i="15"/>
  <c r="H206" i="15" s="1"/>
  <c r="C207" i="15"/>
  <c r="E207" i="15" s="1"/>
  <c r="D207" i="15"/>
  <c r="E208" i="15"/>
  <c r="H208" i="15"/>
  <c r="I208" i="15"/>
  <c r="C209" i="15"/>
  <c r="E209" i="15" s="1"/>
  <c r="D209" i="15"/>
  <c r="E210" i="15"/>
  <c r="H210" i="15"/>
  <c r="I210" i="15"/>
  <c r="C211" i="15"/>
  <c r="C212" i="15"/>
  <c r="D212" i="15"/>
  <c r="E212" i="15"/>
  <c r="E213" i="15"/>
  <c r="H213" i="15" s="1"/>
  <c r="C214" i="15"/>
  <c r="D214" i="15"/>
  <c r="E214" i="15" s="1"/>
  <c r="E215" i="15"/>
  <c r="H215" i="15" s="1"/>
  <c r="C216" i="15"/>
  <c r="D216" i="15"/>
  <c r="E216" i="15" s="1"/>
  <c r="E217" i="15"/>
  <c r="H217" i="15" s="1"/>
  <c r="C218" i="15"/>
  <c r="D218" i="15"/>
  <c r="E218" i="15"/>
  <c r="I218" i="15" s="1"/>
  <c r="H218" i="15"/>
  <c r="E219" i="15"/>
  <c r="H219" i="15" s="1"/>
  <c r="C221" i="15"/>
  <c r="E221" i="15" s="1"/>
  <c r="H221" i="15" s="1"/>
  <c r="D221" i="15"/>
  <c r="E222" i="15"/>
  <c r="E223" i="15"/>
  <c r="H223" i="15" s="1"/>
  <c r="C224" i="15"/>
  <c r="D224" i="15"/>
  <c r="E224" i="15"/>
  <c r="H224" i="15" s="1"/>
  <c r="E225" i="15"/>
  <c r="H225" i="15"/>
  <c r="I225" i="15"/>
  <c r="C226" i="15"/>
  <c r="D226" i="15"/>
  <c r="E226" i="15"/>
  <c r="H226" i="15" s="1"/>
  <c r="E227" i="15"/>
  <c r="H227" i="15"/>
  <c r="I227" i="15"/>
  <c r="E228" i="15"/>
  <c r="H228" i="15"/>
  <c r="I228" i="15"/>
  <c r="C229" i="15"/>
  <c r="D229" i="15"/>
  <c r="D220" i="15" s="1"/>
  <c r="E230" i="15"/>
  <c r="H230" i="15"/>
  <c r="I230" i="15"/>
  <c r="C231" i="15"/>
  <c r="D231" i="15"/>
  <c r="E232" i="15"/>
  <c r="H232" i="15"/>
  <c r="I232" i="15"/>
  <c r="C233" i="15"/>
  <c r="E233" i="15" s="1"/>
  <c r="D233" i="15"/>
  <c r="E234" i="15"/>
  <c r="H234" i="15"/>
  <c r="I234" i="15"/>
  <c r="D235" i="15"/>
  <c r="C236" i="15"/>
  <c r="D236" i="15"/>
  <c r="E236" i="15"/>
  <c r="H236" i="15" s="1"/>
  <c r="E237" i="15"/>
  <c r="H237" i="15"/>
  <c r="I237" i="15"/>
  <c r="E238" i="15"/>
  <c r="H238" i="15"/>
  <c r="E239" i="15"/>
  <c r="H239" i="15" s="1"/>
  <c r="C240" i="15"/>
  <c r="E240" i="15" s="1"/>
  <c r="D240" i="15"/>
  <c r="E241" i="15"/>
  <c r="H241" i="15"/>
  <c r="I241" i="15"/>
  <c r="E242" i="15"/>
  <c r="H242" i="15" s="1"/>
  <c r="E243" i="15"/>
  <c r="H243" i="15" s="1"/>
  <c r="C245" i="15"/>
  <c r="C244" i="15" s="1"/>
  <c r="D246" i="15"/>
  <c r="C247" i="15"/>
  <c r="E247" i="15" s="1"/>
  <c r="H247" i="15" s="1"/>
  <c r="D247" i="15"/>
  <c r="E248" i="15"/>
  <c r="I248" i="15" s="1"/>
  <c r="H248" i="15"/>
  <c r="C249" i="15"/>
  <c r="E249" i="15" s="1"/>
  <c r="H249" i="15" s="1"/>
  <c r="D249" i="15"/>
  <c r="E250" i="15"/>
  <c r="I250" i="15" s="1"/>
  <c r="E251" i="15"/>
  <c r="H251" i="15" s="1"/>
  <c r="D252" i="15"/>
  <c r="E253" i="15"/>
  <c r="H253" i="15"/>
  <c r="E254" i="15"/>
  <c r="H254" i="15" s="1"/>
  <c r="E255" i="15"/>
  <c r="H255" i="15"/>
  <c r="E256" i="15"/>
  <c r="H256" i="15" s="1"/>
  <c r="E257" i="15"/>
  <c r="H257" i="15"/>
  <c r="C259" i="15"/>
  <c r="D259" i="15"/>
  <c r="D258" i="15" s="1"/>
  <c r="E260" i="15"/>
  <c r="H260" i="15"/>
  <c r="I260" i="15"/>
  <c r="E261" i="15"/>
  <c r="H261" i="15" s="1"/>
  <c r="E262" i="15"/>
  <c r="H262" i="15" s="1"/>
  <c r="E263" i="15"/>
  <c r="H263" i="15"/>
  <c r="E264" i="15"/>
  <c r="H264" i="15"/>
  <c r="E265" i="15"/>
  <c r="H265" i="15" s="1"/>
  <c r="E266" i="15"/>
  <c r="H266" i="15" s="1"/>
  <c r="E267" i="15"/>
  <c r="H267" i="15"/>
  <c r="E268" i="15"/>
  <c r="H268" i="15" s="1"/>
  <c r="E269" i="15"/>
  <c r="H269" i="15" s="1"/>
  <c r="D271" i="15"/>
  <c r="C272" i="15"/>
  <c r="D272" i="15"/>
  <c r="E272" i="15"/>
  <c r="H272" i="15"/>
  <c r="I272" i="15"/>
  <c r="E273" i="15"/>
  <c r="H273" i="15"/>
  <c r="I273" i="15"/>
  <c r="E274" i="15"/>
  <c r="H274" i="15"/>
  <c r="E275" i="15"/>
  <c r="H275" i="15"/>
  <c r="C276" i="15"/>
  <c r="C271" i="15" s="1"/>
  <c r="D276" i="15"/>
  <c r="E277" i="15"/>
  <c r="C278" i="15"/>
  <c r="D278" i="15"/>
  <c r="E278" i="15"/>
  <c r="H278" i="15" s="1"/>
  <c r="E279" i="15"/>
  <c r="H279" i="15"/>
  <c r="E280" i="15"/>
  <c r="H280" i="15" s="1"/>
  <c r="E281" i="15"/>
  <c r="H281" i="15" s="1"/>
  <c r="E282" i="15"/>
  <c r="H282" i="15" s="1"/>
  <c r="E283" i="15"/>
  <c r="H283" i="15"/>
  <c r="E284" i="15"/>
  <c r="H284" i="15"/>
  <c r="E285" i="15"/>
  <c r="H285" i="15" s="1"/>
  <c r="E286" i="15"/>
  <c r="H286" i="15" s="1"/>
  <c r="E287" i="15"/>
  <c r="H287" i="15"/>
  <c r="C288" i="15"/>
  <c r="E288" i="15" s="1"/>
  <c r="D288" i="15"/>
  <c r="C289" i="15"/>
  <c r="D289" i="15"/>
  <c r="E289" i="15"/>
  <c r="H289" i="15"/>
  <c r="I289" i="15"/>
  <c r="E290" i="15"/>
  <c r="H290" i="15" s="1"/>
  <c r="E291" i="15"/>
  <c r="H291" i="15" s="1"/>
  <c r="E292" i="15"/>
  <c r="H292" i="15" s="1"/>
  <c r="C293" i="15"/>
  <c r="D293" i="15"/>
  <c r="C294" i="15"/>
  <c r="D294" i="15"/>
  <c r="E294" i="15"/>
  <c r="H294" i="15"/>
  <c r="I294" i="15"/>
  <c r="E295" i="15"/>
  <c r="H295" i="15"/>
  <c r="I295" i="15"/>
  <c r="E297" i="15"/>
  <c r="H297" i="15"/>
  <c r="E298" i="15"/>
  <c r="H298" i="15"/>
  <c r="E299" i="15"/>
  <c r="H299" i="15" s="1"/>
  <c r="E300" i="15"/>
  <c r="H300" i="15" s="1"/>
  <c r="E301" i="15"/>
  <c r="H301" i="15"/>
  <c r="E302" i="15"/>
  <c r="H302" i="15" s="1"/>
  <c r="E303" i="15"/>
  <c r="H303" i="15" s="1"/>
  <c r="E304" i="15"/>
  <c r="H304" i="15" s="1"/>
  <c r="E305" i="15"/>
  <c r="H305" i="15"/>
  <c r="E306" i="15"/>
  <c r="H306" i="15"/>
  <c r="E307" i="15"/>
  <c r="H307" i="15" s="1"/>
  <c r="E308" i="15"/>
  <c r="H308" i="15" s="1"/>
  <c r="E309" i="15"/>
  <c r="H309" i="15"/>
  <c r="E310" i="15"/>
  <c r="H310" i="15" s="1"/>
  <c r="E311" i="15"/>
  <c r="H311" i="15" s="1"/>
  <c r="E312" i="15"/>
  <c r="H312" i="15" s="1"/>
  <c r="E313" i="15"/>
  <c r="H313" i="15"/>
  <c r="E314" i="15"/>
  <c r="H314" i="15"/>
  <c r="C318" i="15"/>
  <c r="D318" i="15"/>
  <c r="E318" i="15"/>
  <c r="I318" i="15" s="1"/>
  <c r="E319" i="15"/>
  <c r="H319" i="15"/>
  <c r="I319" i="15"/>
  <c r="E320" i="15"/>
  <c r="H320" i="15" s="1"/>
  <c r="E321" i="15"/>
  <c r="I321" i="15" s="1"/>
  <c r="H321" i="15"/>
  <c r="E322" i="15"/>
  <c r="H322" i="15" s="1"/>
  <c r="C323" i="15"/>
  <c r="C317" i="15" s="1"/>
  <c r="D323" i="15"/>
  <c r="E323" i="15" s="1"/>
  <c r="E324" i="15"/>
  <c r="H324" i="15" s="1"/>
  <c r="E325" i="15"/>
  <c r="H325" i="15"/>
  <c r="E326" i="15"/>
  <c r="E327" i="15"/>
  <c r="H327" i="15"/>
  <c r="I327" i="15"/>
  <c r="E328" i="15"/>
  <c r="H328" i="15"/>
  <c r="I328" i="15"/>
  <c r="E329" i="15"/>
  <c r="H329" i="15" s="1"/>
  <c r="E330" i="15"/>
  <c r="H330" i="15"/>
  <c r="E331" i="15"/>
  <c r="H331" i="15" s="1"/>
  <c r="E332" i="15"/>
  <c r="H332" i="15"/>
  <c r="E333" i="15"/>
  <c r="H333" i="15" s="1"/>
  <c r="E334" i="15"/>
  <c r="H334" i="15"/>
  <c r="E335" i="15"/>
  <c r="H335" i="15" s="1"/>
  <c r="E336" i="15"/>
  <c r="H336" i="15"/>
  <c r="E338" i="15"/>
  <c r="E339" i="15"/>
  <c r="H339" i="15"/>
  <c r="E340" i="15"/>
  <c r="H340" i="15" s="1"/>
  <c r="E341" i="15"/>
  <c r="H341" i="15"/>
  <c r="E342" i="15"/>
  <c r="H342" i="15" s="1"/>
  <c r="E343" i="15"/>
  <c r="H343" i="15"/>
  <c r="C344" i="15"/>
  <c r="C338" i="15" s="1"/>
  <c r="C337" i="15" s="1"/>
  <c r="D345" i="15"/>
  <c r="D344" i="15" s="1"/>
  <c r="D338" i="15" s="1"/>
  <c r="D337" i="15" s="1"/>
  <c r="E345" i="15"/>
  <c r="H345" i="15"/>
  <c r="E346" i="15"/>
  <c r="H346" i="15" s="1"/>
  <c r="E347" i="15"/>
  <c r="H347" i="15"/>
  <c r="I347" i="15"/>
  <c r="E348" i="15"/>
  <c r="H348" i="15"/>
  <c r="E349" i="15"/>
  <c r="H349" i="15" s="1"/>
  <c r="E350" i="15"/>
  <c r="H350" i="15"/>
  <c r="E351" i="15"/>
  <c r="H351" i="15" s="1"/>
  <c r="E352" i="15"/>
  <c r="H352" i="15"/>
  <c r="C353" i="15"/>
  <c r="C354" i="15"/>
  <c r="E354" i="15" s="1"/>
  <c r="C355" i="15"/>
  <c r="D355" i="15"/>
  <c r="D354" i="15" s="1"/>
  <c r="D353" i="15" s="1"/>
  <c r="E355" i="15"/>
  <c r="E356" i="15"/>
  <c r="H356" i="15"/>
  <c r="I356" i="15"/>
  <c r="E357" i="15"/>
  <c r="H357" i="15"/>
  <c r="C360" i="15"/>
  <c r="E360" i="15" s="1"/>
  <c r="H360" i="15" s="1"/>
  <c r="D360" i="15"/>
  <c r="D359" i="15" s="1"/>
  <c r="E361" i="15"/>
  <c r="H361" i="15" s="1"/>
  <c r="E362" i="15"/>
  <c r="H362" i="15"/>
  <c r="D364" i="15"/>
  <c r="D363" i="15" s="1"/>
  <c r="E365" i="15"/>
  <c r="H365" i="15"/>
  <c r="C366" i="15"/>
  <c r="C364" i="15" s="1"/>
  <c r="C363" i="15" s="1"/>
  <c r="E363" i="15" s="1"/>
  <c r="C369" i="15"/>
  <c r="C368" i="15" s="1"/>
  <c r="C367" i="15" s="1"/>
  <c r="D369" i="15"/>
  <c r="E369" i="15" s="1"/>
  <c r="E370" i="15"/>
  <c r="E371" i="15"/>
  <c r="H371" i="15"/>
  <c r="F372" i="15"/>
  <c r="G372" i="15"/>
  <c r="A3" i="14"/>
  <c r="A4" i="14"/>
  <c r="C9" i="14"/>
  <c r="C33" i="14"/>
  <c r="D35" i="14"/>
  <c r="A4" i="13"/>
  <c r="A5" i="13"/>
  <c r="E9" i="13"/>
  <c r="D10" i="13"/>
  <c r="G10" i="13"/>
  <c r="D11" i="13"/>
  <c r="G11" i="13"/>
  <c r="D12" i="13"/>
  <c r="G12" i="13" s="1"/>
  <c r="D13" i="13"/>
  <c r="G13" i="13"/>
  <c r="D14" i="13"/>
  <c r="G14" i="13"/>
  <c r="D15" i="13"/>
  <c r="G15" i="13"/>
  <c r="B16" i="13"/>
  <c r="B9" i="13" s="1"/>
  <c r="B32" i="13" s="1"/>
  <c r="C16" i="13"/>
  <c r="C9" i="13" s="1"/>
  <c r="C32" i="13" s="1"/>
  <c r="E16" i="13"/>
  <c r="F16" i="13"/>
  <c r="F9" i="13" s="1"/>
  <c r="D17" i="13"/>
  <c r="G17" i="13"/>
  <c r="D18" i="13"/>
  <c r="G18" i="13" s="1"/>
  <c r="G16" i="13" s="1"/>
  <c r="D19" i="13"/>
  <c r="G19" i="13"/>
  <c r="B21" i="13"/>
  <c r="C21" i="13"/>
  <c r="F21" i="13"/>
  <c r="D22" i="13"/>
  <c r="G22" i="13"/>
  <c r="D23" i="13"/>
  <c r="G23" i="13"/>
  <c r="D24" i="13"/>
  <c r="G24" i="13"/>
  <c r="D25" i="13"/>
  <c r="G25" i="13" s="1"/>
  <c r="D26" i="13"/>
  <c r="G26" i="13"/>
  <c r="D27" i="13"/>
  <c r="G27" i="13"/>
  <c r="B28" i="13"/>
  <c r="C28" i="13"/>
  <c r="D28" i="13"/>
  <c r="E28" i="13"/>
  <c r="E21" i="13" s="1"/>
  <c r="E32" i="13" s="1"/>
  <c r="F28" i="13"/>
  <c r="D29" i="13"/>
  <c r="G29" i="13"/>
  <c r="G28" i="13" s="1"/>
  <c r="D30" i="13"/>
  <c r="G30" i="13"/>
  <c r="D31" i="13"/>
  <c r="G31" i="13" s="1"/>
  <c r="A2" i="12"/>
  <c r="A5" i="12"/>
  <c r="C11" i="12"/>
  <c r="C10" i="12" s="1"/>
  <c r="D11" i="12"/>
  <c r="D10" i="12" s="1"/>
  <c r="F11" i="12"/>
  <c r="G11" i="12"/>
  <c r="G10" i="12" s="1"/>
  <c r="E12" i="12"/>
  <c r="H12" i="12"/>
  <c r="E13" i="12"/>
  <c r="H13" i="12" s="1"/>
  <c r="H11" i="12" s="1"/>
  <c r="E14" i="12"/>
  <c r="H14" i="12"/>
  <c r="E15" i="12"/>
  <c r="H15" i="12"/>
  <c r="E16" i="12"/>
  <c r="H16" i="12"/>
  <c r="E17" i="12"/>
  <c r="H17" i="12" s="1"/>
  <c r="E18" i="12"/>
  <c r="H18" i="12"/>
  <c r="E19" i="12"/>
  <c r="H19" i="12"/>
  <c r="C21" i="12"/>
  <c r="D21" i="12"/>
  <c r="E21" i="12"/>
  <c r="F21" i="12"/>
  <c r="F10" i="12" s="1"/>
  <c r="G21" i="12"/>
  <c r="E22" i="12"/>
  <c r="H22" i="12"/>
  <c r="D23" i="12"/>
  <c r="E23" i="12"/>
  <c r="H23" i="12"/>
  <c r="E24" i="12"/>
  <c r="H24" i="12" s="1"/>
  <c r="E25" i="12"/>
  <c r="H25" i="12"/>
  <c r="I25" i="12"/>
  <c r="J25" i="12"/>
  <c r="K25" i="12"/>
  <c r="L25" i="12"/>
  <c r="M25" i="12"/>
  <c r="N25" i="12"/>
  <c r="E26" i="12"/>
  <c r="H26" i="12"/>
  <c r="E27" i="12"/>
  <c r="H27" i="12" s="1"/>
  <c r="E28" i="12"/>
  <c r="H28" i="12"/>
  <c r="C30" i="12"/>
  <c r="D30" i="12"/>
  <c r="F30" i="12"/>
  <c r="G30" i="12"/>
  <c r="E31" i="12"/>
  <c r="H31" i="12"/>
  <c r="H30" i="12" s="1"/>
  <c r="E32" i="12"/>
  <c r="H32" i="12" s="1"/>
  <c r="E33" i="12"/>
  <c r="H33" i="12"/>
  <c r="E34" i="12"/>
  <c r="H34" i="12" s="1"/>
  <c r="E35" i="12"/>
  <c r="H35" i="12"/>
  <c r="E36" i="12"/>
  <c r="H36" i="12" s="1"/>
  <c r="E37" i="12"/>
  <c r="H37" i="12"/>
  <c r="E38" i="12"/>
  <c r="H38" i="12" s="1"/>
  <c r="E39" i="12"/>
  <c r="H39" i="12"/>
  <c r="C41" i="12"/>
  <c r="D41" i="12"/>
  <c r="F41" i="12"/>
  <c r="G41" i="12"/>
  <c r="E42" i="12"/>
  <c r="H42" i="12"/>
  <c r="E43" i="12"/>
  <c r="H43" i="12" s="1"/>
  <c r="E44" i="12"/>
  <c r="H44" i="12"/>
  <c r="E45" i="12"/>
  <c r="H45" i="12" s="1"/>
  <c r="D47" i="12"/>
  <c r="C48" i="12"/>
  <c r="C47" i="12" s="1"/>
  <c r="D48" i="12"/>
  <c r="F48" i="12"/>
  <c r="F47" i="12" s="1"/>
  <c r="G48" i="12"/>
  <c r="G47" i="12" s="1"/>
  <c r="E49" i="12"/>
  <c r="E48" i="12" s="1"/>
  <c r="H49" i="12"/>
  <c r="E50" i="12"/>
  <c r="H50" i="12" s="1"/>
  <c r="E51" i="12"/>
  <c r="H51" i="12"/>
  <c r="E52" i="12"/>
  <c r="H52" i="12" s="1"/>
  <c r="E53" i="12"/>
  <c r="H53" i="12"/>
  <c r="E54" i="12"/>
  <c r="H54" i="12" s="1"/>
  <c r="E55" i="12"/>
  <c r="H55" i="12"/>
  <c r="E56" i="12"/>
  <c r="H56" i="12" s="1"/>
  <c r="C58" i="12"/>
  <c r="D58" i="12"/>
  <c r="F58" i="12"/>
  <c r="G58" i="12"/>
  <c r="E59" i="12"/>
  <c r="H59" i="12" s="1"/>
  <c r="D60" i="12"/>
  <c r="E60" i="12"/>
  <c r="H60" i="12"/>
  <c r="E61" i="12"/>
  <c r="H61" i="12"/>
  <c r="E62" i="12"/>
  <c r="E63" i="12"/>
  <c r="H63" i="12"/>
  <c r="E64" i="12"/>
  <c r="H64" i="12"/>
  <c r="E65" i="12"/>
  <c r="H65" i="12"/>
  <c r="C66" i="12"/>
  <c r="D66" i="12"/>
  <c r="F66" i="12"/>
  <c r="G66" i="12"/>
  <c r="E67" i="12"/>
  <c r="E66" i="12" s="1"/>
  <c r="H67" i="12"/>
  <c r="H68" i="12"/>
  <c r="H66" i="12" s="1"/>
  <c r="E69" i="12"/>
  <c r="H69" i="12" s="1"/>
  <c r="E70" i="12"/>
  <c r="H70" i="12"/>
  <c r="E71" i="12"/>
  <c r="H71" i="12" s="1"/>
  <c r="E72" i="12"/>
  <c r="H72" i="12"/>
  <c r="E73" i="12"/>
  <c r="H73" i="12" s="1"/>
  <c r="E74" i="12"/>
  <c r="H74" i="12"/>
  <c r="E75" i="12"/>
  <c r="H75" i="12" s="1"/>
  <c r="C77" i="12"/>
  <c r="D77" i="12"/>
  <c r="F77" i="12"/>
  <c r="G77" i="12"/>
  <c r="E78" i="12"/>
  <c r="E77" i="12" s="1"/>
  <c r="E79" i="12"/>
  <c r="H79" i="12"/>
  <c r="E80" i="12"/>
  <c r="H80" i="12" s="1"/>
  <c r="E81" i="12"/>
  <c r="H81" i="12"/>
  <c r="F83" i="12"/>
  <c r="A4" i="11"/>
  <c r="A5" i="11"/>
  <c r="B10" i="11"/>
  <c r="C10" i="11"/>
  <c r="D10" i="11"/>
  <c r="G10" i="11" s="1"/>
  <c r="E10" i="11"/>
  <c r="E45" i="11" s="1"/>
  <c r="F10" i="11"/>
  <c r="D11" i="11"/>
  <c r="G11" i="11" s="1"/>
  <c r="D12" i="11"/>
  <c r="G12" i="11"/>
  <c r="D13" i="11"/>
  <c r="G13" i="11"/>
  <c r="D14" i="11"/>
  <c r="G14" i="11"/>
  <c r="D15" i="11"/>
  <c r="G15" i="11" s="1"/>
  <c r="D16" i="11"/>
  <c r="G16" i="11"/>
  <c r="D17" i="11"/>
  <c r="G17" i="11"/>
  <c r="D18" i="11"/>
  <c r="G18" i="11"/>
  <c r="D19" i="11"/>
  <c r="G19" i="11"/>
  <c r="B20" i="11"/>
  <c r="C20" i="11"/>
  <c r="D20" i="11"/>
  <c r="G20" i="11" s="1"/>
  <c r="E20" i="11"/>
  <c r="F20" i="11"/>
  <c r="D21" i="11"/>
  <c r="G21" i="11" s="1"/>
  <c r="D22" i="11"/>
  <c r="G22" i="11"/>
  <c r="D23" i="11"/>
  <c r="G23" i="11"/>
  <c r="D24" i="11"/>
  <c r="G24" i="11"/>
  <c r="D25" i="11"/>
  <c r="G25" i="11" s="1"/>
  <c r="D26" i="11"/>
  <c r="G26" i="11"/>
  <c r="D27" i="11"/>
  <c r="G27" i="11"/>
  <c r="D28" i="11"/>
  <c r="G28" i="11"/>
  <c r="B29" i="11"/>
  <c r="D29" i="11" s="1"/>
  <c r="G29" i="11" s="1"/>
  <c r="C29" i="11"/>
  <c r="E29" i="11"/>
  <c r="F29" i="11"/>
  <c r="D30" i="11"/>
  <c r="G30" i="11"/>
  <c r="D31" i="11"/>
  <c r="G31" i="11" s="1"/>
  <c r="D32" i="11"/>
  <c r="G32" i="11"/>
  <c r="D33" i="11"/>
  <c r="G33" i="11"/>
  <c r="D34" i="11"/>
  <c r="G34" i="11"/>
  <c r="D35" i="11"/>
  <c r="G35" i="11" s="1"/>
  <c r="D36" i="11"/>
  <c r="G36" i="11"/>
  <c r="D37" i="11"/>
  <c r="G37" i="11"/>
  <c r="D38" i="11"/>
  <c r="G38" i="11"/>
  <c r="D39" i="11"/>
  <c r="G39" i="11"/>
  <c r="B40" i="11"/>
  <c r="C40" i="11"/>
  <c r="D40" i="11"/>
  <c r="G40" i="11" s="1"/>
  <c r="E40" i="11"/>
  <c r="F40" i="11"/>
  <c r="D41" i="11"/>
  <c r="G41" i="11" s="1"/>
  <c r="D42" i="11"/>
  <c r="G42" i="11"/>
  <c r="D43" i="11"/>
  <c r="G43" i="11"/>
  <c r="D44" i="11"/>
  <c r="G44" i="11"/>
  <c r="C45" i="11"/>
  <c r="F45" i="11"/>
  <c r="A4" i="10"/>
  <c r="A5" i="10"/>
  <c r="D10" i="10"/>
  <c r="G10" i="10" s="1"/>
  <c r="D11" i="10"/>
  <c r="G11" i="10"/>
  <c r="D12" i="10"/>
  <c r="G12" i="10" s="1"/>
  <c r="D13" i="10"/>
  <c r="G13" i="10"/>
  <c r="D14" i="10"/>
  <c r="G14" i="10" s="1"/>
  <c r="D15" i="10"/>
  <c r="G15" i="10"/>
  <c r="D16" i="10"/>
  <c r="G16" i="10" s="1"/>
  <c r="D17" i="10"/>
  <c r="G17" i="10"/>
  <c r="D18" i="10"/>
  <c r="G18" i="10" s="1"/>
  <c r="D19" i="10"/>
  <c r="G19" i="10"/>
  <c r="D20" i="10"/>
  <c r="G20" i="10" s="1"/>
  <c r="D21" i="10"/>
  <c r="G21" i="10"/>
  <c r="D22" i="10"/>
  <c r="G22" i="10" s="1"/>
  <c r="B23" i="10"/>
  <c r="C23" i="10"/>
  <c r="D23" i="10" s="1"/>
  <c r="E23" i="10"/>
  <c r="F23" i="10"/>
  <c r="A4" i="9"/>
  <c r="A5" i="9"/>
  <c r="D10" i="9"/>
  <c r="G10" i="9" s="1"/>
  <c r="D11" i="9"/>
  <c r="G11" i="9"/>
  <c r="D12" i="9"/>
  <c r="G12" i="9" s="1"/>
  <c r="D13" i="9"/>
  <c r="G13" i="9"/>
  <c r="B15" i="9"/>
  <c r="C15" i="9"/>
  <c r="E15" i="9"/>
  <c r="F15" i="9"/>
  <c r="H21" i="9"/>
  <c r="A2" i="8"/>
  <c r="A5" i="8"/>
  <c r="E10" i="8"/>
  <c r="E31" i="8" s="1"/>
  <c r="F10" i="8"/>
  <c r="D11" i="8"/>
  <c r="G11" i="8"/>
  <c r="D12" i="8"/>
  <c r="G12" i="8" s="1"/>
  <c r="D13" i="8"/>
  <c r="G13" i="8"/>
  <c r="B14" i="8"/>
  <c r="D14" i="8" s="1"/>
  <c r="G14" i="8" s="1"/>
  <c r="B15" i="8"/>
  <c r="D15" i="8" s="1"/>
  <c r="G15" i="8" s="1"/>
  <c r="D16" i="8"/>
  <c r="G16" i="8"/>
  <c r="D17" i="8"/>
  <c r="G17" i="8" s="1"/>
  <c r="D18" i="8"/>
  <c r="G18" i="8"/>
  <c r="C19" i="8"/>
  <c r="B21" i="8"/>
  <c r="C21" i="8"/>
  <c r="E21" i="8"/>
  <c r="F21" i="8"/>
  <c r="D22" i="8"/>
  <c r="G22" i="8"/>
  <c r="D23" i="8"/>
  <c r="G23" i="8"/>
  <c r="D24" i="8"/>
  <c r="G24" i="8"/>
  <c r="D25" i="8"/>
  <c r="G25" i="8" s="1"/>
  <c r="D26" i="8"/>
  <c r="G26" i="8"/>
  <c r="D27" i="8"/>
  <c r="G27" i="8"/>
  <c r="D28" i="8"/>
  <c r="G28" i="8"/>
  <c r="D29" i="8"/>
  <c r="G29" i="8" s="1"/>
  <c r="A4" i="7"/>
  <c r="A5" i="7"/>
  <c r="D9" i="7"/>
  <c r="G9" i="7" s="1"/>
  <c r="B10" i="7"/>
  <c r="C10" i="7"/>
  <c r="D10" i="7"/>
  <c r="E10" i="7"/>
  <c r="D11" i="7"/>
  <c r="G11" i="7"/>
  <c r="B12" i="7"/>
  <c r="D12" i="7" s="1"/>
  <c r="C12" i="7"/>
  <c r="G12" i="7"/>
  <c r="B13" i="7"/>
  <c r="D13" i="7" s="1"/>
  <c r="G13" i="7" s="1"/>
  <c r="D14" i="7"/>
  <c r="G14" i="7"/>
  <c r="D15" i="7"/>
  <c r="G15" i="7"/>
  <c r="D16" i="7"/>
  <c r="G16" i="7" s="1"/>
  <c r="C17" i="7"/>
  <c r="D17" i="7"/>
  <c r="G17" i="7"/>
  <c r="D18" i="7"/>
  <c r="G18" i="7"/>
  <c r="D19" i="7"/>
  <c r="G19" i="7"/>
  <c r="D20" i="7"/>
  <c r="G20" i="7"/>
  <c r="D21" i="7"/>
  <c r="G21" i="7"/>
  <c r="D22" i="7"/>
  <c r="G22" i="7"/>
  <c r="D23" i="7"/>
  <c r="G23" i="7"/>
  <c r="D24" i="7"/>
  <c r="G24" i="7"/>
  <c r="D25" i="7"/>
  <c r="G25" i="7"/>
  <c r="D26" i="7"/>
  <c r="G26" i="7"/>
  <c r="D27" i="7"/>
  <c r="G27" i="7"/>
  <c r="D28" i="7"/>
  <c r="G28" i="7"/>
  <c r="D29" i="7"/>
  <c r="G29" i="7"/>
  <c r="D30" i="7"/>
  <c r="G30" i="7"/>
  <c r="D31" i="7"/>
  <c r="G31" i="7"/>
  <c r="C32" i="7"/>
  <c r="E32" i="7"/>
  <c r="F32" i="7"/>
  <c r="A4" i="6"/>
  <c r="A5" i="6"/>
  <c r="D9" i="6"/>
  <c r="G9" i="6"/>
  <c r="C10" i="6"/>
  <c r="C15" i="6" s="1"/>
  <c r="D10" i="6"/>
  <c r="G10" i="6" s="1"/>
  <c r="D11" i="6"/>
  <c r="G11" i="6"/>
  <c r="D12" i="6"/>
  <c r="G12" i="6" s="1"/>
  <c r="D13" i="6"/>
  <c r="G13" i="6"/>
  <c r="B15" i="6"/>
  <c r="D15" i="6"/>
  <c r="E15" i="6"/>
  <c r="F15" i="6"/>
  <c r="A2" i="5"/>
  <c r="C11" i="5"/>
  <c r="C10" i="5" s="1"/>
  <c r="D11" i="5"/>
  <c r="F11" i="5"/>
  <c r="G11" i="5"/>
  <c r="E12" i="5"/>
  <c r="E11" i="5" s="1"/>
  <c r="E13" i="5"/>
  <c r="H13" i="5"/>
  <c r="E14" i="5"/>
  <c r="H14" i="5"/>
  <c r="E15" i="5"/>
  <c r="H15" i="5" s="1"/>
  <c r="E16" i="5"/>
  <c r="H16" i="5"/>
  <c r="E17" i="5"/>
  <c r="H17" i="5"/>
  <c r="E18" i="5"/>
  <c r="H18" i="5" s="1"/>
  <c r="C19" i="5"/>
  <c r="D19" i="5"/>
  <c r="F19" i="5"/>
  <c r="G19" i="5"/>
  <c r="E20" i="5"/>
  <c r="H20" i="5" s="1"/>
  <c r="E21" i="5"/>
  <c r="H21" i="5"/>
  <c r="E22" i="5"/>
  <c r="H22" i="5"/>
  <c r="E23" i="5"/>
  <c r="H23" i="5"/>
  <c r="E24" i="5"/>
  <c r="H24" i="5" s="1"/>
  <c r="E25" i="5"/>
  <c r="H25" i="5"/>
  <c r="E26" i="5"/>
  <c r="H26" i="5"/>
  <c r="E27" i="5"/>
  <c r="H27" i="5"/>
  <c r="E28" i="5"/>
  <c r="H28" i="5" s="1"/>
  <c r="C29" i="5"/>
  <c r="D29" i="5"/>
  <c r="D10" i="5" s="1"/>
  <c r="F29" i="5"/>
  <c r="G29" i="5"/>
  <c r="E30" i="5"/>
  <c r="H30" i="5" s="1"/>
  <c r="H29" i="5" s="1"/>
  <c r="E31" i="5"/>
  <c r="H31" i="5"/>
  <c r="E32" i="5"/>
  <c r="H32" i="5"/>
  <c r="E33" i="5"/>
  <c r="H33" i="5"/>
  <c r="E34" i="5"/>
  <c r="H34" i="5" s="1"/>
  <c r="E35" i="5"/>
  <c r="H35" i="5"/>
  <c r="E36" i="5"/>
  <c r="H36" i="5"/>
  <c r="E37" i="5"/>
  <c r="H37" i="5"/>
  <c r="E38" i="5"/>
  <c r="H38" i="5" s="1"/>
  <c r="C39" i="5"/>
  <c r="D39" i="5"/>
  <c r="F39" i="5"/>
  <c r="G39" i="5"/>
  <c r="E40" i="5"/>
  <c r="H40" i="5" s="1"/>
  <c r="E41" i="5"/>
  <c r="H41" i="5"/>
  <c r="E42" i="5"/>
  <c r="H42" i="5"/>
  <c r="E43" i="5"/>
  <c r="H43" i="5"/>
  <c r="E44" i="5"/>
  <c r="H44" i="5" s="1"/>
  <c r="E45" i="5"/>
  <c r="H45" i="5"/>
  <c r="E46" i="5"/>
  <c r="H46" i="5"/>
  <c r="E47" i="5"/>
  <c r="H47" i="5"/>
  <c r="E48" i="5"/>
  <c r="H48" i="5" s="1"/>
  <c r="C49" i="5"/>
  <c r="D49" i="5"/>
  <c r="F49" i="5"/>
  <c r="G49" i="5"/>
  <c r="E50" i="5"/>
  <c r="H50" i="5" s="1"/>
  <c r="E51" i="5"/>
  <c r="H51" i="5"/>
  <c r="E52" i="5"/>
  <c r="H52" i="5"/>
  <c r="E53" i="5"/>
  <c r="H53" i="5"/>
  <c r="E54" i="5"/>
  <c r="H54" i="5" s="1"/>
  <c r="E55" i="5"/>
  <c r="H55" i="5"/>
  <c r="E56" i="5"/>
  <c r="H56" i="5"/>
  <c r="E57" i="5"/>
  <c r="H57" i="5"/>
  <c r="E58" i="5"/>
  <c r="H58" i="5" s="1"/>
  <c r="C59" i="5"/>
  <c r="D59" i="5"/>
  <c r="F59" i="5"/>
  <c r="G59" i="5"/>
  <c r="E60" i="5"/>
  <c r="H60" i="5" s="1"/>
  <c r="H59" i="5" s="1"/>
  <c r="E61" i="5"/>
  <c r="H61" i="5"/>
  <c r="E62" i="5"/>
  <c r="H62" i="5"/>
  <c r="C63" i="5"/>
  <c r="D63" i="5"/>
  <c r="F63" i="5"/>
  <c r="G63" i="5"/>
  <c r="E64" i="5"/>
  <c r="H64" i="5"/>
  <c r="E65" i="5"/>
  <c r="H65" i="5"/>
  <c r="E66" i="5"/>
  <c r="H66" i="5" s="1"/>
  <c r="E67" i="5"/>
  <c r="H67" i="5"/>
  <c r="E68" i="5"/>
  <c r="H68" i="5"/>
  <c r="E69" i="5"/>
  <c r="H69" i="5"/>
  <c r="E70" i="5"/>
  <c r="H70" i="5" s="1"/>
  <c r="E71" i="5"/>
  <c r="H71" i="5"/>
  <c r="C72" i="5"/>
  <c r="D72" i="5"/>
  <c r="F72" i="5"/>
  <c r="G72" i="5"/>
  <c r="E73" i="5"/>
  <c r="H73" i="5"/>
  <c r="H72" i="5" s="1"/>
  <c r="E74" i="5"/>
  <c r="H74" i="5"/>
  <c r="E75" i="5"/>
  <c r="E72" i="5" s="1"/>
  <c r="H75" i="5"/>
  <c r="C76" i="5"/>
  <c r="D76" i="5"/>
  <c r="F76" i="5"/>
  <c r="G76" i="5"/>
  <c r="E77" i="5"/>
  <c r="E76" i="5" s="1"/>
  <c r="H77" i="5"/>
  <c r="E78" i="5"/>
  <c r="H78" i="5" s="1"/>
  <c r="H76" i="5" s="1"/>
  <c r="E79" i="5"/>
  <c r="H79" i="5"/>
  <c r="E80" i="5"/>
  <c r="H80" i="5"/>
  <c r="E81" i="5"/>
  <c r="H81" i="5"/>
  <c r="E82" i="5"/>
  <c r="H82" i="5" s="1"/>
  <c r="E83" i="5"/>
  <c r="H83" i="5"/>
  <c r="G84" i="5"/>
  <c r="C85" i="5"/>
  <c r="D85" i="5"/>
  <c r="D84" i="5" s="1"/>
  <c r="F85" i="5"/>
  <c r="F84" i="5" s="1"/>
  <c r="G85" i="5"/>
  <c r="E86" i="5"/>
  <c r="H86" i="5" s="1"/>
  <c r="E87" i="5"/>
  <c r="H87" i="5"/>
  <c r="E88" i="5"/>
  <c r="H88" i="5"/>
  <c r="E89" i="5"/>
  <c r="H89" i="5"/>
  <c r="E90" i="5"/>
  <c r="H90" i="5" s="1"/>
  <c r="E91" i="5"/>
  <c r="H91" i="5"/>
  <c r="E92" i="5"/>
  <c r="H92" i="5"/>
  <c r="C93" i="5"/>
  <c r="C84" i="5" s="1"/>
  <c r="D93" i="5"/>
  <c r="F93" i="5"/>
  <c r="G93" i="5"/>
  <c r="E94" i="5"/>
  <c r="H94" i="5"/>
  <c r="H93" i="5" s="1"/>
  <c r="E95" i="5"/>
  <c r="H95" i="5"/>
  <c r="E96" i="5"/>
  <c r="H96" i="5" s="1"/>
  <c r="E97" i="5"/>
  <c r="H97" i="5"/>
  <c r="E98" i="5"/>
  <c r="H98" i="5"/>
  <c r="E99" i="5"/>
  <c r="H99" i="5"/>
  <c r="E100" i="5"/>
  <c r="H100" i="5" s="1"/>
  <c r="E101" i="5"/>
  <c r="H101" i="5"/>
  <c r="E102" i="5"/>
  <c r="H102" i="5"/>
  <c r="C103" i="5"/>
  <c r="D103" i="5"/>
  <c r="F103" i="5"/>
  <c r="G103" i="5"/>
  <c r="E104" i="5"/>
  <c r="H104" i="5"/>
  <c r="H103" i="5" s="1"/>
  <c r="E105" i="5"/>
  <c r="H105" i="5"/>
  <c r="E106" i="5"/>
  <c r="H106" i="5" s="1"/>
  <c r="E107" i="5"/>
  <c r="H107" i="5"/>
  <c r="E108" i="5"/>
  <c r="H108" i="5"/>
  <c r="E109" i="5"/>
  <c r="H109" i="5"/>
  <c r="E110" i="5"/>
  <c r="H110" i="5" s="1"/>
  <c r="E111" i="5"/>
  <c r="H111" i="5"/>
  <c r="E112" i="5"/>
  <c r="H112" i="5"/>
  <c r="C113" i="5"/>
  <c r="D113" i="5"/>
  <c r="F113" i="5"/>
  <c r="G113" i="5"/>
  <c r="E114" i="5"/>
  <c r="H114" i="5"/>
  <c r="H113" i="5" s="1"/>
  <c r="E115" i="5"/>
  <c r="H115" i="5"/>
  <c r="E116" i="5"/>
  <c r="H116" i="5" s="1"/>
  <c r="E117" i="5"/>
  <c r="H117" i="5"/>
  <c r="E118" i="5"/>
  <c r="H118" i="5"/>
  <c r="E119" i="5"/>
  <c r="H119" i="5"/>
  <c r="E120" i="5"/>
  <c r="H120" i="5" s="1"/>
  <c r="E121" i="5"/>
  <c r="H121" i="5"/>
  <c r="E122" i="5"/>
  <c r="H122" i="5"/>
  <c r="C123" i="5"/>
  <c r="D123" i="5"/>
  <c r="F123" i="5"/>
  <c r="G123" i="5"/>
  <c r="E124" i="5"/>
  <c r="H124" i="5"/>
  <c r="H123" i="5" s="1"/>
  <c r="E125" i="5"/>
  <c r="H125" i="5"/>
  <c r="E126" i="5"/>
  <c r="H126" i="5" s="1"/>
  <c r="E127" i="5"/>
  <c r="H127" i="5"/>
  <c r="E128" i="5"/>
  <c r="H128" i="5"/>
  <c r="E129" i="5"/>
  <c r="H129" i="5"/>
  <c r="E130" i="5"/>
  <c r="H130" i="5" s="1"/>
  <c r="E131" i="5"/>
  <c r="H131" i="5"/>
  <c r="E132" i="5"/>
  <c r="H132" i="5"/>
  <c r="C133" i="5"/>
  <c r="D133" i="5"/>
  <c r="E133" i="5"/>
  <c r="F133" i="5"/>
  <c r="G133" i="5"/>
  <c r="D134" i="5"/>
  <c r="E134" i="5"/>
  <c r="H134" i="5" s="1"/>
  <c r="H133" i="5" s="1"/>
  <c r="E135" i="5"/>
  <c r="H135" i="5"/>
  <c r="E136" i="5"/>
  <c r="H136" i="5"/>
  <c r="C137" i="5"/>
  <c r="D137" i="5"/>
  <c r="F137" i="5"/>
  <c r="G137" i="5"/>
  <c r="E138" i="5"/>
  <c r="H138" i="5"/>
  <c r="E139" i="5"/>
  <c r="H139" i="5" s="1"/>
  <c r="E140" i="5"/>
  <c r="E137" i="5" s="1"/>
  <c r="E141" i="5"/>
  <c r="H141" i="5"/>
  <c r="E142" i="5"/>
  <c r="H142" i="5"/>
  <c r="E143" i="5"/>
  <c r="H143" i="5" s="1"/>
  <c r="E144" i="5"/>
  <c r="H144" i="5" s="1"/>
  <c r="E145" i="5"/>
  <c r="H145" i="5"/>
  <c r="C146" i="5"/>
  <c r="D146" i="5"/>
  <c r="F146" i="5"/>
  <c r="G146" i="5"/>
  <c r="E147" i="5"/>
  <c r="E146" i="5" s="1"/>
  <c r="H147" i="5"/>
  <c r="E148" i="5"/>
  <c r="H148" i="5"/>
  <c r="E149" i="5"/>
  <c r="H149" i="5" s="1"/>
  <c r="C150" i="5"/>
  <c r="D150" i="5"/>
  <c r="F150" i="5"/>
  <c r="G150" i="5"/>
  <c r="E151" i="5"/>
  <c r="H151" i="5" s="1"/>
  <c r="E152" i="5"/>
  <c r="H152" i="5" s="1"/>
  <c r="E153" i="5"/>
  <c r="H153" i="5"/>
  <c r="E154" i="5"/>
  <c r="H154" i="5"/>
  <c r="E155" i="5"/>
  <c r="H155" i="5" s="1"/>
  <c r="E156" i="5"/>
  <c r="H156" i="5"/>
  <c r="E157" i="5"/>
  <c r="H157" i="5"/>
  <c r="E158" i="5"/>
  <c r="A4" i="4"/>
  <c r="A5" i="4"/>
  <c r="B9" i="4"/>
  <c r="D9" i="4" s="1"/>
  <c r="G9" i="4" s="1"/>
  <c r="C9" i="4"/>
  <c r="E9" i="4"/>
  <c r="F9" i="4"/>
  <c r="D10" i="4"/>
  <c r="G10" i="4"/>
  <c r="D11" i="4"/>
  <c r="G11" i="4" s="1"/>
  <c r="D12" i="4"/>
  <c r="G12" i="4"/>
  <c r="D13" i="4"/>
  <c r="G13" i="4"/>
  <c r="D14" i="4"/>
  <c r="G14" i="4"/>
  <c r="D15" i="4"/>
  <c r="G15" i="4" s="1"/>
  <c r="D16" i="4"/>
  <c r="G16" i="4"/>
  <c r="B17" i="4"/>
  <c r="C17" i="4"/>
  <c r="D17" i="4" s="1"/>
  <c r="G17" i="4" s="1"/>
  <c r="E17" i="4"/>
  <c r="F17" i="4"/>
  <c r="D18" i="4"/>
  <c r="G18" i="4"/>
  <c r="D19" i="4"/>
  <c r="G19" i="4"/>
  <c r="D20" i="4"/>
  <c r="G20" i="4"/>
  <c r="D21" i="4"/>
  <c r="G21" i="4" s="1"/>
  <c r="D22" i="4"/>
  <c r="G22" i="4"/>
  <c r="D23" i="4"/>
  <c r="G23" i="4"/>
  <c r="D24" i="4"/>
  <c r="G24" i="4"/>
  <c r="D25" i="4"/>
  <c r="G25" i="4" s="1"/>
  <c r="D26" i="4"/>
  <c r="G26" i="4"/>
  <c r="B27" i="4"/>
  <c r="C27" i="4"/>
  <c r="D27" i="4" s="1"/>
  <c r="G27" i="4" s="1"/>
  <c r="E27" i="4"/>
  <c r="F27" i="4"/>
  <c r="D28" i="4"/>
  <c r="G28" i="4"/>
  <c r="D29" i="4"/>
  <c r="G29" i="4"/>
  <c r="D30" i="4"/>
  <c r="G30" i="4"/>
  <c r="D31" i="4"/>
  <c r="G31" i="4" s="1"/>
  <c r="D32" i="4"/>
  <c r="G32" i="4"/>
  <c r="D33" i="4"/>
  <c r="G33" i="4"/>
  <c r="D34" i="4"/>
  <c r="G34" i="4"/>
  <c r="D35" i="4"/>
  <c r="G35" i="4" s="1"/>
  <c r="D36" i="4"/>
  <c r="G36" i="4"/>
  <c r="B37" i="4"/>
  <c r="C37" i="4"/>
  <c r="D37" i="4" s="1"/>
  <c r="G37" i="4" s="1"/>
  <c r="E37" i="4"/>
  <c r="F37" i="4"/>
  <c r="D38" i="4"/>
  <c r="G38" i="4"/>
  <c r="D39" i="4"/>
  <c r="G39" i="4"/>
  <c r="D40" i="4"/>
  <c r="G40" i="4"/>
  <c r="D41" i="4"/>
  <c r="G41" i="4" s="1"/>
  <c r="D42" i="4"/>
  <c r="G42" i="4"/>
  <c r="D43" i="4"/>
  <c r="G43" i="4"/>
  <c r="D44" i="4"/>
  <c r="G44" i="4"/>
  <c r="D45" i="4"/>
  <c r="G45" i="4" s="1"/>
  <c r="D46" i="4"/>
  <c r="G46" i="4"/>
  <c r="B47" i="4"/>
  <c r="C47" i="4"/>
  <c r="D47" i="4" s="1"/>
  <c r="G47" i="4" s="1"/>
  <c r="E47" i="4"/>
  <c r="F47" i="4"/>
  <c r="D48" i="4"/>
  <c r="G48" i="4"/>
  <c r="D49" i="4"/>
  <c r="G49" i="4"/>
  <c r="D50" i="4"/>
  <c r="G50" i="4"/>
  <c r="D51" i="4"/>
  <c r="G51" i="4" s="1"/>
  <c r="D52" i="4"/>
  <c r="G52" i="4"/>
  <c r="D53" i="4"/>
  <c r="G53" i="4"/>
  <c r="D54" i="4"/>
  <c r="G54" i="4"/>
  <c r="D55" i="4"/>
  <c r="G55" i="4" s="1"/>
  <c r="D56" i="4"/>
  <c r="G56" i="4"/>
  <c r="B57" i="4"/>
  <c r="C57" i="4"/>
  <c r="D57" i="4" s="1"/>
  <c r="G57" i="4" s="1"/>
  <c r="E57" i="4"/>
  <c r="F57" i="4"/>
  <c r="C58" i="4"/>
  <c r="D58" i="4"/>
  <c r="G58" i="4" s="1"/>
  <c r="D59" i="4"/>
  <c r="G59" i="4" s="1"/>
  <c r="D60" i="4"/>
  <c r="G60" i="4"/>
  <c r="B61" i="4"/>
  <c r="C61" i="4"/>
  <c r="D61" i="4"/>
  <c r="G61" i="4" s="1"/>
  <c r="E61" i="4"/>
  <c r="F61" i="4"/>
  <c r="D62" i="4"/>
  <c r="G62" i="4"/>
  <c r="D63" i="4"/>
  <c r="G63" i="4"/>
  <c r="D64" i="4"/>
  <c r="G64" i="4" s="1"/>
  <c r="D65" i="4"/>
  <c r="G65" i="4" s="1"/>
  <c r="D66" i="4"/>
  <c r="G66" i="4"/>
  <c r="D67" i="4"/>
  <c r="G67" i="4"/>
  <c r="D68" i="4"/>
  <c r="G68" i="4" s="1"/>
  <c r="B69" i="4"/>
  <c r="D69" i="4" s="1"/>
  <c r="G69" i="4" s="1"/>
  <c r="C69" i="4"/>
  <c r="E69" i="4"/>
  <c r="F69" i="4"/>
  <c r="D70" i="4"/>
  <c r="G70" i="4" s="1"/>
  <c r="D71" i="4"/>
  <c r="G71" i="4" s="1"/>
  <c r="D72" i="4"/>
  <c r="G72" i="4"/>
  <c r="B73" i="4"/>
  <c r="C73" i="4"/>
  <c r="D73" i="4"/>
  <c r="G73" i="4" s="1"/>
  <c r="E73" i="4"/>
  <c r="F73" i="4"/>
  <c r="F81" i="4" s="1"/>
  <c r="D74" i="4"/>
  <c r="G74" i="4"/>
  <c r="D75" i="4"/>
  <c r="G75" i="4"/>
  <c r="D76" i="4"/>
  <c r="G76" i="4" s="1"/>
  <c r="D77" i="4"/>
  <c r="G77" i="4" s="1"/>
  <c r="D78" i="4"/>
  <c r="G78" i="4"/>
  <c r="D79" i="4"/>
  <c r="G79" i="4"/>
  <c r="D80" i="4"/>
  <c r="G80" i="4" s="1"/>
  <c r="E81" i="4"/>
  <c r="C6" i="14" s="1"/>
  <c r="A3" i="3"/>
  <c r="A4" i="3"/>
  <c r="D9" i="3"/>
  <c r="E10" i="3"/>
  <c r="E12" i="3"/>
  <c r="E13" i="3"/>
  <c r="E14" i="3"/>
  <c r="D18" i="3"/>
  <c r="A3" i="2"/>
  <c r="A4" i="2"/>
  <c r="A5" i="5" s="1"/>
  <c r="F11" i="2"/>
  <c r="I11" i="2"/>
  <c r="F12" i="2"/>
  <c r="I12" i="2"/>
  <c r="F13" i="2"/>
  <c r="I13" i="2"/>
  <c r="F14" i="2"/>
  <c r="I14" i="2"/>
  <c r="F15" i="2"/>
  <c r="I15" i="2"/>
  <c r="F16" i="2"/>
  <c r="I16" i="2"/>
  <c r="F17" i="2"/>
  <c r="I17" i="2"/>
  <c r="D18" i="2"/>
  <c r="E18" i="2"/>
  <c r="E44" i="2" s="1"/>
  <c r="G18" i="2"/>
  <c r="H18" i="2"/>
  <c r="F20" i="2"/>
  <c r="F18" i="2" s="1"/>
  <c r="I20" i="2"/>
  <c r="I18" i="2" s="1"/>
  <c r="F21" i="2"/>
  <c r="I21" i="2"/>
  <c r="F22" i="2"/>
  <c r="I22" i="2"/>
  <c r="F23" i="2"/>
  <c r="I23" i="2"/>
  <c r="F24" i="2"/>
  <c r="I24" i="2"/>
  <c r="F25" i="2"/>
  <c r="I25" i="2"/>
  <c r="F26" i="2"/>
  <c r="I26" i="2"/>
  <c r="F27" i="2"/>
  <c r="I27" i="2"/>
  <c r="F28" i="2"/>
  <c r="I28" i="2"/>
  <c r="F29" i="2"/>
  <c r="I29" i="2"/>
  <c r="F30" i="2"/>
  <c r="I30" i="2"/>
  <c r="D31" i="2"/>
  <c r="E31" i="2"/>
  <c r="G31" i="2"/>
  <c r="H31" i="2"/>
  <c r="I31" i="2"/>
  <c r="I32" i="2"/>
  <c r="F33" i="2"/>
  <c r="I33" i="2"/>
  <c r="F34" i="2"/>
  <c r="I34" i="2"/>
  <c r="F35" i="2"/>
  <c r="I35" i="2"/>
  <c r="F36" i="2"/>
  <c r="F31" i="2" s="1"/>
  <c r="I36" i="2"/>
  <c r="F37" i="2"/>
  <c r="I37" i="2"/>
  <c r="D38" i="2"/>
  <c r="E38" i="2"/>
  <c r="G38" i="2"/>
  <c r="G44" i="2" s="1"/>
  <c r="H38" i="2"/>
  <c r="H44" i="2" s="1"/>
  <c r="F39" i="2"/>
  <c r="F38" i="2" s="1"/>
  <c r="I39" i="2"/>
  <c r="I38" i="2" s="1"/>
  <c r="D40" i="2"/>
  <c r="E40" i="2"/>
  <c r="G40" i="2"/>
  <c r="H40" i="2"/>
  <c r="F41" i="2"/>
  <c r="I41" i="2"/>
  <c r="I40" i="2" s="1"/>
  <c r="F42" i="2"/>
  <c r="F40" i="2" s="1"/>
  <c r="I42" i="2"/>
  <c r="D44" i="2"/>
  <c r="D50" i="2"/>
  <c r="D70" i="2" s="1"/>
  <c r="D75" i="2" s="1"/>
  <c r="E50" i="2"/>
  <c r="G50" i="2"/>
  <c r="G70" i="2" s="1"/>
  <c r="H50" i="2"/>
  <c r="F51" i="2"/>
  <c r="F50" i="2" s="1"/>
  <c r="F70" i="2" s="1"/>
  <c r="I51" i="2"/>
  <c r="F52" i="2"/>
  <c r="I52" i="2"/>
  <c r="I50" i="2" s="1"/>
  <c r="F53" i="2"/>
  <c r="I53" i="2"/>
  <c r="F54" i="2"/>
  <c r="I54" i="2"/>
  <c r="F55" i="2"/>
  <c r="I55" i="2"/>
  <c r="F56" i="2"/>
  <c r="I56" i="2"/>
  <c r="F57" i="2"/>
  <c r="I57" i="2"/>
  <c r="F58" i="2"/>
  <c r="I58" i="2"/>
  <c r="D59" i="2"/>
  <c r="E59" i="2"/>
  <c r="F59" i="2"/>
  <c r="G59" i="2"/>
  <c r="H59" i="2"/>
  <c r="I59" i="2"/>
  <c r="F60" i="2"/>
  <c r="I60" i="2"/>
  <c r="I61" i="2"/>
  <c r="I62" i="2"/>
  <c r="I63" i="2"/>
  <c r="D64" i="2"/>
  <c r="E64" i="2"/>
  <c r="E70" i="2" s="1"/>
  <c r="F64" i="2"/>
  <c r="G64" i="2"/>
  <c r="H64" i="2"/>
  <c r="F65" i="2"/>
  <c r="I65" i="2"/>
  <c r="I64" i="2" s="1"/>
  <c r="I66" i="2"/>
  <c r="F67" i="2"/>
  <c r="I67" i="2"/>
  <c r="F68" i="2"/>
  <c r="I68" i="2"/>
  <c r="H70" i="2"/>
  <c r="D72" i="2"/>
  <c r="E72" i="2"/>
  <c r="F72" i="2"/>
  <c r="G72" i="2"/>
  <c r="H72" i="2"/>
  <c r="I73" i="2"/>
  <c r="I72" i="2" s="1"/>
  <c r="F78" i="2"/>
  <c r="F80" i="2" s="1"/>
  <c r="I78" i="2"/>
  <c r="F79" i="2"/>
  <c r="I79" i="2"/>
  <c r="D80" i="2"/>
  <c r="E80" i="2"/>
  <c r="G80" i="2"/>
  <c r="H80" i="2"/>
  <c r="I80" i="2"/>
  <c r="A3" i="1"/>
  <c r="A4" i="1"/>
  <c r="E10" i="1"/>
  <c r="H10" i="1"/>
  <c r="E11" i="1"/>
  <c r="E20" i="1" s="1"/>
  <c r="H11" i="1"/>
  <c r="E12" i="1"/>
  <c r="H12" i="1"/>
  <c r="E13" i="1"/>
  <c r="H13" i="1"/>
  <c r="E14" i="1"/>
  <c r="H14" i="1"/>
  <c r="E15" i="1"/>
  <c r="H15" i="1"/>
  <c r="E16" i="1"/>
  <c r="H16" i="1"/>
  <c r="E17" i="1"/>
  <c r="H17" i="1"/>
  <c r="E18" i="1"/>
  <c r="H18" i="1"/>
  <c r="E19" i="1"/>
  <c r="H19" i="1"/>
  <c r="C20" i="1"/>
  <c r="D20" i="1"/>
  <c r="F20" i="1"/>
  <c r="D6" i="3" s="1"/>
  <c r="G20" i="1"/>
  <c r="H20" i="1" s="1"/>
  <c r="H21" i="1"/>
  <c r="C26" i="1"/>
  <c r="D26" i="1"/>
  <c r="F26" i="1"/>
  <c r="G26" i="1"/>
  <c r="E27" i="1"/>
  <c r="H27" i="1"/>
  <c r="H26" i="1" s="1"/>
  <c r="E29" i="1"/>
  <c r="E26" i="1" s="1"/>
  <c r="E45" i="1" s="1"/>
  <c r="H29" i="1"/>
  <c r="E30" i="1"/>
  <c r="H30" i="1"/>
  <c r="E31" i="1"/>
  <c r="H31" i="1"/>
  <c r="E32" i="1"/>
  <c r="H32" i="1"/>
  <c r="E33" i="1"/>
  <c r="H33" i="1"/>
  <c r="E34" i="1"/>
  <c r="H34" i="1"/>
  <c r="C36" i="1"/>
  <c r="C45" i="1" s="1"/>
  <c r="D36" i="1"/>
  <c r="F36" i="1"/>
  <c r="F45" i="1" s="1"/>
  <c r="G36" i="1"/>
  <c r="E37" i="1"/>
  <c r="E36" i="1" s="1"/>
  <c r="H37" i="1"/>
  <c r="E39" i="1"/>
  <c r="H39" i="1"/>
  <c r="E40" i="1"/>
  <c r="H40" i="1"/>
  <c r="H36" i="1" s="1"/>
  <c r="C42" i="1"/>
  <c r="D42" i="1"/>
  <c r="E42" i="1"/>
  <c r="F42" i="1"/>
  <c r="G42" i="1"/>
  <c r="E43" i="1"/>
  <c r="H43" i="1"/>
  <c r="H42" i="1" s="1"/>
  <c r="D45" i="1"/>
  <c r="G45" i="1"/>
  <c r="H45" i="1" l="1"/>
  <c r="D23" i="3"/>
  <c r="E23" i="3" s="1"/>
  <c r="E6" i="3"/>
  <c r="G75" i="2"/>
  <c r="F44" i="2"/>
  <c r="F75" i="2" s="1"/>
  <c r="H85" i="5"/>
  <c r="I47" i="2"/>
  <c r="H75" i="2"/>
  <c r="H46" i="1"/>
  <c r="H48" i="11"/>
  <c r="H27" i="10"/>
  <c r="H19" i="6"/>
  <c r="H49" i="5"/>
  <c r="D159" i="5"/>
  <c r="H19" i="5"/>
  <c r="I44" i="2"/>
  <c r="E75" i="2"/>
  <c r="I70" i="2"/>
  <c r="H150" i="5"/>
  <c r="H146" i="5"/>
  <c r="H63" i="5"/>
  <c r="H39" i="5"/>
  <c r="G21" i="8"/>
  <c r="G23" i="10"/>
  <c r="J80" i="2"/>
  <c r="J86" i="2"/>
  <c r="C159" i="5"/>
  <c r="H363" i="15"/>
  <c r="I363" i="15"/>
  <c r="H338" i="15"/>
  <c r="I338" i="15"/>
  <c r="I182" i="15"/>
  <c r="H182" i="15"/>
  <c r="E150" i="5"/>
  <c r="C10" i="8"/>
  <c r="C31" i="8" s="1"/>
  <c r="H32" i="8" s="1"/>
  <c r="D19" i="8"/>
  <c r="G19" i="8" s="1"/>
  <c r="B10" i="8"/>
  <c r="B31" i="8" s="1"/>
  <c r="H31" i="8" s="1"/>
  <c r="H18" i="9"/>
  <c r="H355" i="15"/>
  <c r="I355" i="15"/>
  <c r="H288" i="15"/>
  <c r="I288" i="15"/>
  <c r="H199" i="15"/>
  <c r="I199" i="15"/>
  <c r="H155" i="15"/>
  <c r="I155" i="15"/>
  <c r="H95" i="15"/>
  <c r="I95" i="15"/>
  <c r="C42" i="14"/>
  <c r="D43" i="14" s="1"/>
  <c r="D6" i="14"/>
  <c r="C316" i="15"/>
  <c r="C81" i="4"/>
  <c r="H140" i="5"/>
  <c r="H137" i="5" s="1"/>
  <c r="H12" i="5"/>
  <c r="H11" i="5" s="1"/>
  <c r="B32" i="7"/>
  <c r="H47" i="11"/>
  <c r="H277" i="15"/>
  <c r="I277" i="15"/>
  <c r="B81" i="4"/>
  <c r="D21" i="8"/>
  <c r="H15" i="9"/>
  <c r="D15" i="9"/>
  <c r="H24" i="10"/>
  <c r="I86" i="12"/>
  <c r="H48" i="12"/>
  <c r="E11" i="12"/>
  <c r="E10" i="12" s="1"/>
  <c r="G21" i="13"/>
  <c r="H370" i="15"/>
  <c r="I370" i="15"/>
  <c r="E364" i="15"/>
  <c r="H326" i="15"/>
  <c r="I326" i="15"/>
  <c r="C258" i="15"/>
  <c r="E259" i="15"/>
  <c r="I214" i="15"/>
  <c r="H214" i="15"/>
  <c r="E202" i="15"/>
  <c r="D194" i="15"/>
  <c r="E194" i="15" s="1"/>
  <c r="E186" i="15"/>
  <c r="C185" i="15"/>
  <c r="E113" i="5"/>
  <c r="E85" i="5"/>
  <c r="E84" i="5" s="1"/>
  <c r="E59" i="5"/>
  <c r="E49" i="5"/>
  <c r="E39" i="5"/>
  <c r="E29" i="5"/>
  <c r="E19" i="5"/>
  <c r="E10" i="5" s="1"/>
  <c r="E159" i="5" s="1"/>
  <c r="G10" i="5"/>
  <c r="G159" i="5" s="1"/>
  <c r="I160" i="5" s="1"/>
  <c r="H29" i="6"/>
  <c r="H34" i="7"/>
  <c r="G83" i="12"/>
  <c r="I87" i="12" s="1"/>
  <c r="G9" i="13"/>
  <c r="G32" i="13" s="1"/>
  <c r="H369" i="15"/>
  <c r="I369" i="15"/>
  <c r="H354" i="15"/>
  <c r="I354" i="15"/>
  <c r="E271" i="15"/>
  <c r="C270" i="15"/>
  <c r="H233" i="15"/>
  <c r="I233" i="15"/>
  <c r="E123" i="5"/>
  <c r="E103" i="5"/>
  <c r="E63" i="5"/>
  <c r="H19" i="9"/>
  <c r="I216" i="15"/>
  <c r="H216" i="15"/>
  <c r="F10" i="5"/>
  <c r="F159" i="5" s="1"/>
  <c r="I159" i="5" s="1"/>
  <c r="H18" i="6"/>
  <c r="G10" i="8"/>
  <c r="G31" i="8" s="1"/>
  <c r="H26" i="10"/>
  <c r="H46" i="11"/>
  <c r="H62" i="12"/>
  <c r="H58" i="12" s="1"/>
  <c r="E58" i="12"/>
  <c r="E47" i="12" s="1"/>
  <c r="D245" i="15"/>
  <c r="E246" i="15"/>
  <c r="H195" i="15"/>
  <c r="I195" i="15"/>
  <c r="E136" i="15"/>
  <c r="C135" i="15"/>
  <c r="E93" i="5"/>
  <c r="G15" i="6"/>
  <c r="H35" i="7"/>
  <c r="D10" i="8"/>
  <c r="D31" i="8" s="1"/>
  <c r="B45" i="11"/>
  <c r="H41" i="12"/>
  <c r="D83" i="12"/>
  <c r="I84" i="12" s="1"/>
  <c r="D21" i="13"/>
  <c r="D16" i="13"/>
  <c r="E353" i="15"/>
  <c r="I212" i="15"/>
  <c r="H212" i="15"/>
  <c r="H209" i="15"/>
  <c r="I209" i="15"/>
  <c r="I78" i="15"/>
  <c r="H78" i="15"/>
  <c r="H15" i="6"/>
  <c r="G10" i="7"/>
  <c r="F31" i="8"/>
  <c r="H35" i="8" s="1"/>
  <c r="H21" i="12"/>
  <c r="H10" i="12" s="1"/>
  <c r="C83" i="12"/>
  <c r="F32" i="13"/>
  <c r="D9" i="13"/>
  <c r="D32" i="13" s="1"/>
  <c r="E337" i="15"/>
  <c r="H323" i="15"/>
  <c r="I323" i="15"/>
  <c r="I222" i="15"/>
  <c r="H222" i="15"/>
  <c r="H197" i="15"/>
  <c r="I197" i="15"/>
  <c r="D368" i="15"/>
  <c r="D367" i="15" s="1"/>
  <c r="D358" i="15" s="1"/>
  <c r="E344" i="15"/>
  <c r="E276" i="15"/>
  <c r="D270" i="15"/>
  <c r="I226" i="15"/>
  <c r="I224" i="15"/>
  <c r="I221" i="15"/>
  <c r="D211" i="15"/>
  <c r="E192" i="15"/>
  <c r="I181" i="15"/>
  <c r="H142" i="15"/>
  <c r="I142" i="15"/>
  <c r="H112" i="15"/>
  <c r="I112" i="15"/>
  <c r="H53" i="15"/>
  <c r="I53" i="15"/>
  <c r="H47" i="15"/>
  <c r="I47" i="15"/>
  <c r="H78" i="12"/>
  <c r="H77" i="12" s="1"/>
  <c r="E366" i="15"/>
  <c r="I290" i="15"/>
  <c r="H250" i="15"/>
  <c r="I247" i="15"/>
  <c r="E229" i="15"/>
  <c r="C220" i="15"/>
  <c r="E220" i="15" s="1"/>
  <c r="E204" i="15"/>
  <c r="H184" i="15"/>
  <c r="H169" i="15"/>
  <c r="I169" i="15"/>
  <c r="I158" i="15"/>
  <c r="I154" i="15"/>
  <c r="I148" i="15"/>
  <c r="H116" i="15"/>
  <c r="I116" i="15"/>
  <c r="C86" i="15"/>
  <c r="E86" i="15" s="1"/>
  <c r="H84" i="15"/>
  <c r="H81" i="15"/>
  <c r="I81" i="15"/>
  <c r="C77" i="15"/>
  <c r="H32" i="15"/>
  <c r="C359" i="15"/>
  <c r="H318" i="15"/>
  <c r="C235" i="15"/>
  <c r="E235" i="15" s="1"/>
  <c r="E211" i="15"/>
  <c r="H188" i="15"/>
  <c r="I188" i="15"/>
  <c r="I160" i="15"/>
  <c r="I150" i="15"/>
  <c r="H138" i="15"/>
  <c r="I138" i="15"/>
  <c r="E126" i="15"/>
  <c r="D125" i="15"/>
  <c r="H122" i="15"/>
  <c r="I122" i="15"/>
  <c r="H111" i="15"/>
  <c r="I111" i="15"/>
  <c r="I68" i="15"/>
  <c r="H68" i="15"/>
  <c r="I64" i="15"/>
  <c r="H64" i="15"/>
  <c r="H20" i="15"/>
  <c r="I20" i="15"/>
  <c r="I249" i="15"/>
  <c r="H157" i="15"/>
  <c r="I157" i="15"/>
  <c r="H153" i="15"/>
  <c r="I153" i="15"/>
  <c r="H144" i="15"/>
  <c r="I144" i="15"/>
  <c r="H115" i="15"/>
  <c r="I115" i="15"/>
  <c r="H98" i="15"/>
  <c r="I98" i="15"/>
  <c r="H55" i="15"/>
  <c r="I55" i="15"/>
  <c r="H49" i="15"/>
  <c r="I49" i="15"/>
  <c r="E41" i="12"/>
  <c r="E30" i="12"/>
  <c r="D317" i="15"/>
  <c r="D316" i="15" s="1"/>
  <c r="D315" i="15" s="1"/>
  <c r="H240" i="15"/>
  <c r="I240" i="15"/>
  <c r="I236" i="15"/>
  <c r="E231" i="15"/>
  <c r="H207" i="15"/>
  <c r="I207" i="15"/>
  <c r="I179" i="15"/>
  <c r="H124" i="15"/>
  <c r="I124" i="15"/>
  <c r="H118" i="15"/>
  <c r="I118" i="15"/>
  <c r="E83" i="15"/>
  <c r="H11" i="15"/>
  <c r="I11" i="15"/>
  <c r="E32" i="16"/>
  <c r="E293" i="15"/>
  <c r="E190" i="15"/>
  <c r="H171" i="15"/>
  <c r="I171" i="15"/>
  <c r="H167" i="15"/>
  <c r="I167" i="15"/>
  <c r="I156" i="15"/>
  <c r="I152" i="15"/>
  <c r="H140" i="15"/>
  <c r="I140" i="15"/>
  <c r="H109" i="15"/>
  <c r="I109" i="15"/>
  <c r="I87" i="15"/>
  <c r="H87" i="15"/>
  <c r="H74" i="15"/>
  <c r="I74" i="15"/>
  <c r="H57" i="15"/>
  <c r="I57" i="15"/>
  <c r="H51" i="15"/>
  <c r="I51" i="15"/>
  <c r="E45" i="15"/>
  <c r="C44" i="15"/>
  <c r="E44" i="15" s="1"/>
  <c r="H30" i="15"/>
  <c r="E22" i="15"/>
  <c r="D185" i="15"/>
  <c r="E100" i="15"/>
  <c r="I70" i="15"/>
  <c r="H70" i="15"/>
  <c r="I66" i="15"/>
  <c r="H66" i="15"/>
  <c r="I62" i="15"/>
  <c r="H62" i="15"/>
  <c r="H43" i="15"/>
  <c r="I43" i="15"/>
  <c r="I35" i="15"/>
  <c r="H35" i="15"/>
  <c r="D166" i="15"/>
  <c r="C61" i="15"/>
  <c r="C34" i="15"/>
  <c r="E34" i="15" s="1"/>
  <c r="D10" i="15"/>
  <c r="I219" i="15"/>
  <c r="I217" i="15"/>
  <c r="I215" i="15"/>
  <c r="I213" i="15"/>
  <c r="I106" i="15"/>
  <c r="I85" i="15"/>
  <c r="I79" i="15"/>
  <c r="I41" i="15"/>
  <c r="I39" i="15"/>
  <c r="I37" i="15"/>
  <c r="I33" i="15"/>
  <c r="I31" i="15"/>
  <c r="I29" i="15"/>
  <c r="C19" i="15"/>
  <c r="D100" i="15"/>
  <c r="D83" i="15"/>
  <c r="D77" i="15"/>
  <c r="E38" i="15"/>
  <c r="H194" i="15" l="1"/>
  <c r="I194" i="15"/>
  <c r="H259" i="15"/>
  <c r="I259" i="15"/>
  <c r="J90" i="2"/>
  <c r="J84" i="2"/>
  <c r="H231" i="15"/>
  <c r="I231" i="15"/>
  <c r="D120" i="15"/>
  <c r="E120" i="15" s="1"/>
  <c r="E125" i="15"/>
  <c r="H211" i="15"/>
  <c r="I211" i="15"/>
  <c r="H366" i="15"/>
  <c r="I366" i="15"/>
  <c r="D45" i="11"/>
  <c r="G45" i="11" s="1"/>
  <c r="H45" i="11"/>
  <c r="C252" i="15"/>
  <c r="E252" i="15" s="1"/>
  <c r="E258" i="15"/>
  <c r="H47" i="12"/>
  <c r="H83" i="12" s="1"/>
  <c r="I88" i="12" s="1"/>
  <c r="E317" i="15"/>
  <c r="I156" i="5"/>
  <c r="H45" i="15"/>
  <c r="I45" i="15"/>
  <c r="I271" i="15"/>
  <c r="H271" i="15"/>
  <c r="H126" i="15"/>
  <c r="I126" i="15"/>
  <c r="H235" i="15"/>
  <c r="I235" i="15"/>
  <c r="I86" i="15"/>
  <c r="H86" i="15"/>
  <c r="H33" i="8"/>
  <c r="I246" i="15"/>
  <c r="H246" i="15"/>
  <c r="E185" i="15"/>
  <c r="I155" i="5"/>
  <c r="H84" i="5"/>
  <c r="H83" i="15"/>
  <c r="I83" i="15"/>
  <c r="E83" i="12"/>
  <c r="H276" i="15"/>
  <c r="I276" i="15"/>
  <c r="H353" i="15"/>
  <c r="I353" i="15"/>
  <c r="E245" i="15"/>
  <c r="D244" i="15"/>
  <c r="E244" i="15" s="1"/>
  <c r="H186" i="15"/>
  <c r="I186" i="15"/>
  <c r="H32" i="7"/>
  <c r="D32" i="7"/>
  <c r="G32" i="7" s="1"/>
  <c r="H36" i="8" s="1"/>
  <c r="J82" i="2"/>
  <c r="J88" i="2"/>
  <c r="I293" i="15"/>
  <c r="H293" i="15"/>
  <c r="E359" i="15"/>
  <c r="H359" i="15" s="1"/>
  <c r="C358" i="15"/>
  <c r="I220" i="15"/>
  <c r="H220" i="15"/>
  <c r="I344" i="15"/>
  <c r="H344" i="15"/>
  <c r="H337" i="15"/>
  <c r="I337" i="15"/>
  <c r="E368" i="15"/>
  <c r="E367" i="15"/>
  <c r="E166" i="15"/>
  <c r="H364" i="15"/>
  <c r="I364" i="15"/>
  <c r="G15" i="9"/>
  <c r="H17" i="9"/>
  <c r="H10" i="5"/>
  <c r="H159" i="5" s="1"/>
  <c r="J89" i="2"/>
  <c r="J83" i="2"/>
  <c r="C315" i="15"/>
  <c r="E315" i="15" s="1"/>
  <c r="E316" i="15"/>
  <c r="I38" i="15"/>
  <c r="H38" i="15"/>
  <c r="H100" i="15"/>
  <c r="I100" i="15"/>
  <c r="E10" i="15"/>
  <c r="D9" i="15"/>
  <c r="H22" i="15"/>
  <c r="I22" i="15"/>
  <c r="H229" i="15"/>
  <c r="I229" i="15"/>
  <c r="H192" i="15"/>
  <c r="I192" i="15"/>
  <c r="H202" i="15"/>
  <c r="I202" i="15"/>
  <c r="J81" i="2"/>
  <c r="J87" i="2"/>
  <c r="H190" i="15"/>
  <c r="I190" i="15"/>
  <c r="H204" i="15"/>
  <c r="I204" i="15"/>
  <c r="I34" i="15"/>
  <c r="H34" i="15"/>
  <c r="E77" i="15"/>
  <c r="E135" i="15"/>
  <c r="C134" i="15"/>
  <c r="H16" i="9"/>
  <c r="H33" i="7"/>
  <c r="H26" i="6"/>
  <c r="H16" i="6"/>
  <c r="C9" i="15"/>
  <c r="E19" i="15"/>
  <c r="E61" i="15"/>
  <c r="C60" i="15"/>
  <c r="H44" i="15"/>
  <c r="I44" i="15"/>
  <c r="I83" i="12"/>
  <c r="H136" i="15"/>
  <c r="I136" i="15"/>
  <c r="E270" i="15"/>
  <c r="H23" i="10"/>
  <c r="D81" i="4"/>
  <c r="I75" i="2"/>
  <c r="H10" i="15" l="1"/>
  <c r="I10" i="15"/>
  <c r="E358" i="15"/>
  <c r="C372" i="15"/>
  <c r="H34" i="8"/>
  <c r="H252" i="15"/>
  <c r="I252" i="15"/>
  <c r="H125" i="15"/>
  <c r="I125" i="15"/>
  <c r="D134" i="15"/>
  <c r="H368" i="15"/>
  <c r="I368" i="15"/>
  <c r="H120" i="15"/>
  <c r="I120" i="15"/>
  <c r="J91" i="2"/>
  <c r="J85" i="2"/>
  <c r="H244" i="15"/>
  <c r="I244" i="15"/>
  <c r="D60" i="15"/>
  <c r="G81" i="4"/>
  <c r="H17" i="6"/>
  <c r="H25" i="10"/>
  <c r="H27" i="6"/>
  <c r="H28" i="6"/>
  <c r="E134" i="15"/>
  <c r="H20" i="9"/>
  <c r="H245" i="15"/>
  <c r="I245" i="15"/>
  <c r="H49" i="11"/>
  <c r="H367" i="15"/>
  <c r="I367" i="15"/>
  <c r="H258" i="15"/>
  <c r="I258" i="15"/>
  <c r="E60" i="15"/>
  <c r="I61" i="15"/>
  <c r="H61" i="15"/>
  <c r="I135" i="15"/>
  <c r="H135" i="15"/>
  <c r="H270" i="15"/>
  <c r="I270" i="15"/>
  <c r="I19" i="15"/>
  <c r="H19" i="15"/>
  <c r="H77" i="15"/>
  <c r="I77" i="15"/>
  <c r="I316" i="15"/>
  <c r="H316" i="15"/>
  <c r="H185" i="15"/>
  <c r="I185" i="15"/>
  <c r="I317" i="15"/>
  <c r="H317" i="15"/>
  <c r="E9" i="15"/>
  <c r="H315" i="15"/>
  <c r="I315" i="15"/>
  <c r="H166" i="15"/>
  <c r="I166" i="15"/>
  <c r="I157" i="5"/>
  <c r="H28" i="10" l="1"/>
  <c r="H30" i="6"/>
  <c r="H9" i="15"/>
  <c r="I9" i="15"/>
  <c r="H60" i="15"/>
  <c r="I60" i="15"/>
  <c r="H22" i="9"/>
  <c r="I158" i="5"/>
  <c r="H358" i="15"/>
  <c r="I358" i="15"/>
  <c r="E372" i="15"/>
  <c r="H36" i="7"/>
  <c r="H134" i="15"/>
  <c r="I134" i="15"/>
  <c r="D372" i="15"/>
  <c r="H372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G21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Evaluación:
</t>
        </r>
        <r>
          <rPr>
            <sz val="9"/>
            <color indexed="81"/>
            <rFont val="Tahoma"/>
            <family val="2"/>
          </rPr>
          <t xml:space="preserve">Total Ingreso Recaudado Anual - Total Ingreso Estimado Anual
</t>
        </r>
      </text>
    </comment>
    <comment ref="G46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Evaluación:
Total Ingreso Recaudado Anual - Total Ingreso Estimado Anual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D6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EVALUACIÓN:
VERIFICA QUE COINCIDAN LAS CANTIDADES  DE TOTAL DE INGRESOS CON LO REPORTADO EN EL FORMATO ETCA-II-01 EN EL TOTAL DE LA COLUMNA DE TOTAL DE INGRESOS DEVENGADO ANUAL (4)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EVALUACIÓN:
VERIFICA QUE COINCIDAN LAS CANTIDADES  DE TOTAL DE INGRESOS CON LO REPORTADO EN EL FORMATO ETCA-I-03 EN EL MISMO RUBRO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C6" authorId="0" shapeId="0" xr:uid="{00000000-0006-0000-1A00-000001000000}">
      <text>
        <r>
          <rPr>
            <b/>
            <sz val="9"/>
            <color indexed="81"/>
            <rFont val="Tahoma"/>
            <family val="2"/>
          </rPr>
          <t>EVALUACIÓN:
VERIFICA QUE COINCIDAN LAS CANTIDADES  DE TOTAL DE EGRESOS CON LO REPORTADO EN EL FORMATO ETCA-II-04 EN EL TOTAL DE LA COLUMNA DE EGRESOS DEVENGADO ANUAL.</t>
        </r>
      </text>
    </comment>
    <comment ref="C42" authorId="0" shapeId="0" xr:uid="{00000000-0006-0000-1A00-000002000000}">
      <text>
        <r>
          <rPr>
            <b/>
            <sz val="9"/>
            <color indexed="81"/>
            <rFont val="Tahoma"/>
            <family val="2"/>
          </rPr>
          <t>EVALUACIÓN:
VERIFICA QUE COINCIDAN LAS CANTIDADES  DEL TOTAL GASTO CONTABLE CON LO REPORTADO EN EL FORMATO ETCA-I-03 EN EL TOTAL DE GASTOS Y OTRAS PÉRDIDAS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Ismael Norzagaray</author>
  </authors>
  <commentList>
    <comment ref="D362" authorId="0" shapeId="0" xr:uid="{00000000-0006-0000-1B00-000001000000}">
      <text>
        <r>
          <rPr>
            <sz val="9"/>
            <color indexed="81"/>
            <rFont val="Tahoma"/>
            <family val="2"/>
          </rPr>
          <t xml:space="preserve">adec. Marzo 39201
</t>
        </r>
      </text>
    </comment>
    <comment ref="D365" authorId="0" shapeId="0" xr:uid="{00000000-0006-0000-1B00-000002000000}">
      <text>
        <r>
          <rPr>
            <b/>
            <sz val="9"/>
            <color indexed="81"/>
            <rFont val="Tahoma"/>
            <family val="2"/>
          </rPr>
          <t>adec. Marzo 39201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6" authorId="0" shapeId="0" xr:uid="{00000000-0006-0000-1B00-000003000000}">
      <text>
        <r>
          <rPr>
            <b/>
            <sz val="9"/>
            <color indexed="81"/>
            <rFont val="Tahoma"/>
            <family val="2"/>
          </rPr>
          <t>adec marzo 39201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9" authorId="0" shapeId="0" xr:uid="{00000000-0006-0000-1B00-000004000000}">
      <text>
        <r>
          <rPr>
            <b/>
            <sz val="9"/>
            <color indexed="81"/>
            <rFont val="Tahoma"/>
            <family val="2"/>
          </rPr>
          <t>Ismael Norzagaray:</t>
        </r>
        <r>
          <rPr>
            <sz val="9"/>
            <color indexed="81"/>
            <rFont val="Tahoma"/>
            <family val="2"/>
          </rPr>
          <t xml:space="preserve">
adec marzo 39201 $229,356</t>
        </r>
      </text>
    </comment>
  </commentList>
</comments>
</file>

<file path=xl/sharedStrings.xml><?xml version="1.0" encoding="utf-8"?>
<sst xmlns="http://schemas.openxmlformats.org/spreadsheetml/2006/main" count="1165" uniqueCount="748">
  <si>
    <t>El importe reflejado siempre debe ser mayor a cero. Nunca en rojo.</t>
  </si>
  <si>
    <t>Los Ingresos Excedentes  se presentan para efectos de cumplimiento de la Ley de Ingresos del Estado y Ley de Contabilidad Gubernamental.</t>
  </si>
  <si>
    <r>
      <rPr>
        <b/>
        <vertAlign val="superscript"/>
        <sz val="9"/>
        <color theme="0" tint="-0.34998626667073579"/>
        <rFont val="Arial Narrow"/>
        <family val="2"/>
      </rPr>
      <t>3</t>
    </r>
    <r>
      <rPr>
        <sz val="9"/>
        <color theme="0" tint="-0.34998626667073579"/>
        <rFont val="Arial Narrow"/>
        <family val="2"/>
      </rPr>
      <t xml:space="preserve"> Se refiere a los ingresos propios obtenidos por los Poderes Legislativo y Judicial, los Organos Autónomos y las entidades de la administracion pública paraestataly paramunicipal, por sus actividades diversas no inherentes a su operación que general recursos y que no sean ingresos por venta de bienes o prestación de servicios, tales como donativos en efectivo, entre otros.</t>
    </r>
  </si>
  <si>
    <r>
      <rPr>
        <b/>
        <vertAlign val="superscript"/>
        <sz val="9"/>
        <color theme="0" tint="-0.34998626667073579"/>
        <rFont val="Arial Narrow"/>
        <family val="2"/>
      </rPr>
      <t>2</t>
    </r>
    <r>
      <rPr>
        <vertAlign val="superscript"/>
        <sz val="9"/>
        <color theme="0" tint="-0.34998626667073579"/>
        <rFont val="Arial Narrow"/>
        <family val="2"/>
      </rPr>
      <t xml:space="preserve"> </t>
    </r>
    <r>
      <rPr>
        <sz val="9"/>
        <color theme="0" tint="-0.34998626667073579"/>
        <rFont val="Arial Narrow"/>
        <family val="2"/>
      </rPr>
      <t>Incluye donativos en efectivo del Poder Ejecutivo, entre otros aprovechamientos.</t>
    </r>
  </si>
  <si>
    <r>
      <rPr>
        <b/>
        <vertAlign val="superscript"/>
        <sz val="9"/>
        <color theme="0" tint="-0.34998626667073579"/>
        <rFont val="Arial Narrow"/>
        <family val="2"/>
      </rPr>
      <t>1</t>
    </r>
    <r>
      <rPr>
        <b/>
        <sz val="9"/>
        <color theme="0" tint="-0.34998626667073579"/>
        <rFont val="Arial Narrow"/>
        <family val="2"/>
      </rPr>
      <t xml:space="preserve"> </t>
    </r>
    <r>
      <rPr>
        <sz val="9"/>
        <color theme="0" tint="-0.34998626667073579"/>
        <rFont val="Arial Narrow"/>
        <family val="2"/>
      </rPr>
      <t>Incluye interesesque generan las cuentas bancarias de los entes públicos en productos.</t>
    </r>
  </si>
  <si>
    <t xml:space="preserve">Ingresos Excedentes </t>
  </si>
  <si>
    <t>Total</t>
  </si>
  <si>
    <t>Ingresos Derivados de Financiamientos</t>
  </si>
  <si>
    <t>Ingresos  derivados de Financiamiento</t>
  </si>
  <si>
    <t xml:space="preserve">Transferencias, Asignaciones, Subsidios y Subvenciones, y Pensiones y Jubilaciones </t>
  </si>
  <si>
    <r>
      <t>Ingresos por ventas de Bienes, Prestación de Servicios y Otros Ingresos</t>
    </r>
    <r>
      <rPr>
        <vertAlign val="superscript"/>
        <sz val="10"/>
        <color theme="1"/>
        <rFont val="Arial Narrow"/>
        <family val="2"/>
      </rPr>
      <t>3</t>
    </r>
  </si>
  <si>
    <r>
      <t>Productos</t>
    </r>
    <r>
      <rPr>
        <vertAlign val="superscript"/>
        <sz val="10"/>
        <color theme="1"/>
        <rFont val="Arial Narrow"/>
        <family val="2"/>
      </rPr>
      <t>1</t>
    </r>
  </si>
  <si>
    <t>Cuotas y Aportaciones de Seguridad Social</t>
  </si>
  <si>
    <t>Ingresos De los Entes Públicos de los Poderes Legislativo y Judicial, de los Órganos Autonomos y del Sector Paraestatal o Paramunicipal, asi como de las Empresas Productivas del Estado</t>
  </si>
  <si>
    <t xml:space="preserve">Participaciones, Aportaciones, Convenios, Incentivos Derivados de la Colaboracción Fiscal y Fondos Distintos de Aportaciones </t>
  </si>
  <si>
    <t>Capital</t>
  </si>
  <si>
    <r>
      <t>Aprovechamientos</t>
    </r>
    <r>
      <rPr>
        <vertAlign val="superscript"/>
        <sz val="10"/>
        <color theme="1"/>
        <rFont val="Arial Narrow"/>
        <family val="2"/>
      </rPr>
      <t>2</t>
    </r>
  </si>
  <si>
    <t>Derechos</t>
  </si>
  <si>
    <t>Contribuciones de Mejoras</t>
  </si>
  <si>
    <t xml:space="preserve">Impuestos </t>
  </si>
  <si>
    <t xml:space="preserve">Ingresos del Poder Ejecutivo Federal o Estatal y de los Municipios </t>
  </si>
  <si>
    <t>(6= 5 - 1 )</t>
  </si>
  <si>
    <t>(5)</t>
  </si>
  <si>
    <t>(4)</t>
  </si>
  <si>
    <t>(3= 1 +2)</t>
  </si>
  <si>
    <t>(2)</t>
  </si>
  <si>
    <t>(1)</t>
  </si>
  <si>
    <t>Diferencia</t>
  </si>
  <si>
    <t xml:space="preserve">Recaudado </t>
  </si>
  <si>
    <t xml:space="preserve">Devengado </t>
  </si>
  <si>
    <t>Modificado</t>
  </si>
  <si>
    <t>Ampliaciones y Reducciones           (+ ó -)</t>
  </si>
  <si>
    <t>Estimado</t>
  </si>
  <si>
    <t>Ingreso</t>
  </si>
  <si>
    <t>Estado Analitico de Ingresos Por Fuente de Financiamiento</t>
  </si>
  <si>
    <t>Ingresos por Ventas de Bienes, Prestacion de Servicios y Otros Ingresos</t>
  </si>
  <si>
    <t>Aprovechamientos</t>
  </si>
  <si>
    <t>Productos</t>
  </si>
  <si>
    <t>Impuestos</t>
  </si>
  <si>
    <t>Rubros de  Ingresos</t>
  </si>
  <si>
    <t>(PESOS)</t>
  </si>
  <si>
    <t>Estado Analítico de Ingresos</t>
  </si>
  <si>
    <t>Sistema Estatal de Evaluación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</si>
  <si>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</si>
  <si>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</si>
  <si>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</si>
  <si>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 xml:space="preserve"> 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</si>
  <si>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</si>
  <si>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</si>
  <si>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</si>
  <si>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</si>
  <si>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</si>
  <si>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</si>
  <si>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Asignaciones,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</si>
  <si>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</si>
  <si>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</si>
  <si>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</si>
  <si>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</si>
  <si>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</si>
  <si>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</si>
  <si>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</si>
  <si>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</si>
  <si>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</si>
  <si>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</si>
  <si>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</si>
  <si>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</si>
  <si>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</si>
  <si>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</si>
  <si>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</si>
  <si>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</si>
  <si>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</si>
  <si>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</si>
  <si>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</si>
  <si>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</si>
  <si>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 xml:space="preserve">I. Total de Ingresos de Libre Disposición                                                 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</si>
  <si>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</si>
  <si>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</si>
  <si>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</si>
  <si>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</si>
  <si>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</si>
  <si>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</si>
  <si>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</si>
  <si>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</si>
  <si>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</si>
  <si>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</si>
  <si>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</si>
  <si>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</si>
  <si>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</si>
  <si>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</si>
  <si>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</si>
  <si>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</si>
  <si>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</si>
  <si>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</si>
  <si>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</si>
  <si>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</si>
  <si>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</si>
  <si>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</si>
  <si>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</si>
  <si>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</si>
  <si>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</si>
  <si>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Prestación de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</si>
  <si>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</si>
  <si>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</si>
  <si>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</si>
  <si>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</si>
  <si>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</si>
  <si>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</si>
  <si>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</si>
  <si>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</si>
  <si>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Recaudado</t>
  </si>
  <si>
    <t>Devengado</t>
  </si>
  <si>
    <t>Ampliaciones/ (Reducciones)</t>
  </si>
  <si>
    <t>Estimado (d)</t>
  </si>
  <si>
    <t>Concepto</t>
  </si>
  <si>
    <t>Diferencia (e)</t>
  </si>
  <si>
    <t>Estado Analítico de Ingresos Detallado – LDF</t>
  </si>
  <si>
    <r>
      <rPr>
        <b/>
        <sz val="9"/>
        <color theme="0" tint="-0.34998626667073579"/>
        <rFont val="Arial Narrow"/>
        <family val="2"/>
      </rPr>
      <t>2</t>
    </r>
    <r>
      <rPr>
        <sz val="9"/>
        <color theme="0" tint="-0.34998626667073579"/>
        <rFont val="Arial Narrow"/>
        <family val="2"/>
      </rPr>
      <t>. Los Ingresos Financieros y otros ingresos se regularizarán presupuestariamente de acuerdo a la legislacion aplicable</t>
    </r>
  </si>
  <si>
    <r>
      <rPr>
        <b/>
        <sz val="9"/>
        <color theme="0" tint="-0.34998626667073579"/>
        <rFont val="Arial Narrow"/>
        <family val="2"/>
      </rPr>
      <t>1</t>
    </r>
    <r>
      <rPr>
        <sz val="9"/>
        <color theme="0" tint="-0.34998626667073579"/>
        <rFont val="Arial Narrow"/>
        <family val="2"/>
      </rPr>
      <t>. Se deberán incluir los Ingresos Contables No Presupuestarios que no se regularizaron presupuestariamente durante el ejercicio</t>
    </r>
  </si>
  <si>
    <t>4. Total de Ingresos Contables  (4=  1  +  2  -  3 )</t>
  </si>
  <si>
    <t>Otros Ingresos Presupuestarios No Contables</t>
  </si>
  <si>
    <t xml:space="preserve">Aprovechamientos Patrimoniales </t>
  </si>
  <si>
    <t>3.Menos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</si>
  <si>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</si>
  <si>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</si>
  <si>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</si>
  <si>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</si>
  <si>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</si>
  <si>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Finanacieros</t>
  </si>
  <si>
    <t>2.Mas Ingresos contables No Presupuestarios</t>
  </si>
  <si>
    <t>1. Total de Ingresos Presupuestarios</t>
  </si>
  <si>
    <t xml:space="preserve">                                                            (PESOS)</t>
  </si>
  <si>
    <t>Conciliacion entre los Ingresos Presupuestarios y Contables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</si>
  <si>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</si>
  <si>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</si>
  <si>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</si>
  <si>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</si>
  <si>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</si>
  <si>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</si>
  <si>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</si>
  <si>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</si>
  <si>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</si>
  <si>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</si>
  <si>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</si>
  <si>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</si>
  <si>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</si>
  <si>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</si>
  <si>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</si>
  <si>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</si>
  <si>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</si>
  <si>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</si>
  <si>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</si>
  <si>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</si>
  <si>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</si>
  <si>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</si>
  <si>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</si>
  <si>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</si>
  <si>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</si>
  <si>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</si>
  <si>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</si>
  <si>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</si>
  <si>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</si>
  <si>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</si>
  <si>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</si>
  <si>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</si>
  <si>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</si>
  <si>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</si>
  <si>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</si>
  <si>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</si>
  <si>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</si>
  <si>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</si>
  <si>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</si>
  <si>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</si>
  <si>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</si>
  <si>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</si>
  <si>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</si>
  <si>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</si>
  <si>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</si>
  <si>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</si>
  <si>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</si>
  <si>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</si>
  <si>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</si>
  <si>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</si>
  <si>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</si>
  <si>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</si>
  <si>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</si>
  <si>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</si>
  <si>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</si>
  <si>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</si>
  <si>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</si>
  <si>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</si>
  <si>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</si>
  <si>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</si>
  <si>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</si>
  <si>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</si>
  <si>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</si>
  <si>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</si>
  <si>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</si>
  <si>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</si>
  <si>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</si>
  <si>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</si>
  <si>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</si>
  <si>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</si>
  <si>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</si>
  <si>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</si>
  <si>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</si>
  <si>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( 6 = 3 - 4 )</t>
  </si>
  <si>
    <t>(3=1+2)</t>
  </si>
  <si>
    <t>Subejercicio</t>
  </si>
  <si>
    <t>Egresos Pagado     Acumulado</t>
  </si>
  <si>
    <t>Egresos Devengado Acumulado</t>
  </si>
  <si>
    <t>Egresos Modificado   Anual</t>
  </si>
  <si>
    <t>Egresos Aprobado   Anual</t>
  </si>
  <si>
    <t>Ejercicio del Presupuesto por
Capítulo del Gasto</t>
  </si>
  <si>
    <t xml:space="preserve">                                                                                                                                                     (PESOS)</t>
  </si>
  <si>
    <t>Clasificación por Objeto del Gasto (Capítulo y Concepto)</t>
  </si>
  <si>
    <t>Estado Analítico del Ejercicio Presupuesto de Egresos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</si>
  <si>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</si>
  <si>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</si>
  <si>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</si>
  <si>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</si>
  <si>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</si>
  <si>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</si>
  <si>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</si>
  <si>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</si>
  <si>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</si>
  <si>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</si>
  <si>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</si>
  <si>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</si>
  <si>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</si>
  <si>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</si>
  <si>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</si>
  <si>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</si>
  <si>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</si>
  <si>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</si>
  <si>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</si>
  <si>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</si>
  <si>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</si>
  <si>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</si>
  <si>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</si>
  <si>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</si>
  <si>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</si>
  <si>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</si>
  <si>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</si>
  <si>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</si>
  <si>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</si>
  <si>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</si>
  <si>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</si>
  <si>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</si>
  <si>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</si>
  <si>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</si>
  <si>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</si>
  <si>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</si>
  <si>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</si>
  <si>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</si>
  <si>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</si>
  <si>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</si>
  <si>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</si>
  <si>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</si>
  <si>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</si>
  <si>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</si>
  <si>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</si>
  <si>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</si>
  <si>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</si>
  <si>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</si>
  <si>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</si>
  <si>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</si>
  <si>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</si>
  <si>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</si>
  <si>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</si>
  <si>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</si>
  <si>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</si>
  <si>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</si>
  <si>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</si>
  <si>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</si>
  <si>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</si>
  <si>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</si>
  <si>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</si>
  <si>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</si>
  <si>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</si>
  <si>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</si>
  <si>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</si>
  <si>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</si>
  <si>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</si>
  <si>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</si>
  <si>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</si>
  <si>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</si>
  <si>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</si>
  <si>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</si>
  <si>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</si>
  <si>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</si>
  <si>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</si>
  <si>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</si>
  <si>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Pagado </t>
  </si>
  <si>
    <t xml:space="preserve">Modificado </t>
  </si>
  <si>
    <t xml:space="preserve">Ampliaciones/ (Reducciones) </t>
  </si>
  <si>
    <t>Aprobado (d)</t>
  </si>
  <si>
    <t>Subejercicio (e)</t>
  </si>
  <si>
    <t>Egresos</t>
  </si>
  <si>
    <t>Concepto (c)</t>
  </si>
  <si>
    <t xml:space="preserve">Clasificación por Objeto del Gasto (Capítulo y Concepto) </t>
  </si>
  <si>
    <t>Estado Analítico del Ejercicio del Presupuesto de Egresos Detallado - LDF</t>
  </si>
  <si>
    <t>Punto Adicionado DOF 30-09-2015</t>
  </si>
  <si>
    <t>Son los gastos destinados a cubrir las participaciones para las entidades federativas y/o los municipios.</t>
  </si>
  <si>
    <t xml:space="preserve">5. Participaciones </t>
  </si>
  <si>
    <t>Son los gastos destinados para el pago a pensionistas y jubilados o a sus familiares, que cubren los gobiernos Federal, Estatal y Municipal, o bien el Instituto de Seguridad Social correspondiente.</t>
  </si>
  <si>
    <t>4. Pensiones y Jubilaciones</t>
  </si>
  <si>
    <t>Comprende la amortización de la deuda adquirida y disminución de pasivos con el sector privado, público y externo.</t>
  </si>
  <si>
    <t>3. Amortización de la deuda y disminución de pasivos</t>
  </si>
  <si>
    <t>Son los gastos destinados a la inversión de capital y las transferencias a los otros componentes institucionales del sistema económico que se efectúan para financiar gastos de éstos con tal propósito.</t>
  </si>
  <si>
    <t>2. Gasto de Capital</t>
  </si>
  <si>
    <t>Son los gastos de consumo y/o de operación, el arrendamiento de la propiedad y las transferencias otorgadas a los otros componentes institucionales del sistema económico para financiar gastos de esas características.</t>
  </si>
  <si>
    <t>1. Gasto Corriente</t>
  </si>
  <si>
    <t>A continuación se conceptualizan las siguientes categorías:</t>
  </si>
  <si>
    <t>Amortización del la Deuda y Disminución de Pasivos</t>
  </si>
  <si>
    <t>Gasto de Capital</t>
  </si>
  <si>
    <t>Gasto Corriente</t>
  </si>
  <si>
    <t xml:space="preserve">                                                                                                                                (PESOS)</t>
  </si>
  <si>
    <t>Clasificación Económica (por Tipo de Gasto)</t>
  </si>
  <si>
    <t>ORGANISMOS OPERADORES</t>
  </si>
  <si>
    <t>ORGANO DE CONTRO Y DESARROLLO ADMINISTRATIVO</t>
  </si>
  <si>
    <t>COSTOS, CONCURSOS Y CONTRATOS</t>
  </si>
  <si>
    <t>DIRECCION JURIDICA</t>
  </si>
  <si>
    <t>DIRECCION GENERAL DE INFRAESTRUCTURA HIDROAGRICOLA</t>
  </si>
  <si>
    <t>DIRECCION GENERAL DE INFRAESTRUCTURA HIDRAULICA URBANA</t>
  </si>
  <si>
    <t>DIRECCION GENERAL DE FORTALECIMIENTO INSTITUCIONAL</t>
  </si>
  <si>
    <t>DIRECCION GENERAL DE ADMINISTRACION Y FINANZAS</t>
  </si>
  <si>
    <t>VOCALIA EJECUTIVA</t>
  </si>
  <si>
    <t>Clasificación Administrativa (Por Unidad Administrativa)</t>
  </si>
  <si>
    <t xml:space="preserve">                                                                                                                                                         (PESOS)</t>
  </si>
  <si>
    <t>(II=A+B+C+D+E+F+G+H)</t>
  </si>
  <si>
    <t>II. Gasto Etiquetado</t>
  </si>
  <si>
    <t>(I=A+B+C+D+E+F+G+H)</t>
  </si>
  <si>
    <t>I. Gasto No Etiquetado</t>
  </si>
  <si>
    <t>Pagado</t>
  </si>
  <si>
    <t>Clasificación Administrativa</t>
  </si>
  <si>
    <t>Órganos Autónomos</t>
  </si>
  <si>
    <t>Poder Judicial</t>
  </si>
  <si>
    <t>Poder Legislativo</t>
  </si>
  <si>
    <t>Poder Ejecutivo</t>
  </si>
  <si>
    <t>Clasificación Administrativa (Por Poderes)</t>
  </si>
  <si>
    <t xml:space="preserve">                                                                                                                                     (PESOS)</t>
  </si>
  <si>
    <t>Fideicomisos Financieros Públicos con Participación Estatal Mayoritaria</t>
  </si>
  <si>
    <t>Entidades Paraestatales Empresariales Financieras No Monetarias con Participación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</si>
  <si>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</si>
  <si>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</si>
  <si>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</si>
  <si>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</si>
  <si>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</si>
  <si>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 xml:space="preserve">                                                                                                                                      (PESOS)</t>
  </si>
  <si>
    <t>Clasificación Administrativa (Por Tipo de Organismos o Entidad Paraestatal)</t>
  </si>
  <si>
    <t>Adeudos de ejercicios Fiscales Anteriores</t>
  </si>
  <si>
    <t>Saneamiento del Sistema Financiero</t>
  </si>
  <si>
    <t>Transferencias, Participaciones y Aportaciones entre Diferentes Niveles y Órdenes de gobierno</t>
  </si>
  <si>
    <t>Transacdciones de la Deuda Pública / Costo financiero de la Deuda</t>
  </si>
  <si>
    <t>Otras No Clasificadas en funciones anteriores</t>
  </si>
  <si>
    <t>Otras Industrias y Otros Asuntos Económicos</t>
  </si>
  <si>
    <t>Ciencia, Tencología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</si>
  <si>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</si>
  <si>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</si>
  <si>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</si>
  <si>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</si>
  <si>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</si>
  <si>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</si>
  <si>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</si>
  <si>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</si>
  <si>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</si>
  <si>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</si>
  <si>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</si>
  <si>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</si>
  <si>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</si>
  <si>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Viviendas y Servicios a la Comunidad</t>
  </si>
  <si>
    <t>Protección Ambiental</t>
  </si>
  <si>
    <t>Desarrollo Social</t>
  </si>
  <si>
    <t>Asuntos de Orden Público y Seguridad Interior</t>
  </si>
  <si>
    <t>Seguridad Nacional</t>
  </si>
  <si>
    <t>Asuntos Financieros y Hacendarios</t>
  </si>
  <si>
    <t>Relaciones Exteriores</t>
  </si>
  <si>
    <t>Coordinación de la Politica de Gobierno</t>
  </si>
  <si>
    <t>Justicia</t>
  </si>
  <si>
    <t>Legislación</t>
  </si>
  <si>
    <t>Gobierno</t>
  </si>
  <si>
    <t>Clasificación Funcional (Finalidad y Función)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</si>
  <si>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</si>
  <si>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</si>
  <si>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</si>
  <si>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</si>
  <si>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</si>
  <si>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</si>
  <si>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</si>
  <si>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</si>
  <si>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</si>
  <si>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</si>
  <si>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</si>
  <si>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</si>
  <si>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</si>
  <si>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</si>
  <si>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</si>
  <si>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</si>
  <si>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</si>
  <si>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</si>
  <si>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</si>
  <si>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</si>
  <si>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</si>
  <si>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</si>
  <si>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</si>
  <si>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</si>
  <si>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</si>
  <si>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</si>
  <si>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</si>
  <si>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</si>
  <si>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</si>
  <si>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</si>
  <si>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</si>
  <si>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</si>
  <si>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</si>
  <si>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</si>
  <si>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</si>
  <si>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</si>
  <si>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</si>
  <si>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</si>
  <si>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</si>
  <si>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</si>
  <si>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</si>
  <si>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</si>
  <si>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</si>
  <si>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</si>
  <si>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</si>
  <si>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</si>
  <si>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</si>
  <si>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(Clasificación de Servicios Personales por Categoría)</t>
  </si>
  <si>
    <t>Estado Analítico del Ejercicio de Presupuesto de Egresos- Detallado – LDF</t>
  </si>
  <si>
    <t>4. Total de Gasto Contable  (4=  1  -  2  +  3 )</t>
  </si>
  <si>
    <t>Otros Gastos Contables No Presupuestales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</si>
  <si>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</si>
  <si>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</si>
  <si>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</si>
  <si>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</si>
  <si>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</si>
  <si>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Estimaciones, Depreciaciones, Deterioros, Obsolescencia y Amortizaciones</t>
  </si>
  <si>
    <t>3. Más Gastos Contables No Presupuestarios</t>
  </si>
  <si>
    <t>Otros Egresos Presupuestales No Contables</t>
  </si>
  <si>
    <t>Adeudos de Ejercicios Fiscales Anteriores (ADEFAS)</t>
  </si>
  <si>
    <t>Armonización de la Deuda Pública</t>
  </si>
  <si>
    <t>Arctivos Biológicos</t>
  </si>
  <si>
    <t xml:space="preserve">Materiales y Suministros </t>
  </si>
  <si>
    <t xml:space="preserve">Materias Primas y Materiales de Producción y Comercializacíon </t>
  </si>
  <si>
    <t xml:space="preserve">2. Menos Egresos Presupuestarios No Contables </t>
  </si>
  <si>
    <t>1. Total de Egresos Presupuestarios</t>
  </si>
  <si>
    <t>Conciliacion entre los Egresos Presupuestarios y los Gastos Contables</t>
  </si>
  <si>
    <t xml:space="preserve">         DIRECTOR DE ADMINISTRACION Y FINANZAS</t>
  </si>
  <si>
    <t xml:space="preserve">       DIRECTOR ADMINISTRATIVO</t>
  </si>
  <si>
    <t>C.P. MARIO ALBERTO MERINO DIAZ</t>
  </si>
  <si>
    <t>C.P. LEONOR LANDAVAZO GUTIERREZ</t>
  </si>
  <si>
    <t>Adefas Inversión</t>
  </si>
  <si>
    <t>Adefas  Operación</t>
  </si>
  <si>
    <t xml:space="preserve">Adefas  </t>
  </si>
  <si>
    <t>Adeudo de ejercicios fiscales anteriores (ADEFAS)</t>
  </si>
  <si>
    <t>Pago de Intereses Corto Plazo</t>
  </si>
  <si>
    <t>Pago de Intereses a largo Plazo</t>
  </si>
  <si>
    <t>Intereses de la deuda interna con instiruciones de credito</t>
  </si>
  <si>
    <t>Intereses de la deuda publica</t>
  </si>
  <si>
    <t>Amortizacion de Capital Corto Plazo</t>
  </si>
  <si>
    <t>Amortizacion de Capital Largo Plazo</t>
  </si>
  <si>
    <t>Amortizacion de la deuda interna con instituciones de credito</t>
  </si>
  <si>
    <t>Amortizacion de la deuda publica</t>
  </si>
  <si>
    <t>Deuda Publica</t>
  </si>
  <si>
    <t>Otras erogaciones Especiales</t>
  </si>
  <si>
    <t>Provisiones para contingencias y otras erogaciones especiales</t>
  </si>
  <si>
    <t>Inversiones Financieras y Otras proviciones</t>
  </si>
  <si>
    <t>Supervision y control de calidad</t>
  </si>
  <si>
    <t>Indirectos para obras en division de terrenos y construccion de obras de urbanizacion</t>
  </si>
  <si>
    <t>Fiscalizacion y seguimiento</t>
  </si>
  <si>
    <t>Infraestructura y equipamiento en materia de alcantarillado</t>
  </si>
  <si>
    <t>Infraestructura y equipamiento en materia de agua potable</t>
  </si>
  <si>
    <t>Estudios y proyectos</t>
  </si>
  <si>
    <t>Fortalecimiento a organismos operadores de sistemas de agua potable</t>
  </si>
  <si>
    <t>Division de terrenos y construccion de obras de urbanizacion</t>
  </si>
  <si>
    <t>Indirectos para obras de construccion para el abastecimiento de agua, petroleo, gas, electricidad y telecomunicaciones</t>
  </si>
  <si>
    <t>Apoyo y fort. A sist. De oper. De distrito de riego</t>
  </si>
  <si>
    <t>Construccion de obras para el abastecimiento de agua, petroleo, gas, electricidad y telecomunicaciones</t>
  </si>
  <si>
    <t>0bra pública en bienes de dominio publico</t>
  </si>
  <si>
    <t>FEDERAL</t>
  </si>
  <si>
    <t>Estudios y Proyectos</t>
  </si>
  <si>
    <t>Conservacion y Mantenimiento</t>
  </si>
  <si>
    <t>Obra publica en bienes propios</t>
  </si>
  <si>
    <t xml:space="preserve">Fonden </t>
  </si>
  <si>
    <t>Estudios y Proyectos para sistemas de abastecimiento de agua potable.</t>
  </si>
  <si>
    <t>ESTATAL</t>
  </si>
  <si>
    <t>Software</t>
  </si>
  <si>
    <t>Activos intangibles</t>
  </si>
  <si>
    <t>Terrenos</t>
  </si>
  <si>
    <t>Otros bienes muebles</t>
  </si>
  <si>
    <t>Otos equipos</t>
  </si>
  <si>
    <t>Otros equipos</t>
  </si>
  <si>
    <t>Herramientas</t>
  </si>
  <si>
    <t>Herramientas y máquinas-herramienta</t>
  </si>
  <si>
    <t>Maquinaria y equipo electrico y electronico</t>
  </si>
  <si>
    <t>Equipo de Generacion Electrica, aparatos y accesoris electrios</t>
  </si>
  <si>
    <t>Equipo de Comunicación y Telecomunicacion</t>
  </si>
  <si>
    <t>Sistemas de aire acondicionado, calefaccion y de refrigeracion industrial y comercial</t>
  </si>
  <si>
    <t>Maquinaria y equipo de construcción</t>
  </si>
  <si>
    <t>Maquinaria y equipo industrial</t>
  </si>
  <si>
    <t>Maquinaria, otros equipos y herramientas</t>
  </si>
  <si>
    <t>Otros Equipos de Transporte</t>
  </si>
  <si>
    <t>Automoviles y camiones</t>
  </si>
  <si>
    <t>Vehiculos y equipo de transporte</t>
  </si>
  <si>
    <t>Instrumental medico y de laboratorio</t>
  </si>
  <si>
    <t>Equipo e instrumental medico y de laboratorio</t>
  </si>
  <si>
    <t>Camaras fotograficas y de video</t>
  </si>
  <si>
    <t>Equipos y aparatos audiovisuales</t>
  </si>
  <si>
    <t>Mobiliario y equipo educacional y recreativo</t>
  </si>
  <si>
    <t>Equipo de administracion</t>
  </si>
  <si>
    <t>Otros mobiliarios y equipos de administracion</t>
  </si>
  <si>
    <t>Bienes informáticos</t>
  </si>
  <si>
    <t>Equipo de cómputo y de tecnologías de la información</t>
  </si>
  <si>
    <t>Muebles, Excepto de Oficina y Estantería</t>
  </si>
  <si>
    <t>Mobiliario</t>
  </si>
  <si>
    <t>Muebles de oficina y estantería</t>
  </si>
  <si>
    <t>Mobiliario y equipo de administración</t>
  </si>
  <si>
    <t>Bienes muebles, inmuebles e intangibles</t>
  </si>
  <si>
    <t>Donativos a Instituciones sin fines de lucro</t>
  </si>
  <si>
    <t xml:space="preserve">Donativos  </t>
  </si>
  <si>
    <t>Fomento deportivo</t>
  </si>
  <si>
    <t>Becas y otras ayudas para prograas de capacitacion</t>
  </si>
  <si>
    <t>Ayudas sociales</t>
  </si>
  <si>
    <t>subsidios a la producción</t>
  </si>
  <si>
    <t>Subsidios y subvenciones</t>
  </si>
  <si>
    <t>Transferencias otorgadas a entidades federativas y municipios</t>
  </si>
  <si>
    <t>Transferencis al resto del sector publico</t>
  </si>
  <si>
    <t>Transferencias para gastos de operación</t>
  </si>
  <si>
    <t>Transferencias internas otorgadasa entidades paraestatales no empresariales y no financieras</t>
  </si>
  <si>
    <t>Transferencias, asigaciones, subsidios y otras ayudas</t>
  </si>
  <si>
    <t>Asigacion presupuestria al poder ejecutivo</t>
  </si>
  <si>
    <t>Transferecias internas yasignaciones al sector publico</t>
  </si>
  <si>
    <t>Transferencias, asignaciones, subsidios y otras ayudas</t>
  </si>
  <si>
    <t>Otros gastos por responsabilidades</t>
  </si>
  <si>
    <t>Otros gastso por responsabilidades</t>
  </si>
  <si>
    <t>Penas, multas, accesorios y actualizaciones</t>
  </si>
  <si>
    <t>Impuestos y derechos</t>
  </si>
  <si>
    <t>Otros servicios generales</t>
  </si>
  <si>
    <t>Gtso de atencion y promocion</t>
  </si>
  <si>
    <t>Gastos de Representacion</t>
  </si>
  <si>
    <t>Congresos y convenciones</t>
  </si>
  <si>
    <t>Gasto de Orden Social y Cultural</t>
  </si>
  <si>
    <t>Gastos de ceremonial</t>
  </si>
  <si>
    <t>Servicios oficiales</t>
  </si>
  <si>
    <t>Cuotas</t>
  </si>
  <si>
    <t>Otros servicios de traslado y hospedaje</t>
  </si>
  <si>
    <t>Servicios integrales de traslado y viáticos</t>
  </si>
  <si>
    <t>Viáticos en el extranjero</t>
  </si>
  <si>
    <t>Gastos de camino</t>
  </si>
  <si>
    <t>Viáticos en el país</t>
  </si>
  <si>
    <t>Pasajes terrestres</t>
  </si>
  <si>
    <t>Pasajes aéreos internacionales</t>
  </si>
  <si>
    <t>Pasajes aéreos nacionales</t>
  </si>
  <si>
    <t>Pasajes aéreos</t>
  </si>
  <si>
    <t>Servicios de traslado y viáticos</t>
  </si>
  <si>
    <t>Otros servicios de información</t>
  </si>
  <si>
    <t>SERVICIOS DE LA INDUSTRIA FILMICA, DEL SONIDO Y DE</t>
  </si>
  <si>
    <t>Servicio  de Revelado de Fotografías</t>
  </si>
  <si>
    <t>Difusión por Radio, Televisión y otros medios de mensajes sobre Programas y actividades Gubernamentales</t>
  </si>
  <si>
    <t>Servicios de comunicación social y publicidad</t>
  </si>
  <si>
    <t>Servicios de jardinería y fumigación</t>
  </si>
  <si>
    <t>Servicios de limpieza y manejo de desechos</t>
  </si>
  <si>
    <t>Mantenimiento y conservación de heraamientas, maquinas herramientas, instrumentos, utiles y equipo</t>
  </si>
  <si>
    <t>Mantenimiento y conservación de maquinaria y equipo</t>
  </si>
  <si>
    <t>Instalación, reparación y mantenimiento de maquinaria, otros equipos y herramientas</t>
  </si>
  <si>
    <t>Mantenimiento y Conservación de Equipo de Transporte</t>
  </si>
  <si>
    <t>Reparación y mantenimiento de equipo de transporte</t>
  </si>
  <si>
    <t>Mantenimiento y conservación de bienes informáticos</t>
  </si>
  <si>
    <t>Instalaciones</t>
  </si>
  <si>
    <t>Instalación, reparación y mantenimiento de equipo de computo y tecnología de información</t>
  </si>
  <si>
    <t>Mantenimiento y conservación de mobiliario y equipo</t>
  </si>
  <si>
    <t>Instalación, reparación y mantenimiento de mobiliario y equipo de administración, educacional y recreativo</t>
  </si>
  <si>
    <t>Mantenimiento y conservación de inmuebles</t>
  </si>
  <si>
    <t>Conservación y mantenimiento menor de inmuebles</t>
  </si>
  <si>
    <t>Servicios de instalacion, reparacion, mantenimiento y conservacion</t>
  </si>
  <si>
    <t>Fletes y maniobras</t>
  </si>
  <si>
    <t>Seguros de responsabilidad patrimonial y fianzas</t>
  </si>
  <si>
    <t>Servicio de Recaudación, Traslado y Custodia de valores</t>
  </si>
  <si>
    <t>Servicios financieros y bancarios</t>
  </si>
  <si>
    <t>Servicios financieros, bancarios y comerciales</t>
  </si>
  <si>
    <t>Servicios profesionales, cientificos y tecnicos integrales</t>
  </si>
  <si>
    <t>Servicios Profesionales, científicos y técnicos integrales</t>
  </si>
  <si>
    <t>Servicios de vigilancia</t>
  </si>
  <si>
    <t>Servicio de fotocopiado en las instalaciones de las dependencias y entidades</t>
  </si>
  <si>
    <t>Licitaciones, convenios y convocatorias</t>
  </si>
  <si>
    <t>Impresiones y publicaciones oficiales</t>
  </si>
  <si>
    <t>Apoyos a Comisarios Públicos</t>
  </si>
  <si>
    <t>Servicios de apoyo administrativo, traducción, fotocopiado e impresión</t>
  </si>
  <si>
    <t>Servicios de capacitación</t>
  </si>
  <si>
    <t>servicios de Consultorias</t>
  </si>
  <si>
    <t>Servicios de Informática</t>
  </si>
  <si>
    <t>Servicios de consultoria administrativa, procesos, tecnica y en tecnologias de la informacion</t>
  </si>
  <si>
    <t>Servicios de Diseño, Arquitectura, Ingeniería y Actividades Relacionadas</t>
  </si>
  <si>
    <t>Servicios legales, de contabilidad, auditorias y relacionados</t>
  </si>
  <si>
    <t>Servicios profesionales, científicos, técnicos y otros servicios</t>
  </si>
  <si>
    <t>Otros Arrendamientos</t>
  </si>
  <si>
    <t>Arrendamiento maquinaria, otros equipos y herramientas</t>
  </si>
  <si>
    <t>Arrendamiento de Equipo de Transporte</t>
  </si>
  <si>
    <t>Arrendamiento de Equipo y Bienes Informaticos</t>
  </si>
  <si>
    <t>Arrendamiento de Muebles, Maquinaria y Equipo</t>
  </si>
  <si>
    <t>Arrendamiento de mobiliario y equipo de administración, educacional y recreativo</t>
  </si>
  <si>
    <t>Arrendamiento de Edificios</t>
  </si>
  <si>
    <t>Arrendamiento de Terrenos</t>
  </si>
  <si>
    <t>Servicio de arrendamiento</t>
  </si>
  <si>
    <t>Servicio postal</t>
  </si>
  <si>
    <t>Servicios postales y telegráficos</t>
  </si>
  <si>
    <t>Servicios de acceso a internet, redes y procesamiento de información</t>
  </si>
  <si>
    <t>Servicio de Telecomunicaciones y Satelites</t>
  </si>
  <si>
    <t>Telefonía celular</t>
  </si>
  <si>
    <t>Telefonía tradicional</t>
  </si>
  <si>
    <t>Agua Potable</t>
  </si>
  <si>
    <t>Agua</t>
  </si>
  <si>
    <t>Gas</t>
  </si>
  <si>
    <t>Energía eléctrica</t>
  </si>
  <si>
    <t>Servicios básicos</t>
  </si>
  <si>
    <t>Servicios generales</t>
  </si>
  <si>
    <t>Refacciones y Accesorios Menores de Maquinaria Y Otros Equipos</t>
  </si>
  <si>
    <t>Refacciones y accesorios menores de equipo de trasporte</t>
  </si>
  <si>
    <t>Refacciones y accesorios menores de equipo de computo y tecnologías de la información</t>
  </si>
  <si>
    <t>Refacciones y accesorios menores de mobiliario y equipo de administracion, educaconal y recrwativo</t>
  </si>
  <si>
    <t>Refacciones y accesorios menores de mobiliario y equipo de administracion, educaconal y recreativo</t>
  </si>
  <si>
    <t>Refacciones y Accesorios Menores de Edificios</t>
  </si>
  <si>
    <t>Herramientas menores</t>
  </si>
  <si>
    <t>Herramientas, refacciones y accesorios menores</t>
  </si>
  <si>
    <t>Prendas de seguridad y protección personal</t>
  </si>
  <si>
    <t>Vestuario y uniformes</t>
  </si>
  <si>
    <t>Vestuario, blancos, prendas de protección y artículos deportivos</t>
  </si>
  <si>
    <t>Lubricantes y aditivos</t>
  </si>
  <si>
    <t>Combustibles</t>
  </si>
  <si>
    <t>Combustibles, lubricantes y aditivos</t>
  </si>
  <si>
    <t>Otros Productos Quimicos</t>
  </si>
  <si>
    <t>Materiales, accesorios y suministro de laboratorios</t>
  </si>
  <si>
    <t>Medicinas y productos farmacéuticos</t>
  </si>
  <si>
    <t>Fertilizantes, Pesticidas y otros Agroquímicos</t>
  </si>
  <si>
    <t>Productos quimicos basicos</t>
  </si>
  <si>
    <t>Productos químicos, farmacéuticos y de laboratorio</t>
  </si>
  <si>
    <t>Otros materiales y artículos de construcción y reparación</t>
  </si>
  <si>
    <t>Materiales y complementarios</t>
  </si>
  <si>
    <t>Material eléctrico y electrónico</t>
  </si>
  <si>
    <t>Vidrio y productos de vidrio</t>
  </si>
  <si>
    <t>Madera y productos de madera</t>
  </si>
  <si>
    <t>Yeso, cal y productos de yeso</t>
  </si>
  <si>
    <t>Cal, yeso y productos de yeso</t>
  </si>
  <si>
    <t>Cemento y productos de concreto</t>
  </si>
  <si>
    <t>Materiales y artículos de construcción y de reparación</t>
  </si>
  <si>
    <t>Otros productos adquiridos como Materia prima</t>
  </si>
  <si>
    <t>Materias primas y materiales de producción y comercializacion</t>
  </si>
  <si>
    <t>Utensilios para el servicio de alimentación</t>
  </si>
  <si>
    <t>Adquisición de agua potable</t>
  </si>
  <si>
    <t>Productos alimenticios para el personal en las instalaciones</t>
  </si>
  <si>
    <t>Productos alimenticios para personas</t>
  </si>
  <si>
    <t>Alimentos y utensilios</t>
  </si>
  <si>
    <t>Emision de Licencias de Conducir</t>
  </si>
  <si>
    <t>Placas, engomados, calcomanías y hologramas</t>
  </si>
  <si>
    <t>Materiales para el registro e identificación de bienes y personas</t>
  </si>
  <si>
    <t>Materiales educativos</t>
  </si>
  <si>
    <t>Materiales y utiles de enseñanza</t>
  </si>
  <si>
    <t>Material de limpieza</t>
  </si>
  <si>
    <t>Material para información</t>
  </si>
  <si>
    <t xml:space="preserve"> Material impreso e información digital</t>
  </si>
  <si>
    <t>Materiales y útiles para el procesamiento de equipos y bienes informáticos</t>
  </si>
  <si>
    <t>Materiales, útiles y equipos menores de tecnologías de la información y comunicación</t>
  </si>
  <si>
    <t>Materiales y útiles de impresión y reproducción</t>
  </si>
  <si>
    <t>Materiales, útiles y equipos menores de oficina</t>
  </si>
  <si>
    <t>Materiales de administración, Emision de documentos y articulos oficiales</t>
  </si>
  <si>
    <t>Materiales y suministros</t>
  </si>
  <si>
    <t>Bono por Puntualidad</t>
  </si>
  <si>
    <t xml:space="preserve">Estimulos al personal   </t>
  </si>
  <si>
    <t>Estimulos</t>
  </si>
  <si>
    <t>Pago de Estimulos a Servidores Publicos</t>
  </si>
  <si>
    <t>Otras prestaciones</t>
  </si>
  <si>
    <t>Otras prestaciones sociales y económicas</t>
  </si>
  <si>
    <t>Ayuda para Servicio de Transporte</t>
  </si>
  <si>
    <t>Bono para despensa</t>
  </si>
  <si>
    <t>Prestaciones contractuales</t>
  </si>
  <si>
    <t>Pago de Liquidaciones</t>
  </si>
  <si>
    <t>Indemnizaciones al personal</t>
  </si>
  <si>
    <t>Indemnizaciones</t>
  </si>
  <si>
    <t>Aportaciones al Fondo de Ahorro de los Trabajadores</t>
  </si>
  <si>
    <t>Cuotas para el Fondo de Ahorro y Fondo de Trabajo</t>
  </si>
  <si>
    <t>Seguro por defuncion familiar</t>
  </si>
  <si>
    <t>Otras aportaciones de seguros colectivos</t>
  </si>
  <si>
    <t>Seguro por Retiro Estatal</t>
  </si>
  <si>
    <t>Aportaciones para seguros</t>
  </si>
  <si>
    <t>Pagas por defunción, pensiones y jubilaciones</t>
  </si>
  <si>
    <t>Aportaciones al sistema para el retiro</t>
  </si>
  <si>
    <t>Aportaciones por servicio medico del isssteson</t>
  </si>
  <si>
    <t>Otras prestaciones de seguridad social</t>
  </si>
  <si>
    <t>Aportaciones de seguridad social</t>
  </si>
  <si>
    <t>Estimulos al personal de confianza</t>
  </si>
  <si>
    <t>Compensaciones</t>
  </si>
  <si>
    <t>Remuneraciones por Horas Extraordinarias</t>
  </si>
  <si>
    <t>Horas Extraordinarias</t>
  </si>
  <si>
    <t>Compensación por bono navideño</t>
  </si>
  <si>
    <t>Compensación por ajuste de calendario</t>
  </si>
  <si>
    <t>Aguinaldo o gratificacion de fin de año</t>
  </si>
  <si>
    <t>Prima vacacional y dominical</t>
  </si>
  <si>
    <t>Primas de vacaciones, dominical y gratificación de fin de año</t>
  </si>
  <si>
    <t>Primas por años de servicios efectivos prestados</t>
  </si>
  <si>
    <t>Remuneraciones adicionales y especiales</t>
  </si>
  <si>
    <t xml:space="preserve">Honorarios  </t>
  </si>
  <si>
    <t>Honorarios asimilables a salarios</t>
  </si>
  <si>
    <t>Remuneraciones al personal de carácter transitorio</t>
  </si>
  <si>
    <t>Ayuda para energía electrica</t>
  </si>
  <si>
    <t>Ayuda para despensa</t>
  </si>
  <si>
    <t>Ayuda para habitación</t>
  </si>
  <si>
    <t>Riesgo laboral</t>
  </si>
  <si>
    <t>Remuneraciones por sustitucion de personal</t>
  </si>
  <si>
    <t>Remuneraciones Diversas</t>
  </si>
  <si>
    <t>Sueldos</t>
  </si>
  <si>
    <t>Sueldo base al personal permanente</t>
  </si>
  <si>
    <t>Remuneraciones al personal de carácter permanente</t>
  </si>
  <si>
    <t>Servicios personales</t>
  </si>
  <si>
    <t>AVANCE ANUAL (7=4/3)</t>
  </si>
  <si>
    <t>SUBEJERCIDO     (6=3-4)</t>
  </si>
  <si>
    <t>EGRESOS PAGADO ACUMULADO             ( 5 )</t>
  </si>
  <si>
    <t>EGRESOS DEVENGADO ACUMULADO                            ( 4 )</t>
  </si>
  <si>
    <t>EGRESOS MODIFICADO ANUAL    ( 3 )</t>
  </si>
  <si>
    <t>AMPLIACIONES/(REDUCCIONES)     ( 2 )</t>
  </si>
  <si>
    <t>EGRESOS APROBADOS        ( 1 )</t>
  </si>
  <si>
    <t>EJERCICIO DEL PRESUPUESTO POR                                    PARTIDA / DESCRIPCION</t>
  </si>
  <si>
    <t>CVE. PARTIDA PRESUPUESTAL</t>
  </si>
  <si>
    <t>Del 01 de Enero al 31 de Marzo del 2019</t>
  </si>
  <si>
    <t>Comision Estatal del Agua</t>
  </si>
  <si>
    <t>Por Partida del Gasto</t>
  </si>
  <si>
    <t>Sistema Estatal de Evaluacion</t>
  </si>
  <si>
    <t>"Bajo protesta de decir verdad declaramos que los Estados Financieros y sus Notas, son razonablemente correctos y son responsabilidad del emisor"</t>
  </si>
  <si>
    <t>TOTAL</t>
  </si>
  <si>
    <t>Total Otros Instrumentos de Deuda</t>
  </si>
  <si>
    <t>Otros Instrumentos de Deuda</t>
  </si>
  <si>
    <t>Total Créditos Bancarios</t>
  </si>
  <si>
    <t>BANCO BAJIO</t>
  </si>
  <si>
    <t>Créditos Bancarios</t>
  </si>
  <si>
    <t>C=A-B</t>
  </si>
  <si>
    <t>B</t>
  </si>
  <si>
    <t>A</t>
  </si>
  <si>
    <t>Endeudamiento Neto</t>
  </si>
  <si>
    <t>Amortización</t>
  </si>
  <si>
    <t>Contratacion / Colocación</t>
  </si>
  <si>
    <t>Identificacion del crédito o Instrumento</t>
  </si>
  <si>
    <t xml:space="preserve">                                                  (pesos)</t>
  </si>
  <si>
    <t>Total Intereses Otros Instrumentos de Deuda</t>
  </si>
  <si>
    <t>Total de Interéses Créditos Bancarios</t>
  </si>
  <si>
    <t>DEUDA PUBLICA</t>
  </si>
  <si>
    <t xml:space="preserve">                                                                                          (pesos)</t>
  </si>
  <si>
    <t>Intereses de la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</si>
</sst>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0.00_ ;\-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2"/>
      <color theme="1"/>
      <name val="Arial Narrow"/>
      <family val="2"/>
    </font>
    <font>
      <b/>
      <sz val="9"/>
      <color theme="1"/>
      <name val="Arial Narrow"/>
      <family val="2"/>
    </font>
    <font>
      <sz val="6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0" tint="-0.34998626667073579"/>
      <name val="Arial Narrow"/>
      <family val="2"/>
    </font>
    <font>
      <sz val="9"/>
      <color theme="0" tint="-0.34998626667073579"/>
      <name val="Arial Narrow"/>
      <family val="2"/>
    </font>
    <font>
      <b/>
      <vertAlign val="superscript"/>
      <sz val="9"/>
      <color theme="0" tint="-0.34998626667073579"/>
      <name val="Arial Narrow"/>
      <family val="2"/>
    </font>
    <font>
      <b/>
      <sz val="10"/>
      <color theme="0" tint="-0.34998626667073579"/>
      <name val="Arial Narrow"/>
      <family val="2"/>
    </font>
    <font>
      <vertAlign val="superscript"/>
      <sz val="9"/>
      <color theme="0" tint="-0.34998626667073579"/>
      <name val="Arial Narrow"/>
      <family val="2"/>
    </font>
    <font>
      <b/>
      <sz val="9"/>
      <color theme="0" tint="-0.34998626667073579"/>
      <name val="Arial Narrow"/>
      <family val="2"/>
    </font>
    <font>
      <b/>
      <sz val="8"/>
      <color theme="1"/>
      <name val="Arial Narrow"/>
      <family val="2"/>
    </font>
    <font>
      <b/>
      <i/>
      <sz val="10"/>
      <color theme="1"/>
      <name val="Arial Narrow"/>
      <family val="2"/>
    </font>
    <font>
      <vertAlign val="superscript"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.5"/>
      <color theme="1"/>
      <name val="Arial Narrow"/>
      <family val="2"/>
    </font>
    <font>
      <sz val="6"/>
      <color theme="1"/>
      <name val="Arial"/>
      <family val="2"/>
    </font>
    <font>
      <b/>
      <sz val="7.5"/>
      <color theme="1"/>
      <name val="Arial Narrow"/>
      <family val="2"/>
    </font>
    <font>
      <b/>
      <sz val="6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sz val="12"/>
      <color theme="0"/>
      <name val="Arial Narrow"/>
      <family val="2"/>
    </font>
    <font>
      <sz val="6.5"/>
      <color theme="1"/>
      <name val="Arial Narrow"/>
      <family val="2"/>
    </font>
    <font>
      <b/>
      <sz val="6.5"/>
      <color theme="1"/>
      <name val="Arial Narrow"/>
      <family val="2"/>
    </font>
    <font>
      <b/>
      <sz val="9"/>
      <color theme="0"/>
      <name val="Arial Narrow"/>
      <family val="2"/>
    </font>
    <font>
      <b/>
      <i/>
      <sz val="9"/>
      <color theme="3" tint="0.39997558519241921"/>
      <name val="Arial Narrow"/>
      <family val="2"/>
    </font>
    <font>
      <b/>
      <i/>
      <sz val="9"/>
      <color theme="1"/>
      <name val="Arial Narrow"/>
      <family val="2"/>
    </font>
    <font>
      <sz val="8"/>
      <color theme="1"/>
      <name val="Arial Narrow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Arial Narrow"/>
      <family val="2"/>
    </font>
    <font>
      <b/>
      <sz val="11"/>
      <color theme="0"/>
      <name val="Arial Narrow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6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top"/>
      <protection locked="0"/>
    </xf>
    <xf numFmtId="4" fontId="9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 applyProtection="1">
      <alignment horizontal="right" vertical="center" wrapText="1"/>
      <protection locked="0"/>
    </xf>
    <xf numFmtId="4" fontId="10" fillId="0" borderId="0" xfId="0" applyNumberFormat="1" applyFont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4" fontId="13" fillId="0" borderId="0" xfId="0" applyNumberFormat="1" applyFont="1" applyAlignment="1" applyProtection="1">
      <alignment vertical="center"/>
      <protection locked="0"/>
    </xf>
    <xf numFmtId="4" fontId="13" fillId="0" borderId="0" xfId="0" applyNumberFormat="1" applyFont="1" applyAlignment="1" applyProtection="1">
      <alignment horizontal="right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4" fontId="9" fillId="0" borderId="1" xfId="0" applyNumberFormat="1" applyFont="1" applyBorder="1" applyAlignment="1" applyProtection="1">
      <alignment vertical="center"/>
      <protection locked="0"/>
    </xf>
    <xf numFmtId="4" fontId="9" fillId="0" borderId="2" xfId="0" applyNumberFormat="1" applyFont="1" applyBorder="1" applyAlignment="1" applyProtection="1">
      <alignment vertical="center"/>
      <protection locked="0"/>
    </xf>
    <xf numFmtId="4" fontId="8" fillId="0" borderId="3" xfId="0" applyNumberFormat="1" applyFont="1" applyBorder="1" applyAlignment="1" applyProtection="1">
      <alignment horizontal="right" vertical="center" wrapText="1"/>
      <protection locked="0"/>
    </xf>
    <xf numFmtId="4" fontId="10" fillId="0" borderId="4" xfId="0" applyNumberFormat="1" applyFont="1" applyBorder="1" applyAlignment="1" applyProtection="1">
      <alignment horizontal="right" vertical="center" wrapText="1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3" fontId="11" fillId="0" borderId="5" xfId="0" applyNumberFormat="1" applyFont="1" applyBorder="1" applyAlignment="1">
      <alignment horizontal="right" vertical="center" wrapText="1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3" fontId="4" fillId="0" borderId="6" xfId="0" applyNumberFormat="1" applyFont="1" applyBorder="1" applyAlignment="1" applyProtection="1">
      <alignment horizontal="right" vertical="center"/>
      <protection locked="0"/>
    </xf>
    <xf numFmtId="3" fontId="4" fillId="0" borderId="5" xfId="0" applyNumberFormat="1" applyFont="1" applyBorder="1" applyAlignment="1" applyProtection="1">
      <alignment horizontal="right" vertical="center"/>
      <protection locked="0"/>
    </xf>
    <xf numFmtId="3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3" fontId="4" fillId="0" borderId="8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 applyProtection="1">
      <alignment horizontal="right" vertical="center"/>
      <protection locked="0"/>
    </xf>
    <xf numFmtId="3" fontId="4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 applyProtection="1">
      <alignment horizontal="justify" vertical="center" wrapText="1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3" fontId="19" fillId="0" borderId="9" xfId="0" applyNumberFormat="1" applyFont="1" applyBorder="1" applyAlignment="1">
      <alignment horizontal="right" vertical="center"/>
    </xf>
    <xf numFmtId="0" fontId="11" fillId="0" borderId="9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justify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 indent="1"/>
      <protection locked="0"/>
    </xf>
    <xf numFmtId="0" fontId="4" fillId="0" borderId="10" xfId="0" applyFont="1" applyBorder="1" applyAlignment="1" applyProtection="1">
      <alignment horizontal="left" vertical="center" wrapText="1" inden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3" fontId="4" fillId="0" borderId="9" xfId="0" applyNumberFormat="1" applyFont="1" applyBorder="1" applyAlignment="1" applyProtection="1">
      <alignment horizontal="right" vertical="center" wrapText="1"/>
      <protection locked="0"/>
    </xf>
    <xf numFmtId="0" fontId="4" fillId="0" borderId="9" xfId="0" applyFont="1" applyBorder="1" applyAlignment="1" applyProtection="1">
      <alignment horizontal="left" vertical="center" indent="1"/>
      <protection locked="0"/>
    </xf>
    <xf numFmtId="0" fontId="4" fillId="0" borderId="10" xfId="0" applyFont="1" applyBorder="1" applyAlignment="1" applyProtection="1">
      <alignment horizontal="left" vertical="center" inden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9" fontId="11" fillId="0" borderId="6" xfId="0" applyNumberFormat="1" applyFont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justify"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horizontal="justify" vertical="center" wrapText="1"/>
      <protection locked="0"/>
    </xf>
    <xf numFmtId="0" fontId="3" fillId="0" borderId="0" xfId="0" applyFont="1" applyAlignment="1">
      <alignment vertical="center"/>
    </xf>
    <xf numFmtId="3" fontId="11" fillId="0" borderId="6" xfId="0" applyNumberFormat="1" applyFont="1" applyBorder="1" applyAlignment="1">
      <alignment horizontal="right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17" xfId="0" applyFont="1" applyBorder="1" applyAlignment="1" applyProtection="1">
      <alignment horizontal="justify" vertical="center" wrapText="1"/>
      <protection locked="0"/>
    </xf>
    <xf numFmtId="0" fontId="4" fillId="0" borderId="7" xfId="0" applyFont="1" applyBorder="1" applyAlignment="1" applyProtection="1">
      <alignment horizontal="justify" vertical="center" wrapText="1"/>
      <protection locked="0"/>
    </xf>
    <xf numFmtId="3" fontId="4" fillId="0" borderId="8" xfId="0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justify" vertical="center" wrapText="1"/>
      <protection locked="0"/>
    </xf>
    <xf numFmtId="0" fontId="4" fillId="0" borderId="10" xfId="0" applyFont="1" applyBorder="1" applyAlignment="1" applyProtection="1">
      <alignment horizontal="justify" vertical="center" wrapText="1"/>
      <protection locked="0"/>
    </xf>
    <xf numFmtId="3" fontId="4" fillId="0" borderId="8" xfId="0" applyNumberFormat="1" applyFont="1" applyBorder="1" applyAlignment="1" applyProtection="1">
      <alignment horizontal="right" vertical="center"/>
      <protection locked="0"/>
    </xf>
    <xf numFmtId="4" fontId="11" fillId="0" borderId="8" xfId="0" applyNumberFormat="1" applyFont="1" applyBorder="1" applyAlignment="1">
      <alignment horizontal="right" vertical="center" wrapText="1"/>
    </xf>
    <xf numFmtId="4" fontId="11" fillId="0" borderId="8" xfId="0" applyNumberFormat="1" applyFont="1" applyBorder="1" applyAlignment="1" applyProtection="1">
      <alignment horizontal="right" vertical="center" wrapText="1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right" vertical="top"/>
      <protection locked="0"/>
    </xf>
    <xf numFmtId="0" fontId="21" fillId="0" borderId="17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43" fontId="25" fillId="0" borderId="5" xfId="0" applyNumberFormat="1" applyFont="1" applyBorder="1" applyAlignment="1">
      <alignment horizontal="right" vertical="center"/>
    </xf>
    <xf numFmtId="0" fontId="26" fillId="0" borderId="24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43" fontId="27" fillId="0" borderId="9" xfId="0" applyNumberFormat="1" applyFont="1" applyBorder="1" applyAlignment="1">
      <alignment horizontal="right" vertical="center"/>
    </xf>
    <xf numFmtId="0" fontId="27" fillId="0" borderId="25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43" fontId="25" fillId="0" borderId="9" xfId="0" applyNumberFormat="1" applyFont="1" applyBorder="1" applyAlignment="1">
      <alignment horizontal="right" vertical="center"/>
    </xf>
    <xf numFmtId="43" fontId="25" fillId="0" borderId="9" xfId="0" applyNumberFormat="1" applyFont="1" applyBorder="1" applyAlignment="1" applyProtection="1">
      <alignment horizontal="right" vertical="center"/>
      <protection locked="0"/>
    </xf>
    <xf numFmtId="0" fontId="25" fillId="0" borderId="25" xfId="0" applyFont="1" applyBorder="1" applyAlignment="1">
      <alignment horizontal="left" vertical="justify"/>
    </xf>
    <xf numFmtId="0" fontId="25" fillId="0" borderId="0" xfId="0" applyFont="1" applyAlignment="1">
      <alignment horizontal="left" vertical="justify"/>
    </xf>
    <xf numFmtId="0" fontId="25" fillId="0" borderId="25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8" fillId="0" borderId="25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43" fontId="25" fillId="0" borderId="8" xfId="0" applyNumberFormat="1" applyFont="1" applyBorder="1" applyAlignment="1" applyProtection="1">
      <alignment horizontal="right" vertical="center"/>
      <protection locked="0"/>
    </xf>
    <xf numFmtId="0" fontId="25" fillId="0" borderId="25" xfId="0" applyFont="1" applyBorder="1" applyAlignment="1">
      <alignment horizontal="left" vertical="justify"/>
    </xf>
    <xf numFmtId="0" fontId="25" fillId="0" borderId="0" xfId="0" applyFont="1" applyAlignment="1">
      <alignment horizontal="left" vertical="center"/>
    </xf>
    <xf numFmtId="43" fontId="25" fillId="0" borderId="5" xfId="0" applyNumberFormat="1" applyFont="1" applyBorder="1" applyAlignment="1" applyProtection="1">
      <alignment horizontal="right" vertical="center"/>
      <protection locked="0"/>
    </xf>
    <xf numFmtId="0" fontId="25" fillId="0" borderId="24" xfId="0" applyFont="1" applyBorder="1" applyAlignment="1">
      <alignment horizontal="left" vertical="justify"/>
    </xf>
    <xf numFmtId="0" fontId="25" fillId="0" borderId="17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25" xfId="0" applyFont="1" applyBorder="1" applyAlignment="1">
      <alignment horizontal="left" vertical="center"/>
    </xf>
    <xf numFmtId="43" fontId="25" fillId="3" borderId="9" xfId="0" applyNumberFormat="1" applyFont="1" applyFill="1" applyBorder="1" applyAlignment="1">
      <alignment horizontal="right" vertical="center"/>
    </xf>
    <xf numFmtId="43" fontId="27" fillId="0" borderId="26" xfId="0" applyNumberFormat="1" applyFont="1" applyBorder="1" applyAlignment="1">
      <alignment horizontal="right" vertical="center"/>
    </xf>
    <xf numFmtId="0" fontId="25" fillId="0" borderId="25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10" xfId="0" applyFont="1" applyBorder="1" applyAlignment="1">
      <alignment vertical="center"/>
    </xf>
    <xf numFmtId="43" fontId="25" fillId="0" borderId="8" xfId="0" applyNumberFormat="1" applyFont="1" applyBorder="1" applyAlignment="1">
      <alignment horizontal="right" vertical="center"/>
    </xf>
    <xf numFmtId="0" fontId="25" fillId="0" borderId="25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24" xfId="0" applyFont="1" applyBorder="1" applyAlignment="1">
      <alignment horizontal="left" vertical="center"/>
    </xf>
    <xf numFmtId="43" fontId="25" fillId="0" borderId="26" xfId="0" applyNumberFormat="1" applyFont="1" applyBorder="1" applyAlignment="1">
      <alignment horizontal="right" vertical="center"/>
    </xf>
    <xf numFmtId="0" fontId="25" fillId="0" borderId="10" xfId="0" applyFont="1" applyBorder="1" applyAlignment="1">
      <alignment horizontal="left" vertical="center"/>
    </xf>
    <xf numFmtId="0" fontId="25" fillId="0" borderId="9" xfId="0" applyFont="1" applyBorder="1" applyAlignment="1">
      <alignment horizontal="right" vertical="center"/>
    </xf>
    <xf numFmtId="0" fontId="27" fillId="0" borderId="9" xfId="0" applyFont="1" applyBorder="1" applyAlignment="1">
      <alignment horizontal="left" vertical="center"/>
    </xf>
    <xf numFmtId="0" fontId="26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justify" vertical="center"/>
    </xf>
    <xf numFmtId="0" fontId="25" fillId="0" borderId="4" xfId="0" applyFont="1" applyBorder="1" applyAlignment="1">
      <alignment horizontal="justify" vertical="center"/>
    </xf>
    <xf numFmtId="0" fontId="25" fillId="0" borderId="11" xfId="0" applyFont="1" applyBorder="1" applyAlignment="1">
      <alignment horizontal="justify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justify"/>
    </xf>
    <xf numFmtId="0" fontId="27" fillId="2" borderId="5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justify"/>
    </xf>
    <xf numFmtId="0" fontId="27" fillId="2" borderId="9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horizontal="center" vertical="center" wrapText="1"/>
    </xf>
    <xf numFmtId="0" fontId="30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31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4" fontId="21" fillId="4" borderId="27" xfId="0" applyNumberFormat="1" applyFont="1" applyFill="1" applyBorder="1" applyAlignment="1">
      <alignment horizontal="right" vertical="center" wrapText="1"/>
    </xf>
    <xf numFmtId="0" fontId="32" fillId="4" borderId="28" xfId="0" applyFont="1" applyFill="1" applyBorder="1" applyAlignment="1" applyProtection="1">
      <alignment horizontal="justify" vertical="center"/>
      <protection locked="0"/>
    </xf>
    <xf numFmtId="0" fontId="33" fillId="4" borderId="28" xfId="0" applyFont="1" applyFill="1" applyBorder="1" applyAlignment="1" applyProtection="1">
      <alignment vertical="center"/>
      <protection locked="0"/>
    </xf>
    <xf numFmtId="0" fontId="33" fillId="4" borderId="16" xfId="0" applyFont="1" applyFill="1" applyBorder="1" applyAlignment="1" applyProtection="1">
      <alignment vertical="center"/>
      <protection locked="0"/>
    </xf>
    <xf numFmtId="4" fontId="32" fillId="5" borderId="29" xfId="0" applyNumberFormat="1" applyFont="1" applyFill="1" applyBorder="1" applyAlignment="1">
      <alignment horizontal="right" vertical="center"/>
    </xf>
    <xf numFmtId="0" fontId="32" fillId="5" borderId="30" xfId="0" applyFont="1" applyFill="1" applyBorder="1" applyAlignment="1" applyProtection="1">
      <alignment horizontal="right" vertical="center"/>
      <protection locked="0"/>
    </xf>
    <xf numFmtId="0" fontId="34" fillId="5" borderId="31" xfId="0" applyFont="1" applyFill="1" applyBorder="1" applyAlignment="1" applyProtection="1">
      <alignment horizontal="justify" vertical="center"/>
      <protection locked="0"/>
    </xf>
    <xf numFmtId="0" fontId="32" fillId="5" borderId="10" xfId="0" applyFont="1" applyFill="1" applyBorder="1" applyAlignment="1" applyProtection="1">
      <alignment horizontal="justify" vertical="center"/>
      <protection locked="0"/>
    </xf>
    <xf numFmtId="43" fontId="21" fillId="0" borderId="32" xfId="0" applyNumberFormat="1" applyFont="1" applyBorder="1" applyAlignment="1" applyProtection="1">
      <alignment horizontal="right" vertical="center" wrapText="1"/>
      <protection locked="0"/>
    </xf>
    <xf numFmtId="0" fontId="35" fillId="5" borderId="33" xfId="0" applyFont="1" applyFill="1" applyBorder="1" applyAlignment="1" applyProtection="1">
      <alignment horizontal="justify" vertical="center"/>
      <protection locked="0"/>
    </xf>
    <xf numFmtId="0" fontId="32" fillId="5" borderId="10" xfId="0" applyFont="1" applyFill="1" applyBorder="1" applyAlignment="1" applyProtection="1">
      <alignment vertical="center"/>
      <protection locked="0"/>
    </xf>
    <xf numFmtId="0" fontId="21" fillId="0" borderId="30" xfId="0" applyFont="1" applyBorder="1" applyAlignment="1" applyProtection="1">
      <alignment horizontal="right" vertical="center" wrapText="1"/>
      <protection locked="0"/>
    </xf>
    <xf numFmtId="0" fontId="34" fillId="5" borderId="33" xfId="0" applyFont="1" applyFill="1" applyBorder="1" applyAlignment="1" applyProtection="1">
      <alignment horizontal="justify" vertical="center"/>
      <protection locked="0"/>
    </xf>
    <xf numFmtId="0" fontId="34" fillId="5" borderId="34" xfId="0" applyFont="1" applyFill="1" applyBorder="1" applyAlignment="1" applyProtection="1">
      <alignment horizontal="justify" vertical="center"/>
      <protection locked="0"/>
    </xf>
    <xf numFmtId="4" fontId="21" fillId="0" borderId="27" xfId="0" applyNumberFormat="1" applyFont="1" applyBorder="1" applyAlignment="1">
      <alignment horizontal="right" vertical="center" wrapText="1"/>
    </xf>
    <xf numFmtId="0" fontId="32" fillId="5" borderId="28" xfId="0" applyFont="1" applyFill="1" applyBorder="1" applyAlignment="1" applyProtection="1">
      <alignment horizontal="justify" vertical="center"/>
      <protection locked="0"/>
    </xf>
    <xf numFmtId="0" fontId="33" fillId="5" borderId="28" xfId="0" applyFont="1" applyFill="1" applyBorder="1" applyAlignment="1" applyProtection="1">
      <alignment vertical="center"/>
      <protection locked="0"/>
    </xf>
    <xf numFmtId="0" fontId="33" fillId="5" borderId="16" xfId="0" applyFont="1" applyFill="1" applyBorder="1" applyAlignment="1" applyProtection="1">
      <alignment vertical="center"/>
      <protection locked="0"/>
    </xf>
    <xf numFmtId="4" fontId="32" fillId="5" borderId="5" xfId="0" applyNumberFormat="1" applyFont="1" applyFill="1" applyBorder="1" applyAlignment="1" applyProtection="1">
      <alignment horizontal="right" vertical="center"/>
      <protection locked="0"/>
    </xf>
    <xf numFmtId="0" fontId="21" fillId="0" borderId="17" xfId="0" applyFont="1" applyBorder="1" applyAlignment="1" applyProtection="1">
      <alignment horizontal="center" vertical="center" wrapText="1"/>
      <protection locked="0"/>
    </xf>
    <xf numFmtId="0" fontId="36" fillId="5" borderId="17" xfId="0" applyFont="1" applyFill="1" applyBorder="1" applyAlignment="1" applyProtection="1">
      <alignment horizontal="justify" vertical="center"/>
      <protection locked="0"/>
    </xf>
    <xf numFmtId="0" fontId="33" fillId="5" borderId="7" xfId="0" applyFont="1" applyFill="1" applyBorder="1" applyAlignment="1" applyProtection="1">
      <alignment horizontal="left" vertical="center"/>
      <protection locked="0"/>
    </xf>
    <xf numFmtId="4" fontId="32" fillId="5" borderId="3" xfId="0" applyNumberFormat="1" applyFont="1" applyFill="1" applyBorder="1" applyAlignment="1" applyProtection="1">
      <alignment horizontal="right" vertical="center"/>
      <protection locked="0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34" fillId="5" borderId="4" xfId="0" applyFont="1" applyFill="1" applyBorder="1" applyAlignment="1" applyProtection="1">
      <alignment horizontal="justify" vertical="center"/>
      <protection locked="0"/>
    </xf>
    <xf numFmtId="0" fontId="32" fillId="5" borderId="11" xfId="0" applyFont="1" applyFill="1" applyBorder="1" applyAlignment="1" applyProtection="1">
      <alignment horizontal="justify" vertical="center"/>
      <protection locked="0"/>
    </xf>
    <xf numFmtId="4" fontId="32" fillId="5" borderId="35" xfId="0" applyNumberFormat="1" applyFont="1" applyFill="1" applyBorder="1" applyAlignment="1">
      <alignment horizontal="right" vertical="center"/>
    </xf>
    <xf numFmtId="0" fontId="35" fillId="5" borderId="31" xfId="0" applyFont="1" applyFill="1" applyBorder="1" applyAlignment="1" applyProtection="1">
      <alignment horizontal="justify" vertical="center"/>
      <protection locked="0"/>
    </xf>
    <xf numFmtId="0" fontId="32" fillId="5" borderId="7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left"/>
    </xf>
    <xf numFmtId="43" fontId="21" fillId="0" borderId="30" xfId="0" applyNumberFormat="1" applyFont="1" applyBorder="1" applyAlignment="1" applyProtection="1">
      <alignment horizontal="right" vertical="center" wrapText="1"/>
      <protection locked="0"/>
    </xf>
    <xf numFmtId="0" fontId="33" fillId="5" borderId="10" xfId="0" applyFont="1" applyFill="1" applyBorder="1" applyAlignment="1" applyProtection="1">
      <alignment horizontal="justify"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4" fontId="21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21" fillId="2" borderId="17" xfId="0" applyFont="1" applyFill="1" applyBorder="1" applyAlignment="1" applyProtection="1">
      <alignment horizontal="center" vertical="center" wrapText="1"/>
      <protection locked="0"/>
    </xf>
    <xf numFmtId="0" fontId="21" fillId="2" borderId="17" xfId="0" applyFont="1" applyFill="1" applyBorder="1" applyAlignment="1" applyProtection="1">
      <alignment horizontal="left" vertical="center"/>
      <protection locked="0"/>
    </xf>
    <xf numFmtId="0" fontId="21" fillId="2" borderId="7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vertical="center" wrapText="1"/>
    </xf>
    <xf numFmtId="4" fontId="21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locked="0"/>
    </xf>
    <xf numFmtId="0" fontId="21" fillId="2" borderId="4" xfId="0" applyFont="1" applyFill="1" applyBorder="1" applyAlignment="1" applyProtection="1">
      <alignment horizontal="left" vertical="center"/>
      <protection locked="0"/>
    </xf>
    <xf numFmtId="0" fontId="21" fillId="2" borderId="1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1" fillId="4" borderId="28" xfId="0" applyFont="1" applyFill="1" applyBorder="1" applyAlignment="1" applyProtection="1">
      <alignment horizontal="center" vertical="center" wrapText="1"/>
      <protection locked="0"/>
    </xf>
    <xf numFmtId="0" fontId="21" fillId="4" borderId="28" xfId="0" applyFont="1" applyFill="1" applyBorder="1" applyAlignment="1" applyProtection="1">
      <alignment horizontal="left" vertical="center"/>
      <protection locked="0"/>
    </xf>
    <xf numFmtId="0" fontId="21" fillId="4" borderId="16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left" vertical="center"/>
    </xf>
    <xf numFmtId="0" fontId="21" fillId="0" borderId="0" xfId="0" applyFont="1" applyAlignment="1" applyProtection="1">
      <alignment horizontal="left" vertical="top"/>
      <protection locked="0"/>
    </xf>
    <xf numFmtId="0" fontId="22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3" fontId="11" fillId="0" borderId="27" xfId="0" applyNumberFormat="1" applyFont="1" applyBorder="1" applyAlignment="1">
      <alignment horizontal="right" vertical="center" wrapText="1"/>
    </xf>
    <xf numFmtId="3" fontId="11" fillId="0" borderId="28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vertical="center" wrapText="1"/>
    </xf>
    <xf numFmtId="3" fontId="4" fillId="0" borderId="35" xfId="0" applyNumberFormat="1" applyFont="1" applyBorder="1" applyAlignment="1">
      <alignment horizontal="right" vertical="center" wrapText="1"/>
    </xf>
    <xf numFmtId="3" fontId="4" fillId="0" borderId="32" xfId="0" applyNumberFormat="1" applyFont="1" applyBorder="1" applyAlignment="1" applyProtection="1">
      <alignment horizontal="right" vertical="center" wrapText="1"/>
      <protection locked="0"/>
    </xf>
    <xf numFmtId="3" fontId="4" fillId="0" borderId="32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 wrapText="1" indent="3"/>
    </xf>
    <xf numFmtId="3" fontId="4" fillId="0" borderId="29" xfId="0" applyNumberFormat="1" applyFont="1" applyBorder="1" applyAlignment="1">
      <alignment horizontal="right" vertical="center" wrapText="1"/>
    </xf>
    <xf numFmtId="3" fontId="4" fillId="0" borderId="30" xfId="0" applyNumberFormat="1" applyFont="1" applyBorder="1" applyAlignment="1" applyProtection="1">
      <alignment horizontal="right" vertical="center" wrapText="1"/>
      <protection locked="0"/>
    </xf>
    <xf numFmtId="3" fontId="4" fillId="0" borderId="30" xfId="0" applyNumberFormat="1" applyFont="1" applyBorder="1" applyAlignment="1">
      <alignment horizontal="right" vertical="center" wrapText="1"/>
    </xf>
    <xf numFmtId="0" fontId="4" fillId="0" borderId="21" xfId="0" applyFont="1" applyBorder="1" applyAlignment="1">
      <alignment horizontal="left" vertical="center" wrapText="1" indent="3"/>
    </xf>
    <xf numFmtId="0" fontId="4" fillId="0" borderId="21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49" fontId="11" fillId="0" borderId="35" xfId="0" applyNumberFormat="1" applyFont="1" applyBorder="1" applyAlignment="1">
      <alignment horizontal="center" vertical="center" wrapText="1"/>
    </xf>
    <xf numFmtId="49" fontId="11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2" xfId="0" applyNumberFormat="1" applyFont="1" applyBorder="1" applyAlignment="1">
      <alignment horizontal="center" vertical="center" wrapText="1"/>
    </xf>
    <xf numFmtId="49" fontId="11" fillId="0" borderId="32" xfId="0" applyNumberFormat="1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2" borderId="37" xfId="0" applyFont="1" applyFill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>
      <alignment horizontal="center" vertical="center" wrapText="1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>
      <alignment horizontal="center" vertical="center" wrapText="1"/>
    </xf>
    <xf numFmtId="0" fontId="9" fillId="0" borderId="17" xfId="0" applyFont="1" applyBorder="1" applyAlignment="1" applyProtection="1">
      <alignment horizontal="left" vertical="center"/>
      <protection locked="0"/>
    </xf>
    <xf numFmtId="0" fontId="38" fillId="0" borderId="5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17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43" fontId="39" fillId="0" borderId="8" xfId="0" applyNumberFormat="1" applyFont="1" applyBorder="1" applyAlignment="1">
      <alignment vertical="center"/>
    </xf>
    <xf numFmtId="0" fontId="39" fillId="0" borderId="9" xfId="0" applyFont="1" applyBorder="1" applyAlignment="1">
      <alignment horizontal="left" vertical="center"/>
    </xf>
    <xf numFmtId="0" fontId="39" fillId="0" borderId="10" xfId="0" applyFont="1" applyBorder="1" applyAlignment="1">
      <alignment horizontal="left" vertical="center"/>
    </xf>
    <xf numFmtId="43" fontId="38" fillId="2" borderId="9" xfId="0" applyNumberFormat="1" applyFont="1" applyFill="1" applyBorder="1" applyAlignment="1">
      <alignment vertical="center"/>
    </xf>
    <xf numFmtId="43" fontId="38" fillId="2" borderId="8" xfId="0" applyNumberFormat="1" applyFont="1" applyFill="1" applyBorder="1" applyAlignment="1">
      <alignment vertical="center"/>
    </xf>
    <xf numFmtId="0" fontId="38" fillId="2" borderId="0" xfId="0" applyFont="1" applyFill="1" applyAlignment="1">
      <alignment horizontal="left" vertical="center"/>
    </xf>
    <xf numFmtId="0" fontId="38" fillId="2" borderId="10" xfId="0" applyFont="1" applyFill="1" applyBorder="1" applyAlignment="1">
      <alignment horizontal="left" vertical="center"/>
    </xf>
    <xf numFmtId="43" fontId="38" fillId="2" borderId="8" xfId="0" applyNumberFormat="1" applyFont="1" applyFill="1" applyBorder="1" applyAlignment="1" applyProtection="1">
      <alignment vertical="center"/>
      <protection locked="0"/>
    </xf>
    <xf numFmtId="0" fontId="38" fillId="2" borderId="9" xfId="0" applyFont="1" applyFill="1" applyBorder="1" applyAlignment="1">
      <alignment horizontal="left" vertical="center"/>
    </xf>
    <xf numFmtId="0" fontId="38" fillId="2" borderId="10" xfId="0" applyFont="1" applyFill="1" applyBorder="1" applyAlignment="1">
      <alignment horizontal="left" vertical="center"/>
    </xf>
    <xf numFmtId="43" fontId="38" fillId="2" borderId="5" xfId="0" applyNumberFormat="1" applyFont="1" applyFill="1" applyBorder="1" applyAlignment="1">
      <alignment vertical="center"/>
    </xf>
    <xf numFmtId="43" fontId="38" fillId="2" borderId="6" xfId="0" applyNumberFormat="1" applyFont="1" applyFill="1" applyBorder="1" applyAlignment="1" applyProtection="1">
      <alignment vertical="center"/>
      <protection locked="0"/>
    </xf>
    <xf numFmtId="43" fontId="38" fillId="2" borderId="6" xfId="0" applyNumberFormat="1" applyFont="1" applyFill="1" applyBorder="1" applyAlignment="1">
      <alignment vertical="center"/>
    </xf>
    <xf numFmtId="0" fontId="38" fillId="2" borderId="17" xfId="0" applyFont="1" applyFill="1" applyBorder="1" applyAlignment="1">
      <alignment horizontal="left" vertical="center"/>
    </xf>
    <xf numFmtId="0" fontId="38" fillId="2" borderId="7" xfId="0" applyFont="1" applyFill="1" applyBorder="1" applyAlignment="1">
      <alignment horizontal="left" vertical="center"/>
    </xf>
    <xf numFmtId="0" fontId="0" fillId="6" borderId="0" xfId="0" applyFill="1"/>
    <xf numFmtId="43" fontId="39" fillId="2" borderId="8" xfId="0" applyNumberFormat="1" applyFont="1" applyFill="1" applyBorder="1" applyAlignment="1">
      <alignment vertical="center"/>
    </xf>
    <xf numFmtId="0" fontId="39" fillId="2" borderId="9" xfId="0" applyFont="1" applyFill="1" applyBorder="1" applyAlignment="1">
      <alignment horizontal="left" vertical="center"/>
    </xf>
    <xf numFmtId="0" fontId="39" fillId="2" borderId="10" xfId="0" applyFont="1" applyFill="1" applyBorder="1" applyAlignment="1">
      <alignment horizontal="left" vertical="center"/>
    </xf>
    <xf numFmtId="0" fontId="39" fillId="2" borderId="8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9" fillId="2" borderId="10" xfId="0" applyFont="1" applyFill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0" fillId="0" borderId="0" xfId="0" applyFont="1" applyAlignment="1" applyProtection="1">
      <alignment vertical="center"/>
      <protection locked="0"/>
    </xf>
    <xf numFmtId="0" fontId="41" fillId="0" borderId="0" xfId="0" applyFont="1" applyAlignment="1" applyProtection="1">
      <alignment horizontal="right"/>
      <protection locked="0"/>
    </xf>
    <xf numFmtId="0" fontId="40" fillId="0" borderId="0" xfId="0" applyFont="1" applyAlignment="1" applyProtection="1">
      <alignment horizontal="left" vertical="justify" indent="3"/>
      <protection locked="0"/>
    </xf>
    <xf numFmtId="0" fontId="40" fillId="0" borderId="0" xfId="0" applyFont="1" applyAlignment="1" applyProtection="1">
      <alignment horizontal="justify"/>
      <protection locked="0"/>
    </xf>
    <xf numFmtId="0" fontId="40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/>
      <protection locked="0"/>
    </xf>
    <xf numFmtId="3" fontId="9" fillId="0" borderId="0" xfId="0" applyNumberFormat="1" applyFont="1" applyAlignment="1">
      <alignment horizontal="right" vertical="center" wrapText="1"/>
    </xf>
    <xf numFmtId="3" fontId="42" fillId="0" borderId="0" xfId="0" applyNumberFormat="1" applyFont="1" applyAlignment="1">
      <alignment horizontal="right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3" fontId="9" fillId="0" borderId="35" xfId="0" applyNumberFormat="1" applyFont="1" applyBorder="1" applyAlignment="1">
      <alignment horizontal="right" vertical="center" wrapText="1"/>
    </xf>
    <xf numFmtId="3" fontId="9" fillId="0" borderId="32" xfId="0" applyNumberFormat="1" applyFont="1" applyBorder="1" applyAlignment="1">
      <alignment horizontal="right" vertical="center" wrapText="1"/>
    </xf>
    <xf numFmtId="3" fontId="42" fillId="0" borderId="32" xfId="0" applyNumberFormat="1" applyFont="1" applyBorder="1" applyAlignment="1">
      <alignment horizontal="right" vertical="center" wrapText="1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3" fontId="31" fillId="0" borderId="35" xfId="0" applyNumberFormat="1" applyFont="1" applyBorder="1" applyAlignment="1">
      <alignment horizontal="right" vertical="center" wrapText="1"/>
    </xf>
    <xf numFmtId="3" fontId="31" fillId="0" borderId="32" xfId="0" applyNumberFormat="1" applyFont="1" applyBorder="1" applyAlignment="1" applyProtection="1">
      <alignment horizontal="right" vertical="center" wrapText="1"/>
      <protection locked="0"/>
    </xf>
    <xf numFmtId="3" fontId="31" fillId="0" borderId="32" xfId="0" applyNumberFormat="1" applyFont="1" applyBorder="1" applyAlignment="1">
      <alignment horizontal="right" vertical="center" wrapText="1"/>
    </xf>
    <xf numFmtId="0" fontId="4" fillId="0" borderId="19" xfId="0" applyFont="1" applyBorder="1" applyAlignment="1" applyProtection="1">
      <alignment horizontal="justify" vertical="center" wrapText="1"/>
      <protection locked="0"/>
    </xf>
    <xf numFmtId="3" fontId="31" fillId="0" borderId="29" xfId="0" applyNumberFormat="1" applyFont="1" applyBorder="1" applyAlignment="1">
      <alignment horizontal="right" vertical="center" wrapText="1"/>
    </xf>
    <xf numFmtId="3" fontId="31" fillId="0" borderId="30" xfId="0" applyNumberFormat="1" applyFont="1" applyBorder="1" applyAlignment="1" applyProtection="1">
      <alignment horizontal="right" vertical="center" wrapText="1"/>
      <protection locked="0"/>
    </xf>
    <xf numFmtId="3" fontId="31" fillId="0" borderId="30" xfId="0" applyNumberFormat="1" applyFont="1" applyBorder="1" applyAlignment="1">
      <alignment horizontal="right" vertical="center" wrapText="1"/>
    </xf>
    <xf numFmtId="0" fontId="4" fillId="0" borderId="21" xfId="0" applyFont="1" applyBorder="1" applyAlignment="1" applyProtection="1">
      <alignment horizontal="left" vertical="center" wrapText="1" indent="2"/>
      <protection locked="0"/>
    </xf>
    <xf numFmtId="49" fontId="11" fillId="0" borderId="0" xfId="0" applyNumberFormat="1" applyFont="1" applyAlignment="1" applyProtection="1">
      <alignment vertical="center"/>
      <protection locked="0"/>
    </xf>
    <xf numFmtId="49" fontId="11" fillId="0" borderId="35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21" fillId="0" borderId="17" xfId="0" applyFont="1" applyBorder="1" applyAlignment="1" applyProtection="1">
      <alignment horizontal="center" vertical="top"/>
      <protection locked="0"/>
    </xf>
    <xf numFmtId="164" fontId="43" fillId="0" borderId="0" xfId="1" applyNumberFormat="1" applyFont="1" applyFill="1" applyAlignment="1" applyProtection="1">
      <alignment vertical="center"/>
      <protection locked="0"/>
    </xf>
    <xf numFmtId="0" fontId="11" fillId="0" borderId="16" xfId="0" applyFont="1" applyBorder="1" applyAlignment="1" applyProtection="1">
      <alignment horizontal="justify" vertical="center" wrapText="1"/>
      <protection locked="0"/>
    </xf>
    <xf numFmtId="3" fontId="31" fillId="0" borderId="29" xfId="0" applyNumberFormat="1" applyFont="1" applyBorder="1" applyAlignment="1" applyProtection="1">
      <alignment horizontal="right" vertical="center" wrapText="1"/>
      <protection locked="0"/>
    </xf>
    <xf numFmtId="0" fontId="31" fillId="0" borderId="21" xfId="0" applyFont="1" applyBorder="1" applyAlignment="1" applyProtection="1">
      <alignment horizontal="justify" vertical="center" wrapText="1"/>
      <protection locked="0"/>
    </xf>
    <xf numFmtId="43" fontId="3" fillId="0" borderId="0" xfId="0" applyNumberFormat="1" applyFont="1" applyAlignment="1" applyProtection="1">
      <alignment vertical="center"/>
      <protection locked="0"/>
    </xf>
    <xf numFmtId="0" fontId="43" fillId="0" borderId="21" xfId="0" applyFont="1" applyBorder="1" applyAlignment="1" applyProtection="1">
      <alignment horizontal="justify" vertical="center" wrapText="1"/>
      <protection locked="0"/>
    </xf>
    <xf numFmtId="43" fontId="3" fillId="0" borderId="0" xfId="1" applyFont="1" applyFill="1" applyAlignment="1" applyProtection="1">
      <alignment vertical="center"/>
      <protection locked="0"/>
    </xf>
    <xf numFmtId="0" fontId="43" fillId="2" borderId="21" xfId="0" applyFont="1" applyFill="1" applyBorder="1" applyAlignment="1" applyProtection="1">
      <alignment horizontal="justify" vertical="center" wrapText="1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49" fontId="18" fillId="0" borderId="35" xfId="0" applyNumberFormat="1" applyFont="1" applyBorder="1" applyAlignment="1" applyProtection="1">
      <alignment horizontal="center" vertical="center" wrapText="1"/>
      <protection locked="0"/>
    </xf>
    <xf numFmtId="49" fontId="18" fillId="0" borderId="32" xfId="0" applyNumberFormat="1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vertical="center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43" fontId="0" fillId="0" borderId="0" xfId="1" applyFont="1"/>
    <xf numFmtId="43" fontId="44" fillId="0" borderId="0" xfId="0" applyNumberFormat="1" applyFont="1"/>
    <xf numFmtId="43" fontId="44" fillId="0" borderId="0" xfId="1" applyFont="1"/>
    <xf numFmtId="164" fontId="44" fillId="0" borderId="0" xfId="1" applyNumberFormat="1" applyFont="1"/>
    <xf numFmtId="43" fontId="10" fillId="0" borderId="5" xfId="0" applyNumberFormat="1" applyFont="1" applyBorder="1" applyAlignment="1">
      <alignment horizontal="right" vertical="center" wrapText="1"/>
    </xf>
    <xf numFmtId="0" fontId="10" fillId="0" borderId="6" xfId="0" applyFont="1" applyBorder="1" applyAlignment="1">
      <alignment horizontal="justify" vertical="center" wrapText="1"/>
    </xf>
    <xf numFmtId="0" fontId="45" fillId="0" borderId="0" xfId="0" applyFont="1"/>
    <xf numFmtId="0" fontId="18" fillId="0" borderId="0" xfId="0" applyFont="1" applyAlignment="1">
      <alignment vertical="center"/>
    </xf>
    <xf numFmtId="43" fontId="43" fillId="0" borderId="9" xfId="0" applyNumberFormat="1" applyFont="1" applyBorder="1" applyAlignment="1">
      <alignment horizontal="right" vertical="center" wrapText="1"/>
    </xf>
    <xf numFmtId="164" fontId="43" fillId="0" borderId="9" xfId="0" applyNumberFormat="1" applyFont="1" applyBorder="1" applyAlignment="1">
      <alignment horizontal="right" vertical="center" wrapText="1"/>
    </xf>
    <xf numFmtId="0" fontId="18" fillId="0" borderId="8" xfId="0" applyFont="1" applyBorder="1" applyAlignment="1">
      <alignment horizontal="justify" vertical="center" wrapText="1"/>
    </xf>
    <xf numFmtId="0" fontId="43" fillId="0" borderId="8" xfId="0" applyFont="1" applyBorder="1" applyAlignment="1">
      <alignment horizontal="justify" vertical="center" wrapText="1"/>
    </xf>
    <xf numFmtId="0" fontId="43" fillId="0" borderId="8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43" fontId="43" fillId="2" borderId="9" xfId="0" applyNumberFormat="1" applyFont="1" applyFill="1" applyBorder="1" applyAlignment="1">
      <alignment horizontal="right" vertical="center" wrapText="1"/>
    </xf>
    <xf numFmtId="0" fontId="43" fillId="0" borderId="9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3" fontId="11" fillId="0" borderId="35" xfId="0" applyNumberFormat="1" applyFont="1" applyBorder="1" applyAlignment="1">
      <alignment horizontal="right" vertical="center" wrapText="1"/>
    </xf>
    <xf numFmtId="3" fontId="11" fillId="0" borderId="32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justify" vertical="center" wrapText="1"/>
    </xf>
    <xf numFmtId="4" fontId="4" fillId="0" borderId="29" xfId="0" applyNumberFormat="1" applyFont="1" applyBorder="1" applyAlignment="1">
      <alignment horizontal="justify" vertical="center" wrapText="1"/>
    </xf>
    <xf numFmtId="4" fontId="4" fillId="0" borderId="30" xfId="0" applyNumberFormat="1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49" fontId="18" fillId="0" borderId="0" xfId="0" applyNumberFormat="1" applyFont="1" applyAlignment="1" applyProtection="1">
      <alignment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36" xfId="0" applyFont="1" applyBorder="1" applyAlignment="1" applyProtection="1">
      <alignment horizontal="center" vertical="center" wrapText="1"/>
      <protection locked="0"/>
    </xf>
    <xf numFmtId="0" fontId="21" fillId="0" borderId="37" xfId="0" applyFont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justify" vertical="center" wrapText="1"/>
      <protection locked="0"/>
    </xf>
    <xf numFmtId="3" fontId="4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 applyProtection="1">
      <alignment horizontal="right" vertical="center" wrapText="1"/>
      <protection locked="0"/>
    </xf>
    <xf numFmtId="3" fontId="11" fillId="0" borderId="4" xfId="0" applyNumberFormat="1" applyFont="1" applyBorder="1" applyAlignment="1">
      <alignment horizontal="right" vertical="center" wrapText="1"/>
    </xf>
    <xf numFmtId="0" fontId="11" fillId="0" borderId="4" xfId="0" applyFont="1" applyBorder="1" applyAlignment="1" applyProtection="1">
      <alignment horizontal="justify" vertical="center" wrapText="1"/>
      <protection locked="0"/>
    </xf>
    <xf numFmtId="0" fontId="4" fillId="0" borderId="21" xfId="0" applyFont="1" applyBorder="1" applyAlignment="1" applyProtection="1">
      <alignment horizontal="left" vertical="center" wrapText="1" indent="1"/>
      <protection locked="0"/>
    </xf>
    <xf numFmtId="4" fontId="4" fillId="0" borderId="29" xfId="0" applyNumberFormat="1" applyFont="1" applyBorder="1" applyAlignment="1">
      <alignment horizontal="right" vertical="center" wrapText="1"/>
    </xf>
    <xf numFmtId="4" fontId="4" fillId="0" borderId="30" xfId="0" applyNumberFormat="1" applyFont="1" applyBorder="1" applyAlignment="1" applyProtection="1">
      <alignment horizontal="right" vertical="center" wrapText="1"/>
      <protection locked="0"/>
    </xf>
    <xf numFmtId="4" fontId="4" fillId="0" borderId="30" xfId="0" applyNumberFormat="1" applyFont="1" applyBorder="1" applyAlignment="1">
      <alignment horizontal="right" vertical="center" wrapText="1"/>
    </xf>
    <xf numFmtId="0" fontId="4" fillId="0" borderId="21" xfId="0" applyFont="1" applyBorder="1" applyAlignment="1" applyProtection="1">
      <alignment horizontal="justify" vertical="center" wrapText="1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 indent="2"/>
      <protection locked="0"/>
    </xf>
    <xf numFmtId="3" fontId="4" fillId="0" borderId="27" xfId="0" applyNumberFormat="1" applyFont="1" applyBorder="1" applyAlignment="1">
      <alignment horizontal="right" vertical="center" wrapText="1"/>
    </xf>
    <xf numFmtId="3" fontId="4" fillId="0" borderId="28" xfId="0" applyNumberFormat="1" applyFont="1" applyBorder="1" applyAlignment="1">
      <alignment horizontal="right" vertical="center" wrapText="1"/>
    </xf>
    <xf numFmtId="0" fontId="4" fillId="0" borderId="21" xfId="0" applyFont="1" applyBorder="1" applyAlignment="1" applyProtection="1">
      <alignment horizontal="left" vertical="top" wrapText="1" indent="2"/>
      <protection locked="0"/>
    </xf>
    <xf numFmtId="3" fontId="11" fillId="0" borderId="29" xfId="0" applyNumberFormat="1" applyFont="1" applyBorder="1" applyAlignment="1">
      <alignment horizontal="right" vertical="center" wrapText="1"/>
    </xf>
    <xf numFmtId="3" fontId="11" fillId="0" borderId="30" xfId="0" applyNumberFormat="1" applyFont="1" applyBorder="1" applyAlignment="1">
      <alignment horizontal="right" vertical="center" wrapText="1"/>
    </xf>
    <xf numFmtId="0" fontId="11" fillId="0" borderId="21" xfId="0" applyFont="1" applyBorder="1" applyAlignment="1" applyProtection="1">
      <alignment vertical="center" wrapText="1"/>
      <protection locked="0"/>
    </xf>
    <xf numFmtId="4" fontId="3" fillId="0" borderId="29" xfId="0" applyNumberFormat="1" applyFont="1" applyBorder="1" applyAlignment="1" applyProtection="1">
      <alignment horizontal="justify" vertical="center" wrapText="1"/>
      <protection locked="0"/>
    </xf>
    <xf numFmtId="4" fontId="3" fillId="0" borderId="30" xfId="0" applyNumberFormat="1" applyFont="1" applyBorder="1" applyAlignment="1" applyProtection="1">
      <alignment horizontal="justify" vertical="center" wrapText="1"/>
      <protection locked="0"/>
    </xf>
    <xf numFmtId="0" fontId="3" fillId="0" borderId="21" xfId="0" applyFont="1" applyBorder="1" applyAlignment="1" applyProtection="1">
      <alignment horizontal="justify" vertical="center" wrapText="1"/>
      <protection locked="0"/>
    </xf>
    <xf numFmtId="4" fontId="9" fillId="0" borderId="35" xfId="0" applyNumberFormat="1" applyFont="1" applyBorder="1" applyAlignment="1" applyProtection="1">
      <alignment horizontal="center" vertical="center" wrapText="1"/>
      <protection locked="0"/>
    </xf>
    <xf numFmtId="4" fontId="9" fillId="0" borderId="32" xfId="0" applyNumberFormat="1" applyFont="1" applyBorder="1" applyAlignment="1" applyProtection="1">
      <alignment horizontal="center" vertical="center" wrapText="1"/>
      <protection locked="0"/>
    </xf>
    <xf numFmtId="4" fontId="9" fillId="0" borderId="36" xfId="0" applyNumberFormat="1" applyFont="1" applyBorder="1" applyAlignment="1" applyProtection="1">
      <alignment horizontal="center" vertical="center" wrapText="1"/>
      <protection locked="0"/>
    </xf>
    <xf numFmtId="4" fontId="9" fillId="0" borderId="37" xfId="0" applyNumberFormat="1" applyFont="1" applyBorder="1" applyAlignment="1" applyProtection="1">
      <alignment horizontal="center" vertical="center" wrapText="1"/>
      <protection locked="0"/>
    </xf>
    <xf numFmtId="4" fontId="0" fillId="0" borderId="17" xfId="0" applyNumberFormat="1" applyBorder="1" applyAlignment="1" applyProtection="1">
      <alignment horizontal="center"/>
      <protection locked="0"/>
    </xf>
    <xf numFmtId="4" fontId="21" fillId="0" borderId="0" xfId="0" applyNumberFormat="1" applyFont="1" applyAlignment="1" applyProtection="1">
      <alignment horizontal="right" vertical="top"/>
      <protection locked="0"/>
    </xf>
    <xf numFmtId="4" fontId="9" fillId="0" borderId="17" xfId="0" applyNumberFormat="1" applyFont="1" applyBorder="1" applyAlignment="1" applyProtection="1">
      <alignment horizontal="left" vertical="center"/>
      <protection locked="0"/>
    </xf>
    <xf numFmtId="43" fontId="43" fillId="0" borderId="0" xfId="0" applyNumberFormat="1" applyFont="1" applyAlignment="1">
      <alignment vertical="center"/>
    </xf>
    <xf numFmtId="43" fontId="43" fillId="0" borderId="0" xfId="0" applyNumberFormat="1" applyFont="1" applyAlignment="1" applyProtection="1">
      <alignment vertical="center"/>
      <protection locked="0"/>
    </xf>
    <xf numFmtId="0" fontId="43" fillId="0" borderId="0" xfId="0" applyFont="1" applyAlignment="1">
      <alignment horizontal="left" vertical="center"/>
    </xf>
    <xf numFmtId="164" fontId="43" fillId="0" borderId="5" xfId="0" applyNumberFormat="1" applyFont="1" applyBorder="1" applyAlignment="1">
      <alignment vertical="center"/>
    </xf>
    <xf numFmtId="0" fontId="43" fillId="0" borderId="5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43" fontId="43" fillId="0" borderId="9" xfId="0" applyNumberFormat="1" applyFont="1" applyBorder="1" applyAlignment="1">
      <alignment vertical="center"/>
    </xf>
    <xf numFmtId="43" fontId="43" fillId="0" borderId="9" xfId="0" applyNumberFormat="1" applyFont="1" applyBorder="1" applyAlignment="1" applyProtection="1">
      <alignment vertical="center"/>
      <protection locked="0"/>
    </xf>
    <xf numFmtId="0" fontId="43" fillId="0" borderId="9" xfId="0" applyFont="1" applyBorder="1" applyAlignment="1">
      <alignment horizontal="left" vertical="center"/>
    </xf>
    <xf numFmtId="0" fontId="43" fillId="0" borderId="10" xfId="0" applyFont="1" applyBorder="1" applyAlignment="1">
      <alignment horizontal="left" vertical="center"/>
    </xf>
    <xf numFmtId="43" fontId="43" fillId="0" borderId="5" xfId="0" applyNumberFormat="1" applyFont="1" applyBorder="1" applyAlignment="1">
      <alignment vertical="center"/>
    </xf>
    <xf numFmtId="43" fontId="43" fillId="0" borderId="5" xfId="0" applyNumberFormat="1" applyFont="1" applyBorder="1" applyAlignment="1" applyProtection="1">
      <alignment vertical="center"/>
      <protection locked="0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43" fontId="18" fillId="0" borderId="9" xfId="0" applyNumberFormat="1" applyFont="1" applyBorder="1" applyAlignment="1" applyProtection="1">
      <alignment vertical="center"/>
      <protection locked="0"/>
    </xf>
    <xf numFmtId="0" fontId="18" fillId="0" borderId="9" xfId="0" applyFont="1" applyBorder="1" applyAlignment="1">
      <alignment horizontal="justify" vertical="center"/>
    </xf>
    <xf numFmtId="0" fontId="18" fillId="0" borderId="10" xfId="0" applyFont="1" applyBorder="1" applyAlignment="1">
      <alignment horizontal="justify" vertical="center"/>
    </xf>
    <xf numFmtId="43" fontId="45" fillId="0" borderId="0" xfId="0" applyNumberFormat="1" applyFont="1"/>
    <xf numFmtId="43" fontId="45" fillId="0" borderId="0" xfId="1" applyFont="1"/>
    <xf numFmtId="43" fontId="18" fillId="0" borderId="9" xfId="0" applyNumberFormat="1" applyFont="1" applyBorder="1" applyAlignment="1">
      <alignment vertical="center"/>
    </xf>
    <xf numFmtId="0" fontId="18" fillId="0" borderId="25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43" fillId="0" borderId="3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left" vertical="center" wrapText="1"/>
    </xf>
    <xf numFmtId="43" fontId="46" fillId="0" borderId="8" xfId="0" applyNumberFormat="1" applyFont="1" applyBorder="1" applyAlignment="1">
      <alignment horizontal="right" wrapText="1"/>
    </xf>
    <xf numFmtId="0" fontId="27" fillId="0" borderId="10" xfId="0" applyFont="1" applyBorder="1" applyAlignment="1">
      <alignment horizontal="left" vertical="center" wrapText="1"/>
    </xf>
    <xf numFmtId="43" fontId="27" fillId="0" borderId="9" xfId="0" applyNumberFormat="1" applyFont="1" applyBorder="1" applyAlignment="1">
      <alignment horizontal="right" wrapText="1"/>
    </xf>
    <xf numFmtId="43" fontId="27" fillId="0" borderId="9" xfId="0" applyNumberFormat="1" applyFont="1" applyBorder="1" applyAlignment="1" applyProtection="1">
      <alignment horizontal="right" wrapText="1"/>
      <protection locked="0"/>
    </xf>
    <xf numFmtId="43" fontId="27" fillId="0" borderId="8" xfId="0" applyNumberFormat="1" applyFont="1" applyBorder="1" applyAlignment="1" applyProtection="1">
      <alignment horizontal="right" wrapText="1"/>
      <protection locked="0"/>
    </xf>
    <xf numFmtId="0" fontId="25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 indent="1"/>
    </xf>
    <xf numFmtId="43" fontId="27" fillId="0" borderId="8" xfId="0" applyNumberFormat="1" applyFont="1" applyBorder="1" applyAlignment="1">
      <alignment horizontal="right" wrapText="1"/>
    </xf>
    <xf numFmtId="43" fontId="46" fillId="0" borderId="9" xfId="0" applyNumberFormat="1" applyFont="1" applyBorder="1" applyAlignment="1">
      <alignment horizontal="right" wrapText="1"/>
    </xf>
    <xf numFmtId="43" fontId="46" fillId="0" borderId="9" xfId="0" applyNumberFormat="1" applyFont="1" applyBorder="1" applyAlignment="1" applyProtection="1">
      <alignment horizontal="right" wrapText="1"/>
      <protection locked="0"/>
    </xf>
    <xf numFmtId="43" fontId="46" fillId="0" borderId="8" xfId="0" applyNumberFormat="1" applyFont="1" applyBorder="1" applyAlignment="1" applyProtection="1">
      <alignment horizontal="right" wrapText="1"/>
      <protection locked="0"/>
    </xf>
    <xf numFmtId="0" fontId="27" fillId="3" borderId="6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8" fillId="0" borderId="0" xfId="0" applyFont="1" applyProtection="1"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32" fillId="0" borderId="0" xfId="0" applyNumberFormat="1" applyFont="1" applyAlignment="1">
      <alignment horizontal="right" vertical="center"/>
    </xf>
    <xf numFmtId="0" fontId="32" fillId="0" borderId="0" xfId="0" applyFont="1" applyAlignment="1" applyProtection="1">
      <alignment horizontal="justify"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horizontal="justify" vertical="center"/>
      <protection locked="0"/>
    </xf>
    <xf numFmtId="43" fontId="32" fillId="0" borderId="28" xfId="1" applyFont="1" applyFill="1" applyBorder="1" applyAlignment="1" applyProtection="1">
      <alignment horizontal="justify" vertical="center"/>
      <protection locked="0"/>
    </xf>
    <xf numFmtId="0" fontId="33" fillId="0" borderId="16" xfId="0" applyFont="1" applyBorder="1" applyAlignment="1" applyProtection="1">
      <alignment vertical="center"/>
      <protection locked="0"/>
    </xf>
    <xf numFmtId="4" fontId="32" fillId="0" borderId="35" xfId="0" applyNumberFormat="1" applyFont="1" applyBorder="1" applyAlignment="1">
      <alignment horizontal="right" vertical="center"/>
    </xf>
    <xf numFmtId="43" fontId="32" fillId="0" borderId="32" xfId="1" applyFont="1" applyFill="1" applyBorder="1" applyAlignment="1" applyProtection="1">
      <alignment horizontal="justify" vertical="center"/>
      <protection locked="0"/>
    </xf>
    <xf numFmtId="0" fontId="34" fillId="0" borderId="19" xfId="0" applyFont="1" applyBorder="1" applyAlignment="1" applyProtection="1">
      <alignment horizontal="justify" vertical="center"/>
      <protection locked="0"/>
    </xf>
    <xf numFmtId="4" fontId="32" fillId="0" borderId="29" xfId="0" applyNumberFormat="1" applyFont="1" applyBorder="1" applyAlignment="1">
      <alignment horizontal="right" vertical="center"/>
    </xf>
    <xf numFmtId="43" fontId="3" fillId="0" borderId="30" xfId="1" applyFont="1" applyFill="1" applyBorder="1" applyAlignment="1" applyProtection="1">
      <alignment horizontal="right" vertical="center"/>
      <protection locked="0"/>
    </xf>
    <xf numFmtId="0" fontId="34" fillId="0" borderId="21" xfId="0" applyFont="1" applyBorder="1" applyAlignment="1" applyProtection="1">
      <alignment horizontal="left" vertical="center" indent="3"/>
      <protection locked="0"/>
    </xf>
    <xf numFmtId="4" fontId="21" fillId="4" borderId="36" xfId="0" applyNumberFormat="1" applyFont="1" applyFill="1" applyBorder="1" applyAlignment="1">
      <alignment horizontal="right" vertical="center" wrapText="1"/>
    </xf>
    <xf numFmtId="43" fontId="32" fillId="0" borderId="37" xfId="1" applyFont="1" applyFill="1" applyBorder="1" applyAlignment="1" applyProtection="1">
      <alignment horizontal="justify" vertical="center"/>
      <protection locked="0"/>
    </xf>
    <xf numFmtId="0" fontId="33" fillId="0" borderId="23" xfId="0" applyFont="1" applyBorder="1" applyAlignment="1" applyProtection="1">
      <alignment vertical="center"/>
      <protection locked="0"/>
    </xf>
    <xf numFmtId="4" fontId="32" fillId="0" borderId="17" xfId="0" applyNumberFormat="1" applyFont="1" applyBorder="1" applyAlignment="1">
      <alignment horizontal="right" vertical="center"/>
    </xf>
    <xf numFmtId="0" fontId="33" fillId="0" borderId="17" xfId="0" applyFont="1" applyBorder="1" applyAlignment="1" applyProtection="1">
      <alignment horizontal="left" vertical="center"/>
      <protection locked="0"/>
    </xf>
    <xf numFmtId="4" fontId="32" fillId="0" borderId="4" xfId="0" applyNumberFormat="1" applyFont="1" applyBorder="1" applyAlignment="1">
      <alignment horizontal="right" vertical="center"/>
    </xf>
    <xf numFmtId="0" fontId="34" fillId="0" borderId="4" xfId="0" applyFont="1" applyBorder="1" applyAlignment="1" applyProtection="1">
      <alignment horizontal="justify" vertical="center"/>
      <protection locked="0"/>
    </xf>
    <xf numFmtId="43" fontId="3" fillId="0" borderId="32" xfId="1" applyFont="1" applyFill="1" applyBorder="1" applyAlignment="1" applyProtection="1">
      <alignment horizontal="right" vertical="center"/>
      <protection locked="0"/>
    </xf>
    <xf numFmtId="0" fontId="32" fillId="0" borderId="37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4" fontId="21" fillId="0" borderId="17" xfId="0" applyNumberFormat="1" applyFont="1" applyBorder="1" applyAlignment="1">
      <alignment horizontal="right" vertical="center" wrapText="1"/>
    </xf>
    <xf numFmtId="0" fontId="21" fillId="0" borderId="17" xfId="0" applyFont="1" applyBorder="1" applyAlignment="1" applyProtection="1">
      <alignment horizontal="left" vertical="center"/>
      <protection locked="0"/>
    </xf>
    <xf numFmtId="4" fontId="21" fillId="0" borderId="4" xfId="0" applyNumberFormat="1" applyFont="1" applyBorder="1" applyAlignment="1">
      <alignment horizontal="right" vertical="center" wrapText="1"/>
    </xf>
    <xf numFmtId="0" fontId="21" fillId="0" borderId="4" xfId="0" applyFont="1" applyBorder="1" applyAlignment="1" applyProtection="1">
      <alignment horizontal="left" vertical="center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21" fillId="0" borderId="16" xfId="0" applyFont="1" applyBorder="1" applyAlignment="1" applyProtection="1">
      <alignment vertical="center"/>
      <protection locked="0"/>
    </xf>
    <xf numFmtId="4" fontId="21" fillId="0" borderId="17" xfId="0" applyNumberFormat="1" applyFont="1" applyBorder="1" applyAlignment="1" applyProtection="1">
      <alignment horizontal="left" vertical="top"/>
      <protection locked="0"/>
    </xf>
    <xf numFmtId="4" fontId="21" fillId="0" borderId="17" xfId="0" applyNumberFormat="1" applyFont="1" applyBorder="1" applyAlignment="1" applyProtection="1">
      <alignment horizontal="right" vertical="top"/>
      <protection locked="0"/>
    </xf>
    <xf numFmtId="0" fontId="9" fillId="0" borderId="0" xfId="0" applyFont="1" applyAlignment="1" applyProtection="1">
      <alignment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8" fillId="0" borderId="0" xfId="0" applyFont="1"/>
    <xf numFmtId="43" fontId="48" fillId="0" borderId="0" xfId="1" applyFont="1"/>
    <xf numFmtId="43" fontId="0" fillId="0" borderId="0" xfId="0" applyNumberFormat="1"/>
    <xf numFmtId="164" fontId="0" fillId="2" borderId="0" xfId="0" applyNumberFormat="1" applyFill="1"/>
    <xf numFmtId="164" fontId="0" fillId="0" borderId="0" xfId="0" applyNumberFormat="1"/>
    <xf numFmtId="0" fontId="21" fillId="0" borderId="0" xfId="0" applyFont="1"/>
    <xf numFmtId="0" fontId="4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43" fillId="0" borderId="39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2" borderId="39" xfId="0" applyFont="1" applyFill="1" applyBorder="1" applyAlignment="1">
      <alignment vertical="center"/>
    </xf>
    <xf numFmtId="0" fontId="48" fillId="2" borderId="0" xfId="0" applyFont="1" applyFill="1"/>
    <xf numFmtId="164" fontId="29" fillId="2" borderId="0" xfId="1" applyNumberFormat="1" applyFont="1" applyFill="1" applyBorder="1"/>
    <xf numFmtId="164" fontId="29" fillId="2" borderId="0" xfId="0" applyNumberFormat="1" applyFont="1" applyFill="1"/>
    <xf numFmtId="164" fontId="49" fillId="2" borderId="0" xfId="0" applyNumberFormat="1" applyFont="1" applyFill="1"/>
    <xf numFmtId="164" fontId="48" fillId="2" borderId="0" xfId="1" applyNumberFormat="1" applyFont="1" applyFill="1" applyBorder="1"/>
    <xf numFmtId="0" fontId="0" fillId="0" borderId="40" xfId="0" applyBorder="1"/>
    <xf numFmtId="164" fontId="29" fillId="0" borderId="40" xfId="0" applyNumberFormat="1" applyFont="1" applyBorder="1"/>
    <xf numFmtId="164" fontId="29" fillId="2" borderId="40" xfId="0" applyNumberFormat="1" applyFont="1" applyFill="1" applyBorder="1"/>
    <xf numFmtId="43" fontId="43" fillId="0" borderId="41" xfId="0" applyNumberFormat="1" applyFont="1" applyBorder="1" applyAlignment="1">
      <alignment vertical="center"/>
    </xf>
    <xf numFmtId="165" fontId="50" fillId="0" borderId="41" xfId="1" applyNumberFormat="1" applyFont="1" applyFill="1" applyBorder="1" applyAlignment="1">
      <alignment horizontal="right" vertical="center" indent="1"/>
    </xf>
    <xf numFmtId="165" fontId="51" fillId="2" borderId="41" xfId="1" applyNumberFormat="1" applyFont="1" applyFill="1" applyBorder="1" applyAlignment="1">
      <alignment horizontal="right" vertical="center" indent="1"/>
    </xf>
    <xf numFmtId="165" fontId="50" fillId="2" borderId="41" xfId="1" applyNumberFormat="1" applyFont="1" applyFill="1" applyBorder="1" applyAlignment="1">
      <alignment horizontal="right" vertical="center" indent="1"/>
    </xf>
    <xf numFmtId="0" fontId="48" fillId="0" borderId="41" xfId="0" applyFont="1" applyBorder="1" applyAlignment="1">
      <alignment horizontal="left" vertical="center" wrapText="1"/>
    </xf>
    <xf numFmtId="0" fontId="48" fillId="0" borderId="41" xfId="0" applyFont="1" applyBorder="1" applyAlignment="1">
      <alignment horizontal="right" vertical="center"/>
    </xf>
    <xf numFmtId="43" fontId="43" fillId="0" borderId="40" xfId="0" applyNumberFormat="1" applyFont="1" applyBorder="1" applyAlignment="1">
      <alignment vertical="center"/>
    </xf>
    <xf numFmtId="165" fontId="50" fillId="2" borderId="40" xfId="1" applyNumberFormat="1" applyFont="1" applyFill="1" applyBorder="1" applyAlignment="1">
      <alignment horizontal="right" vertical="center" indent="1"/>
    </xf>
    <xf numFmtId="165" fontId="51" fillId="2" borderId="40" xfId="1" applyNumberFormat="1" applyFont="1" applyFill="1" applyBorder="1" applyAlignment="1">
      <alignment horizontal="right" vertical="center" indent="1"/>
    </xf>
    <xf numFmtId="0" fontId="48" fillId="0" borderId="40" xfId="0" applyFont="1" applyBorder="1" applyAlignment="1">
      <alignment horizontal="left" vertical="center" wrapText="1"/>
    </xf>
    <xf numFmtId="0" fontId="48" fillId="0" borderId="40" xfId="0" applyFont="1" applyBorder="1" applyAlignment="1">
      <alignment horizontal="right" vertical="center"/>
    </xf>
    <xf numFmtId="0" fontId="29" fillId="0" borderId="40" xfId="0" applyFont="1" applyBorder="1" applyAlignment="1">
      <alignment horizontal="left" vertical="center" wrapText="1"/>
    </xf>
    <xf numFmtId="0" fontId="50" fillId="0" borderId="40" xfId="0" applyFont="1" applyBorder="1" applyAlignment="1">
      <alignment horizontal="right" vertical="center"/>
    </xf>
    <xf numFmtId="0" fontId="50" fillId="0" borderId="40" xfId="0" applyFont="1" applyBorder="1" applyAlignment="1">
      <alignment horizontal="left" vertical="center"/>
    </xf>
    <xf numFmtId="0" fontId="51" fillId="0" borderId="40" xfId="0" applyFont="1" applyBorder="1" applyAlignment="1">
      <alignment horizontal="right" vertical="center"/>
    </xf>
    <xf numFmtId="0" fontId="50" fillId="0" borderId="40" xfId="0" applyFont="1" applyBorder="1" applyAlignment="1">
      <alignment horizontal="center" vertical="center"/>
    </xf>
    <xf numFmtId="0" fontId="51" fillId="0" borderId="40" xfId="0" applyFont="1" applyBorder="1" applyAlignment="1">
      <alignment horizontal="left" vertical="center" wrapText="1"/>
    </xf>
    <xf numFmtId="0" fontId="50" fillId="0" borderId="40" xfId="0" applyFont="1" applyBorder="1" applyAlignment="1">
      <alignment horizontal="left" vertical="center" wrapText="1"/>
    </xf>
    <xf numFmtId="0" fontId="29" fillId="0" borderId="40" xfId="0" applyFont="1" applyBorder="1" applyAlignment="1">
      <alignment horizontal="center" vertical="center"/>
    </xf>
    <xf numFmtId="0" fontId="29" fillId="0" borderId="40" xfId="0" applyFont="1" applyBorder="1" applyAlignment="1">
      <alignment horizontal="left" vertical="center"/>
    </xf>
    <xf numFmtId="4" fontId="51" fillId="0" borderId="40" xfId="0" applyNumberFormat="1" applyFont="1" applyBorder="1" applyAlignment="1">
      <alignment horizontal="left" vertical="center" wrapText="1"/>
    </xf>
    <xf numFmtId="0" fontId="51" fillId="0" borderId="40" xfId="0" applyFont="1" applyBorder="1" applyAlignment="1">
      <alignment vertical="center" wrapText="1"/>
    </xf>
    <xf numFmtId="4" fontId="48" fillId="0" borderId="40" xfId="0" applyNumberFormat="1" applyFont="1" applyBorder="1" applyAlignment="1">
      <alignment horizontal="left" vertical="center" wrapText="1"/>
    </xf>
    <xf numFmtId="4" fontId="29" fillId="0" borderId="40" xfId="0" applyNumberFormat="1" applyFont="1" applyBorder="1" applyAlignment="1">
      <alignment horizontal="left" vertical="center" wrapText="1"/>
    </xf>
    <xf numFmtId="0" fontId="50" fillId="0" borderId="40" xfId="0" applyFont="1" applyBorder="1" applyAlignment="1">
      <alignment horizontal="left" vertical="center" wrapText="1" indent="4"/>
    </xf>
    <xf numFmtId="0" fontId="50" fillId="0" borderId="40" xfId="0" applyFont="1" applyBorder="1" applyAlignment="1">
      <alignment horizontal="left" vertical="center" wrapText="1" indent="2"/>
    </xf>
    <xf numFmtId="0" fontId="48" fillId="0" borderId="40" xfId="0" applyFont="1" applyBorder="1" applyAlignment="1">
      <alignment vertical="center" wrapText="1"/>
    </xf>
    <xf numFmtId="0" fontId="50" fillId="0" borderId="40" xfId="0" applyFont="1" applyBorder="1" applyAlignment="1">
      <alignment horizontal="center" vertical="center" wrapText="1"/>
    </xf>
    <xf numFmtId="4" fontId="50" fillId="0" borderId="40" xfId="0" applyNumberFormat="1" applyFont="1" applyBorder="1" applyAlignment="1">
      <alignment horizontal="left" vertical="center" wrapText="1"/>
    </xf>
    <xf numFmtId="0" fontId="48" fillId="0" borderId="40" xfId="0" applyFont="1" applyBorder="1"/>
    <xf numFmtId="43" fontId="48" fillId="0" borderId="0" xfId="1" applyFont="1" applyFill="1"/>
    <xf numFmtId="9" fontId="52" fillId="0" borderId="42" xfId="2" applyFont="1" applyFill="1" applyBorder="1" applyAlignment="1">
      <alignment horizontal="center" vertical="center" wrapText="1"/>
    </xf>
    <xf numFmtId="43" fontId="52" fillId="0" borderId="43" xfId="0" applyNumberFormat="1" applyFont="1" applyBorder="1" applyAlignment="1">
      <alignment horizontal="center" vertical="center" wrapText="1"/>
    </xf>
    <xf numFmtId="164" fontId="52" fillId="2" borderId="43" xfId="0" applyNumberFormat="1" applyFont="1" applyFill="1" applyBorder="1" applyAlignment="1">
      <alignment horizontal="center" vertical="center" wrapText="1"/>
    </xf>
    <xf numFmtId="164" fontId="52" fillId="2" borderId="43" xfId="0" applyNumberFormat="1" applyFont="1" applyFill="1" applyBorder="1" applyAlignment="1">
      <alignment horizontal="center" vertical="center"/>
    </xf>
    <xf numFmtId="164" fontId="52" fillId="2" borderId="43" xfId="1" applyNumberFormat="1" applyFont="1" applyFill="1" applyBorder="1" applyAlignment="1">
      <alignment horizontal="center" vertical="center"/>
    </xf>
    <xf numFmtId="164" fontId="52" fillId="0" borderId="43" xfId="0" applyNumberFormat="1" applyFont="1" applyBorder="1" applyAlignment="1">
      <alignment horizontal="center" vertical="center" wrapText="1"/>
    </xf>
    <xf numFmtId="0" fontId="52" fillId="0" borderId="43" xfId="0" applyFont="1" applyBorder="1" applyAlignment="1">
      <alignment horizontal="center" vertical="center" wrapText="1"/>
    </xf>
    <xf numFmtId="0" fontId="52" fillId="0" borderId="44" xfId="0" applyFont="1" applyBorder="1" applyAlignment="1">
      <alignment horizontal="center" vertical="center"/>
    </xf>
    <xf numFmtId="9" fontId="52" fillId="0" borderId="45" xfId="2" applyFont="1" applyFill="1" applyBorder="1" applyAlignment="1">
      <alignment horizontal="center" vertical="center" wrapText="1"/>
    </xf>
    <xf numFmtId="43" fontId="52" fillId="0" borderId="46" xfId="0" applyNumberFormat="1" applyFont="1" applyBorder="1" applyAlignment="1">
      <alignment horizontal="center" vertical="center" wrapText="1"/>
    </xf>
    <xf numFmtId="164" fontId="52" fillId="2" borderId="46" xfId="0" applyNumberFormat="1" applyFont="1" applyFill="1" applyBorder="1" applyAlignment="1">
      <alignment horizontal="center" vertical="center" wrapText="1"/>
    </xf>
    <xf numFmtId="164" fontId="52" fillId="2" borderId="46" xfId="1" applyNumberFormat="1" applyFont="1" applyFill="1" applyBorder="1" applyAlignment="1">
      <alignment horizontal="center" vertical="center" wrapText="1"/>
    </xf>
    <xf numFmtId="164" fontId="52" fillId="0" borderId="46" xfId="0" applyNumberFormat="1" applyFont="1" applyBorder="1" applyAlignment="1">
      <alignment horizontal="center" vertical="center" wrapText="1"/>
    </xf>
    <xf numFmtId="0" fontId="52" fillId="0" borderId="46" xfId="0" applyFont="1" applyBorder="1" applyAlignment="1">
      <alignment horizontal="center" vertical="center" wrapText="1"/>
    </xf>
    <xf numFmtId="0" fontId="52" fillId="0" borderId="47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top"/>
    </xf>
    <xf numFmtId="166" fontId="53" fillId="0" borderId="0" xfId="0" applyNumberFormat="1" applyFont="1" applyAlignment="1">
      <alignment horizontal="center"/>
    </xf>
    <xf numFmtId="166" fontId="54" fillId="0" borderId="0" xfId="0" applyNumberFormat="1" applyFont="1" applyAlignment="1">
      <alignment horizontal="center"/>
    </xf>
    <xf numFmtId="0" fontId="3" fillId="0" borderId="0" xfId="0" applyFont="1" applyProtection="1">
      <protection locked="0"/>
    </xf>
    <xf numFmtId="0" fontId="55" fillId="0" borderId="0" xfId="0" applyFont="1" applyProtection="1">
      <protection locked="0"/>
    </xf>
    <xf numFmtId="4" fontId="56" fillId="0" borderId="0" xfId="0" applyNumberFormat="1" applyFont="1" applyAlignment="1">
      <alignment horizontal="right" vertical="center"/>
    </xf>
    <xf numFmtId="0" fontId="56" fillId="0" borderId="0" xfId="0" applyFont="1" applyAlignment="1" applyProtection="1">
      <alignment vertical="center"/>
      <protection locked="0"/>
    </xf>
    <xf numFmtId="0" fontId="56" fillId="0" borderId="0" xfId="0" applyFont="1" applyAlignment="1" applyProtection="1">
      <alignment horizontal="center" vertical="center"/>
      <protection locked="0"/>
    </xf>
    <xf numFmtId="0" fontId="31" fillId="0" borderId="0" xfId="0" applyFont="1" applyProtection="1">
      <protection locked="0"/>
    </xf>
    <xf numFmtId="4" fontId="56" fillId="0" borderId="27" xfId="0" applyNumberFormat="1" applyFont="1" applyBorder="1" applyAlignment="1">
      <alignment horizontal="right" vertical="center"/>
    </xf>
    <xf numFmtId="4" fontId="56" fillId="0" borderId="28" xfId="0" applyNumberFormat="1" applyFont="1" applyBorder="1" applyAlignment="1">
      <alignment horizontal="right" vertical="center"/>
    </xf>
    <xf numFmtId="0" fontId="56" fillId="0" borderId="49" xfId="0" applyFont="1" applyBorder="1" applyAlignment="1" applyProtection="1">
      <alignment vertical="center"/>
      <protection locked="0"/>
    </xf>
    <xf numFmtId="0" fontId="56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wrapText="1"/>
      <protection locked="0"/>
    </xf>
    <xf numFmtId="4" fontId="56" fillId="0" borderId="9" xfId="0" applyNumberFormat="1" applyFont="1" applyBorder="1" applyAlignment="1">
      <alignment horizontal="right" vertical="center"/>
    </xf>
    <xf numFmtId="4" fontId="56" fillId="0" borderId="33" xfId="0" applyNumberFormat="1" applyFont="1" applyBorder="1" applyAlignment="1">
      <alignment horizontal="right" vertical="center"/>
    </xf>
    <xf numFmtId="4" fontId="56" fillId="0" borderId="30" xfId="0" applyNumberFormat="1" applyFont="1" applyBorder="1" applyAlignment="1">
      <alignment horizontal="right" vertical="center"/>
    </xf>
    <xf numFmtId="0" fontId="56" fillId="0" borderId="33" xfId="0" applyFont="1" applyBorder="1" applyAlignment="1" applyProtection="1">
      <alignment horizontal="left" vertical="center" wrapText="1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4" fontId="56" fillId="0" borderId="33" xfId="0" applyNumberFormat="1" applyFont="1" applyBorder="1" applyAlignment="1" applyProtection="1">
      <alignment horizontal="right" vertical="center"/>
      <protection locked="0"/>
    </xf>
    <xf numFmtId="4" fontId="56" fillId="0" borderId="30" xfId="0" applyNumberFormat="1" applyFont="1" applyBorder="1" applyAlignment="1" applyProtection="1">
      <alignment horizontal="right" vertical="center"/>
      <protection locked="0"/>
    </xf>
    <xf numFmtId="0" fontId="56" fillId="0" borderId="33" xfId="0" applyFont="1" applyBorder="1" applyAlignment="1" applyProtection="1">
      <alignment horizontal="center" vertical="center"/>
      <protection locked="0"/>
    </xf>
    <xf numFmtId="0" fontId="56" fillId="4" borderId="50" xfId="0" applyFont="1" applyFill="1" applyBorder="1" applyAlignment="1" applyProtection="1">
      <alignment horizontal="center" vertical="center"/>
      <protection locked="0"/>
    </xf>
    <xf numFmtId="0" fontId="56" fillId="4" borderId="51" xfId="0" applyFont="1" applyFill="1" applyBorder="1" applyAlignment="1" applyProtection="1">
      <alignment horizontal="center" vertical="center"/>
      <protection locked="0"/>
    </xf>
    <xf numFmtId="0" fontId="56" fillId="4" borderId="52" xfId="0" applyFont="1" applyFill="1" applyBorder="1" applyAlignment="1" applyProtection="1">
      <alignment horizontal="center" vertical="center"/>
      <protection locked="0"/>
    </xf>
    <xf numFmtId="0" fontId="56" fillId="0" borderId="33" xfId="0" applyFont="1" applyBorder="1" applyAlignment="1" applyProtection="1">
      <alignment horizontal="left" vertical="center"/>
      <protection locked="0"/>
    </xf>
    <xf numFmtId="0" fontId="56" fillId="4" borderId="53" xfId="0" applyFont="1" applyFill="1" applyBorder="1" applyAlignment="1" applyProtection="1">
      <alignment horizontal="center" vertical="center"/>
      <protection locked="0"/>
    </xf>
    <xf numFmtId="0" fontId="56" fillId="4" borderId="54" xfId="0" applyFont="1" applyFill="1" applyBorder="1" applyAlignment="1" applyProtection="1">
      <alignment horizontal="center" vertical="center"/>
      <protection locked="0"/>
    </xf>
    <xf numFmtId="0" fontId="56" fillId="4" borderId="55" xfId="0" applyFont="1" applyFill="1" applyBorder="1" applyAlignment="1" applyProtection="1">
      <alignment horizontal="center" vertical="center"/>
      <protection locked="0"/>
    </xf>
    <xf numFmtId="0" fontId="56" fillId="0" borderId="56" xfId="0" applyFont="1" applyBorder="1" applyAlignment="1" applyProtection="1">
      <alignment horizontal="center" vertical="center"/>
      <protection locked="0"/>
    </xf>
    <xf numFmtId="0" fontId="56" fillId="0" borderId="57" xfId="0" applyFont="1" applyBorder="1" applyAlignment="1" applyProtection="1">
      <alignment horizontal="center" vertical="center"/>
      <protection locked="0"/>
    </xf>
    <xf numFmtId="0" fontId="56" fillId="0" borderId="31" xfId="0" applyFont="1" applyBorder="1" applyAlignment="1" applyProtection="1">
      <alignment horizontal="center" vertical="center"/>
      <protection locked="0"/>
    </xf>
    <xf numFmtId="0" fontId="56" fillId="0" borderId="7" xfId="0" applyFont="1" applyBorder="1" applyAlignment="1" applyProtection="1">
      <alignment horizontal="center" vertical="center"/>
      <protection locked="0"/>
    </xf>
    <xf numFmtId="0" fontId="56" fillId="0" borderId="36" xfId="0" applyFont="1" applyBorder="1" applyAlignment="1" applyProtection="1">
      <alignment horizontal="center" vertical="center" wrapText="1"/>
      <protection locked="0"/>
    </xf>
    <xf numFmtId="0" fontId="56" fillId="0" borderId="37" xfId="0" applyFont="1" applyBorder="1" applyAlignment="1" applyProtection="1">
      <alignment horizontal="center" vertical="center" wrapText="1"/>
      <protection locked="0"/>
    </xf>
    <xf numFmtId="0" fontId="56" fillId="0" borderId="22" xfId="0" applyFont="1" applyBorder="1" applyAlignment="1" applyProtection="1">
      <alignment horizontal="center" vertical="center" wrapText="1"/>
      <protection locked="0"/>
    </xf>
    <xf numFmtId="0" fontId="56" fillId="0" borderId="34" xfId="0" applyFont="1" applyBorder="1" applyAlignment="1" applyProtection="1">
      <alignment horizontal="center" vertical="center"/>
      <protection locked="0"/>
    </xf>
    <xf numFmtId="0" fontId="56" fillId="0" borderId="11" xfId="0" applyFont="1" applyBorder="1" applyAlignment="1" applyProtection="1">
      <alignment horizontal="center" vertical="center"/>
      <protection locked="0"/>
    </xf>
    <xf numFmtId="0" fontId="57" fillId="0" borderId="0" xfId="0" applyFont="1" applyProtection="1">
      <protection locked="0"/>
    </xf>
    <xf numFmtId="0" fontId="57" fillId="0" borderId="0" xfId="0" applyFont="1" applyAlignment="1" applyProtection="1">
      <alignment horizontal="center"/>
      <protection locked="0"/>
    </xf>
    <xf numFmtId="0" fontId="21" fillId="0" borderId="0" xfId="0" applyFont="1" applyAlignment="1">
      <alignment horizontal="center" vertical="top"/>
    </xf>
    <xf numFmtId="0" fontId="8" fillId="2" borderId="0" xfId="0" applyFont="1" applyFill="1" applyAlignment="1" applyProtection="1">
      <alignment horizontal="right"/>
      <protection locked="0"/>
    </xf>
    <xf numFmtId="0" fontId="8" fillId="0" borderId="0" xfId="0" applyFont="1" applyAlignment="1">
      <alignment horizontal="center" vertical="top"/>
    </xf>
    <xf numFmtId="4" fontId="56" fillId="0" borderId="1" xfId="0" applyNumberFormat="1" applyFont="1" applyBorder="1" applyAlignment="1">
      <alignment horizontal="right" vertical="center"/>
    </xf>
    <xf numFmtId="0" fontId="56" fillId="0" borderId="9" xfId="0" applyFont="1" applyBorder="1" applyAlignment="1" applyProtection="1">
      <alignment horizontal="center" vertical="center"/>
      <protection locked="0"/>
    </xf>
    <xf numFmtId="0" fontId="56" fillId="0" borderId="30" xfId="0" applyFont="1" applyBorder="1" applyAlignment="1" applyProtection="1">
      <alignment horizontal="center" vertical="center"/>
      <protection locked="0"/>
    </xf>
    <xf numFmtId="0" fontId="56" fillId="0" borderId="35" xfId="0" applyFont="1" applyBorder="1" applyAlignment="1" applyProtection="1">
      <alignment horizontal="center" vertical="center"/>
      <protection locked="0"/>
    </xf>
    <xf numFmtId="0" fontId="56" fillId="0" borderId="32" xfId="0" applyFont="1" applyBorder="1" applyAlignment="1" applyProtection="1">
      <alignment horizontal="center" vertical="center"/>
      <protection locked="0"/>
    </xf>
    <xf numFmtId="0" fontId="56" fillId="0" borderId="36" xfId="0" applyFont="1" applyBorder="1" applyAlignment="1" applyProtection="1">
      <alignment horizontal="center" vertical="center"/>
      <protection locked="0"/>
    </xf>
    <xf numFmtId="0" fontId="56" fillId="0" borderId="37" xfId="0" applyFont="1" applyBorder="1" applyAlignment="1" applyProtection="1">
      <alignment horizontal="center" vertic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7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4769F04A-8AB9-4783-95C7-F0935C8583E3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83AF3522-2F17-45B9-82A6-603D8E2CFA3F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987260</xdr:colOff>
      <xdr:row>0</xdr:row>
      <xdr:rowOff>0</xdr:rowOff>
    </xdr:from>
    <xdr:ext cx="898002" cy="254557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96F1D4E-F4E1-4B0E-AA5C-A3B9A8872AB9}"/>
            </a:ext>
          </a:extLst>
        </xdr:cNvPr>
        <xdr:cNvSpPr txBox="1"/>
      </xdr:nvSpPr>
      <xdr:spPr>
        <a:xfrm>
          <a:off x="5263985" y="0"/>
          <a:ext cx="898002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ETCA-II-01</a:t>
          </a:r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1CCC6658-6D59-4486-A269-ECF97F4CCFD6}"/>
            </a:ext>
          </a:extLst>
        </xdr:cNvPr>
        <xdr:cNvSpPr txBox="1"/>
      </xdr:nvSpPr>
      <xdr:spPr>
        <a:xfrm>
          <a:off x="7524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6" name="2 CuadroTexto">
          <a:extLst>
            <a:ext uri="{FF2B5EF4-FFF2-40B4-BE49-F238E27FC236}">
              <a16:creationId xmlns:a16="http://schemas.microsoft.com/office/drawing/2014/main" id="{3D3C664E-7389-4F52-9323-858A1EC2517A}"/>
            </a:ext>
          </a:extLst>
        </xdr:cNvPr>
        <xdr:cNvSpPr txBox="1"/>
      </xdr:nvSpPr>
      <xdr:spPr>
        <a:xfrm>
          <a:off x="7524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3</xdr:row>
      <xdr:rowOff>142875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F9BAB209-5D07-4091-9FCC-CFF9974DFD15}"/>
            </a:ext>
          </a:extLst>
        </xdr:cNvPr>
        <xdr:cNvSpPr txBox="1"/>
      </xdr:nvSpPr>
      <xdr:spPr>
        <a:xfrm>
          <a:off x="526732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46</xdr:row>
      <xdr:rowOff>9524</xdr:rowOff>
    </xdr:from>
    <xdr:ext cx="3019425" cy="695325"/>
    <xdr:sp macro="" textlink="">
      <xdr:nvSpPr>
        <xdr:cNvPr id="8" name="CuadroTexto 5">
          <a:extLst>
            <a:ext uri="{FF2B5EF4-FFF2-40B4-BE49-F238E27FC236}">
              <a16:creationId xmlns:a16="http://schemas.microsoft.com/office/drawing/2014/main" id="{2AA69D57-4F5B-427A-AF34-1643A995DF4A}"/>
            </a:ext>
          </a:extLst>
        </xdr:cNvPr>
        <xdr:cNvSpPr txBox="1"/>
      </xdr:nvSpPr>
      <xdr:spPr>
        <a:xfrm>
          <a:off x="752475" y="8772524"/>
          <a:ext cx="3019425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Elaboró</a:t>
          </a:r>
        </a:p>
        <a:p>
          <a:pPr algn="ctr"/>
          <a:r>
            <a:rPr lang="es-MX" sz="1100"/>
            <a:t>Puesto</a:t>
          </a:r>
        </a:p>
      </xdr:txBody>
    </xdr:sp>
    <xdr:clientData/>
  </xdr:oneCellAnchor>
  <xdr:oneCellAnchor>
    <xdr:from>
      <xdr:col>4</xdr:col>
      <xdr:colOff>0</xdr:colOff>
      <xdr:row>46</xdr:row>
      <xdr:rowOff>19049</xdr:rowOff>
    </xdr:from>
    <xdr:ext cx="3019425" cy="619125"/>
    <xdr:sp macro="" textlink="">
      <xdr:nvSpPr>
        <xdr:cNvPr id="9" name="CuadroTexto 5">
          <a:extLst>
            <a:ext uri="{FF2B5EF4-FFF2-40B4-BE49-F238E27FC236}">
              <a16:creationId xmlns:a16="http://schemas.microsoft.com/office/drawing/2014/main" id="{52DD4CBA-027C-47F2-BD1C-8D347C60CDB0}"/>
            </a:ext>
          </a:extLst>
        </xdr:cNvPr>
        <xdr:cNvSpPr txBox="1"/>
      </xdr:nvSpPr>
      <xdr:spPr>
        <a:xfrm>
          <a:off x="3009900" y="8782049"/>
          <a:ext cx="3019425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Autorizó</a:t>
          </a:r>
        </a:p>
        <a:p>
          <a:pPr algn="ctr"/>
          <a:r>
            <a:rPr lang="es-MX" sz="1100"/>
            <a:t>Puesto</a:t>
          </a:r>
        </a:p>
      </xdr:txBody>
    </xdr:sp>
    <xdr:clientData/>
  </xdr:oneCellAnchor>
  <xdr:oneCellAnchor>
    <xdr:from>
      <xdr:col>5</xdr:col>
      <xdr:colOff>47625</xdr:colOff>
      <xdr:row>3</xdr:row>
      <xdr:rowOff>133350</xdr:rowOff>
    </xdr:from>
    <xdr:ext cx="2790824" cy="254557"/>
    <xdr:sp macro="" textlink="">
      <xdr:nvSpPr>
        <xdr:cNvPr id="10" name="10 CuadroTexto">
          <a:extLst>
            <a:ext uri="{FF2B5EF4-FFF2-40B4-BE49-F238E27FC236}">
              <a16:creationId xmlns:a16="http://schemas.microsoft.com/office/drawing/2014/main" id="{BA850F17-8B6A-43F5-95B8-FAEDEBD8F399}"/>
            </a:ext>
          </a:extLst>
        </xdr:cNvPr>
        <xdr:cNvSpPr txBox="1"/>
      </xdr:nvSpPr>
      <xdr:spPr>
        <a:xfrm>
          <a:off x="3810000" y="70485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 PRIMERO</a:t>
          </a:r>
          <a:r>
            <a:rPr lang="es-MX" sz="1100" b="1" u="sng" baseline="0">
              <a:latin typeface="Arial" pitchFamily="34" charset="0"/>
              <a:cs typeface="Arial" pitchFamily="34" charset="0"/>
            </a:rPr>
            <a:t> </a:t>
          </a:r>
          <a:endParaRPr lang="es-MX" sz="1100" b="1" u="sng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BCBA712B-97D2-4169-A735-54ACDB4A7887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1DF062CC-E0DC-45B6-9274-5044DFBDDDA7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4988681E-78AB-45F2-BC76-5E09BC98AF62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822F8825-28A7-482A-B56D-B07231350D13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D04890DD-BC7F-4B49-93AA-BFFA4620AEE2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5ECBAA4C-3303-4E49-9DDD-1D205B874D67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8" name="4 CuadroTexto">
          <a:extLst>
            <a:ext uri="{FF2B5EF4-FFF2-40B4-BE49-F238E27FC236}">
              <a16:creationId xmlns:a16="http://schemas.microsoft.com/office/drawing/2014/main" id="{F538E654-0BE0-4791-9B60-DDA2562A0FF4}"/>
            </a:ext>
          </a:extLst>
        </xdr:cNvPr>
        <xdr:cNvSpPr txBox="1"/>
      </xdr:nvSpPr>
      <xdr:spPr>
        <a:xfrm>
          <a:off x="45148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AB3C0AF9-35FA-4250-8BDD-8CA43EBDCAF7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1A1EEAE5-B2A7-44D6-9CC4-F1D8FB0CDE9F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1053BFCF-6A3B-409C-B6FE-C5CE39E43C43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87567B7D-ABEA-4677-AD9B-93FDFB495484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13" name="4 CuadroTexto">
          <a:extLst>
            <a:ext uri="{FF2B5EF4-FFF2-40B4-BE49-F238E27FC236}">
              <a16:creationId xmlns:a16="http://schemas.microsoft.com/office/drawing/2014/main" id="{00E0CEA2-250C-4653-8AB8-8CF90760D5C3}"/>
            </a:ext>
          </a:extLst>
        </xdr:cNvPr>
        <xdr:cNvSpPr txBox="1"/>
      </xdr:nvSpPr>
      <xdr:spPr>
        <a:xfrm>
          <a:off x="45148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27339EE0-D7D6-4AAB-AFFF-1CC17D3074AE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118D90A-C368-4F0B-9B44-26083054F038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EA9576CD-0443-4567-88C0-A8D5B34ECDE3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86D90426-76F7-42E7-AAF8-BF55F3773AA9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0</xdr:colOff>
      <xdr:row>4</xdr:row>
      <xdr:rowOff>142875</xdr:rowOff>
    </xdr:from>
    <xdr:ext cx="184731" cy="264560"/>
    <xdr:sp macro="" textlink="">
      <xdr:nvSpPr>
        <xdr:cNvPr id="18" name="4 CuadroTexto">
          <a:extLst>
            <a:ext uri="{FF2B5EF4-FFF2-40B4-BE49-F238E27FC236}">
              <a16:creationId xmlns:a16="http://schemas.microsoft.com/office/drawing/2014/main" id="{AFEF0E3A-4295-4043-991B-DB3C87255F68}"/>
            </a:ext>
          </a:extLst>
        </xdr:cNvPr>
        <xdr:cNvSpPr txBox="1"/>
      </xdr:nvSpPr>
      <xdr:spPr>
        <a:xfrm>
          <a:off x="3762375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355738</xdr:colOff>
      <xdr:row>0</xdr:row>
      <xdr:rowOff>49695</xdr:rowOff>
    </xdr:from>
    <xdr:ext cx="1478446" cy="254557"/>
    <xdr:sp macro="" textlink="">
      <xdr:nvSpPr>
        <xdr:cNvPr id="19" name="11 CuadroTexto">
          <a:extLst>
            <a:ext uri="{FF2B5EF4-FFF2-40B4-BE49-F238E27FC236}">
              <a16:creationId xmlns:a16="http://schemas.microsoft.com/office/drawing/2014/main" id="{BA3CE116-73C2-4DE0-AF23-F7AE3F5E4CD1}"/>
            </a:ext>
          </a:extLst>
        </xdr:cNvPr>
        <xdr:cNvSpPr txBox="1"/>
      </xdr:nvSpPr>
      <xdr:spPr>
        <a:xfrm>
          <a:off x="4118113" y="49695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ETCA-II-10</a:t>
          </a:r>
        </a:p>
      </xdr:txBody>
    </xdr:sp>
    <xdr:clientData/>
  </xdr:oneCellAnchor>
  <xdr:oneCellAnchor>
    <xdr:from>
      <xdr:col>0</xdr:col>
      <xdr:colOff>533400</xdr:colOff>
      <xdr:row>24</xdr:row>
      <xdr:rowOff>0</xdr:rowOff>
    </xdr:from>
    <xdr:ext cx="3038475" cy="662517"/>
    <xdr:sp macro="" textlink="">
      <xdr:nvSpPr>
        <xdr:cNvPr id="20" name="CuadroTexto 5">
          <a:extLst>
            <a:ext uri="{FF2B5EF4-FFF2-40B4-BE49-F238E27FC236}">
              <a16:creationId xmlns:a16="http://schemas.microsoft.com/office/drawing/2014/main" id="{95BD2AB1-AC0E-41AE-BC35-2654979F6D47}"/>
            </a:ext>
          </a:extLst>
        </xdr:cNvPr>
        <xdr:cNvSpPr txBox="1"/>
      </xdr:nvSpPr>
      <xdr:spPr>
        <a:xfrm>
          <a:off x="533400" y="4572000"/>
          <a:ext cx="303847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LEONOR LANDAVAZO GUTIERREZ</a:t>
          </a:r>
          <a:endParaRPr lang="es-MX">
            <a:effectLst/>
          </a:endParaRP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ADMINISTRATIVO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0</xdr:colOff>
      <xdr:row>24</xdr:row>
      <xdr:rowOff>0</xdr:rowOff>
    </xdr:from>
    <xdr:ext cx="3019425" cy="662517"/>
    <xdr:sp macro="" textlink="">
      <xdr:nvSpPr>
        <xdr:cNvPr id="21" name="CuadroTexto 5">
          <a:extLst>
            <a:ext uri="{FF2B5EF4-FFF2-40B4-BE49-F238E27FC236}">
              <a16:creationId xmlns:a16="http://schemas.microsoft.com/office/drawing/2014/main" id="{5DDB1126-2EF8-481B-BCBB-10FA1149381D}"/>
            </a:ext>
          </a:extLst>
        </xdr:cNvPr>
        <xdr:cNvSpPr txBox="1"/>
      </xdr:nvSpPr>
      <xdr:spPr>
        <a:xfrm>
          <a:off x="2257425" y="4572000"/>
          <a:ext cx="301942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ALBERTO MERINO DIAZ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DIRECTOR DE ADMINISTRACION Y FINANZAS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838200</xdr:colOff>
      <xdr:row>4</xdr:row>
      <xdr:rowOff>123825</xdr:rowOff>
    </xdr:from>
    <xdr:ext cx="2790824" cy="254557"/>
    <xdr:sp macro="" textlink="">
      <xdr:nvSpPr>
        <xdr:cNvPr id="22" name="25 CuadroTexto">
          <a:extLst>
            <a:ext uri="{FF2B5EF4-FFF2-40B4-BE49-F238E27FC236}">
              <a16:creationId xmlns:a16="http://schemas.microsoft.com/office/drawing/2014/main" id="{88E6407E-5725-423F-8353-5F707CE843B3}"/>
            </a:ext>
          </a:extLst>
        </xdr:cNvPr>
        <xdr:cNvSpPr txBox="1"/>
      </xdr:nvSpPr>
      <xdr:spPr>
        <a:xfrm>
          <a:off x="3009900" y="88582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733425</xdr:colOff>
      <xdr:row>4</xdr:row>
      <xdr:rowOff>142875</xdr:rowOff>
    </xdr:from>
    <xdr:ext cx="838200" cy="264560"/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E56D7126-ED3B-479C-9A90-8F48E5CC5189}"/>
            </a:ext>
          </a:extLst>
        </xdr:cNvPr>
        <xdr:cNvSpPr txBox="1"/>
      </xdr:nvSpPr>
      <xdr:spPr>
        <a:xfrm>
          <a:off x="1495425" y="904875"/>
          <a:ext cx="8382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es-MX" sz="1100"/>
            <a:t>(PESOS)</a:t>
          </a:r>
        </a:p>
      </xdr:txBody>
    </xdr:sp>
    <xdr:clientData/>
  </xdr:oneCellAnchor>
  <xdr:oneCellAnchor>
    <xdr:from>
      <xdr:col>1</xdr:col>
      <xdr:colOff>0</xdr:colOff>
      <xdr:row>4</xdr:row>
      <xdr:rowOff>142875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FDA20FF0-B760-49F9-805E-46040098A210}"/>
            </a:ext>
          </a:extLst>
        </xdr:cNvPr>
        <xdr:cNvSpPr txBox="1"/>
      </xdr:nvSpPr>
      <xdr:spPr>
        <a:xfrm>
          <a:off x="76200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4</xdr:row>
      <xdr:rowOff>142875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B447FF1E-08DF-400D-B2BB-09F57F396ED8}"/>
            </a:ext>
          </a:extLst>
        </xdr:cNvPr>
        <xdr:cNvSpPr txBox="1"/>
      </xdr:nvSpPr>
      <xdr:spPr>
        <a:xfrm>
          <a:off x="76200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4</xdr:row>
      <xdr:rowOff>142875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C488911-FF47-496E-8FD9-834CB7DD4B85}"/>
            </a:ext>
          </a:extLst>
        </xdr:cNvPr>
        <xdr:cNvSpPr txBox="1"/>
      </xdr:nvSpPr>
      <xdr:spPr>
        <a:xfrm>
          <a:off x="76200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4</xdr:row>
      <xdr:rowOff>142875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42267782-0383-49FE-90B7-2365EFA3B084}"/>
            </a:ext>
          </a:extLst>
        </xdr:cNvPr>
        <xdr:cNvSpPr txBox="1"/>
      </xdr:nvSpPr>
      <xdr:spPr>
        <a:xfrm>
          <a:off x="76200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0</xdr:colOff>
      <xdr:row>4</xdr:row>
      <xdr:rowOff>142875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6154AAFA-5744-4D0C-AD85-F068D6C4B731}"/>
            </a:ext>
          </a:extLst>
        </xdr:cNvPr>
        <xdr:cNvSpPr txBox="1"/>
      </xdr:nvSpPr>
      <xdr:spPr>
        <a:xfrm>
          <a:off x="381000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22363</xdr:colOff>
      <xdr:row>0</xdr:row>
      <xdr:rowOff>49695</xdr:rowOff>
    </xdr:from>
    <xdr:ext cx="1478446" cy="254557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C25B55B2-B3A7-4F3F-A46F-6DD28B80DEF9}"/>
            </a:ext>
          </a:extLst>
        </xdr:cNvPr>
        <xdr:cNvSpPr txBox="1"/>
      </xdr:nvSpPr>
      <xdr:spPr>
        <a:xfrm>
          <a:off x="3832363" y="49695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ETCA-II-11</a:t>
          </a:r>
        </a:p>
      </xdr:txBody>
    </xdr:sp>
    <xdr:clientData/>
  </xdr:oneCellAnchor>
  <xdr:oneCellAnchor>
    <xdr:from>
      <xdr:col>0</xdr:col>
      <xdr:colOff>559859</xdr:colOff>
      <xdr:row>44</xdr:row>
      <xdr:rowOff>137583</xdr:rowOff>
    </xdr:from>
    <xdr:ext cx="2733674" cy="638175"/>
    <xdr:sp macro="" textlink="">
      <xdr:nvSpPr>
        <xdr:cNvPr id="9" name="CuadroTexto 5">
          <a:extLst>
            <a:ext uri="{FF2B5EF4-FFF2-40B4-BE49-F238E27FC236}">
              <a16:creationId xmlns:a16="http://schemas.microsoft.com/office/drawing/2014/main" id="{39E20597-6339-45A3-A211-5FE3A80D12F7}"/>
            </a:ext>
          </a:extLst>
        </xdr:cNvPr>
        <xdr:cNvSpPr txBox="1"/>
      </xdr:nvSpPr>
      <xdr:spPr>
        <a:xfrm>
          <a:off x="559859" y="8519583"/>
          <a:ext cx="2733674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LEONOR LANDAVAZO GUTIERREZ</a:t>
          </a:r>
          <a:endParaRPr lang="es-MX">
            <a:effectLst/>
          </a:endParaRP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ADMINISTRATIVO</a:t>
          </a:r>
          <a:endParaRPr lang="es-MX">
            <a:effectLst/>
          </a:endParaRPr>
        </a:p>
      </xdr:txBody>
    </xdr:sp>
    <xdr:clientData/>
  </xdr:oneCellAnchor>
  <xdr:oneCellAnchor>
    <xdr:from>
      <xdr:col>2</xdr:col>
      <xdr:colOff>639234</xdr:colOff>
      <xdr:row>45</xdr:row>
      <xdr:rowOff>10582</xdr:rowOff>
    </xdr:from>
    <xdr:ext cx="3009900" cy="662517"/>
    <xdr:sp macro="" textlink="">
      <xdr:nvSpPr>
        <xdr:cNvPr id="10" name="CuadroTexto 5">
          <a:extLst>
            <a:ext uri="{FF2B5EF4-FFF2-40B4-BE49-F238E27FC236}">
              <a16:creationId xmlns:a16="http://schemas.microsoft.com/office/drawing/2014/main" id="{387483A7-5115-4701-82C9-049AB10A5273}"/>
            </a:ext>
          </a:extLst>
        </xdr:cNvPr>
        <xdr:cNvSpPr txBox="1"/>
      </xdr:nvSpPr>
      <xdr:spPr>
        <a:xfrm>
          <a:off x="2163234" y="8583082"/>
          <a:ext cx="30099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ALBERTO MERINO DIAZ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DIRECTOR DE ADMINISTRACION Y FINANZAS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219075</xdr:colOff>
      <xdr:row>4</xdr:row>
      <xdr:rowOff>152400</xdr:rowOff>
    </xdr:from>
    <xdr:ext cx="2790824" cy="254557"/>
    <xdr:sp macro="" textlink="">
      <xdr:nvSpPr>
        <xdr:cNvPr id="11" name="20 CuadroTexto">
          <a:extLst>
            <a:ext uri="{FF2B5EF4-FFF2-40B4-BE49-F238E27FC236}">
              <a16:creationId xmlns:a16="http://schemas.microsoft.com/office/drawing/2014/main" id="{885F4915-F7FA-48D1-ACA2-37FBDCCB57C2}"/>
            </a:ext>
          </a:extLst>
        </xdr:cNvPr>
        <xdr:cNvSpPr txBox="1"/>
      </xdr:nvSpPr>
      <xdr:spPr>
        <a:xfrm>
          <a:off x="2505075" y="91440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561975</xdr:colOff>
      <xdr:row>0</xdr:row>
      <xdr:rowOff>0</xdr:rowOff>
    </xdr:from>
    <xdr:ext cx="923924" cy="333375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C1BF7846-0D26-4A3C-AA86-9BD8FFF68007}"/>
            </a:ext>
          </a:extLst>
        </xdr:cNvPr>
        <xdr:cNvSpPr txBox="1"/>
      </xdr:nvSpPr>
      <xdr:spPr>
        <a:xfrm>
          <a:off x="5133975" y="0"/>
          <a:ext cx="923924" cy="3333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ETCA-II-12</a:t>
          </a:r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3200400" cy="662517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42B0ABA9-D260-433C-A748-983E8FD3A2FC}"/>
            </a:ext>
          </a:extLst>
        </xdr:cNvPr>
        <xdr:cNvSpPr txBox="1"/>
      </xdr:nvSpPr>
      <xdr:spPr>
        <a:xfrm>
          <a:off x="762000" y="15811500"/>
          <a:ext cx="32004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/>
            <a:t>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LEONOR LANDAVAZO GUTIERREZ</a:t>
          </a:r>
          <a:endParaRPr lang="es-MX" sz="1200">
            <a:effectLst/>
          </a:endParaRP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ADMINISTRATIVO</a:t>
          </a:r>
          <a:endParaRPr lang="es-MX" sz="1200">
            <a:effectLst/>
          </a:endParaRPr>
        </a:p>
      </xdr:txBody>
    </xdr:sp>
    <xdr:clientData/>
  </xdr:oneCellAnchor>
  <xdr:oneCellAnchor>
    <xdr:from>
      <xdr:col>3</xdr:col>
      <xdr:colOff>0</xdr:colOff>
      <xdr:row>83</xdr:row>
      <xdr:rowOff>0</xdr:rowOff>
    </xdr:from>
    <xdr:ext cx="3305175" cy="662517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AE00E641-CC80-4C4E-9865-7B6DE943733F}"/>
            </a:ext>
          </a:extLst>
        </xdr:cNvPr>
        <xdr:cNvSpPr txBox="1"/>
      </xdr:nvSpPr>
      <xdr:spPr>
        <a:xfrm>
          <a:off x="2286000" y="15811500"/>
          <a:ext cx="330517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/>
            <a:t>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ALBERTO MERINO DIAZ</a:t>
          </a:r>
          <a:endParaRPr lang="es-MX" sz="1200">
            <a:effectLst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DIRECTOR DE ADMINISTRACION Y FINANZAS</a:t>
          </a:r>
          <a:endParaRPr lang="es-MX" sz="1200">
            <a:effectLst/>
          </a:endParaRPr>
        </a:p>
      </xdr:txBody>
    </xdr:sp>
    <xdr:clientData/>
  </xdr:oneCellAnchor>
  <xdr:oneCellAnchor>
    <xdr:from>
      <xdr:col>4</xdr:col>
      <xdr:colOff>171450</xdr:colOff>
      <xdr:row>4</xdr:row>
      <xdr:rowOff>9525</xdr:rowOff>
    </xdr:from>
    <xdr:ext cx="2790824" cy="254557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79D4FEFB-AEF9-4655-8CFE-1CCCEE97D9D8}"/>
            </a:ext>
          </a:extLst>
        </xdr:cNvPr>
        <xdr:cNvSpPr txBox="1"/>
      </xdr:nvSpPr>
      <xdr:spPr>
        <a:xfrm>
          <a:off x="3219450" y="77152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457201</xdr:colOff>
      <xdr:row>0</xdr:row>
      <xdr:rowOff>21668</xdr:rowOff>
    </xdr:from>
    <xdr:ext cx="1087426" cy="254557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460BAFF0-F2D8-4E64-88DF-84D11CE0357D}"/>
            </a:ext>
          </a:extLst>
        </xdr:cNvPr>
        <xdr:cNvSpPr txBox="1"/>
      </xdr:nvSpPr>
      <xdr:spPr>
        <a:xfrm>
          <a:off x="4267201" y="21668"/>
          <a:ext cx="108742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ETCA-II-14</a:t>
          </a: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3200400" cy="662517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565598AC-FA54-4DB6-86B9-620EE183D479}"/>
            </a:ext>
          </a:extLst>
        </xdr:cNvPr>
        <xdr:cNvSpPr txBox="1"/>
      </xdr:nvSpPr>
      <xdr:spPr>
        <a:xfrm>
          <a:off x="0" y="6667500"/>
          <a:ext cx="32004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/>
            <a:t>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LEONOR LANDAVAZO GUTIERREZ</a:t>
          </a:r>
          <a:endParaRPr lang="es-MX" sz="1200">
            <a:effectLst/>
          </a:endParaRP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ADMINISTRATIVO</a:t>
          </a:r>
          <a:endParaRPr lang="es-MX" sz="1200">
            <a:effectLst/>
          </a:endParaRPr>
        </a:p>
      </xdr:txBody>
    </xdr:sp>
    <xdr:clientData/>
  </xdr:oneCellAnchor>
  <xdr:oneCellAnchor>
    <xdr:from>
      <xdr:col>3</xdr:col>
      <xdr:colOff>0</xdr:colOff>
      <xdr:row>35</xdr:row>
      <xdr:rowOff>0</xdr:rowOff>
    </xdr:from>
    <xdr:ext cx="3305175" cy="662517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8F8462C3-723A-4121-9BB8-F2830203FD28}"/>
            </a:ext>
          </a:extLst>
        </xdr:cNvPr>
        <xdr:cNvSpPr txBox="1"/>
      </xdr:nvSpPr>
      <xdr:spPr>
        <a:xfrm>
          <a:off x="2286000" y="6667500"/>
          <a:ext cx="330517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/>
            <a:t>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ALBERTO MERINO DIAZ</a:t>
          </a:r>
          <a:endParaRPr lang="es-MX" sz="1200">
            <a:effectLst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DIRECTOR DE ADMINISTRACION Y FINANZAS</a:t>
          </a:r>
          <a:endParaRPr lang="es-MX" sz="1200">
            <a:effectLst/>
          </a:endParaRPr>
        </a:p>
      </xdr:txBody>
    </xdr:sp>
    <xdr:clientData/>
  </xdr:oneCellAnchor>
  <xdr:oneCellAnchor>
    <xdr:from>
      <xdr:col>3</xdr:col>
      <xdr:colOff>247650</xdr:colOff>
      <xdr:row>4</xdr:row>
      <xdr:rowOff>133350</xdr:rowOff>
    </xdr:from>
    <xdr:ext cx="2790824" cy="254557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831F18A8-3740-4103-963E-C0D125B8D2E5}"/>
            </a:ext>
          </a:extLst>
        </xdr:cNvPr>
        <xdr:cNvSpPr txBox="1"/>
      </xdr:nvSpPr>
      <xdr:spPr>
        <a:xfrm>
          <a:off x="2533650" y="89535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D008C65D-8999-4F78-B6C5-9D0B2603F9B4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776459</xdr:colOff>
      <xdr:row>0</xdr:row>
      <xdr:rowOff>0</xdr:rowOff>
    </xdr:from>
    <xdr:ext cx="898003" cy="254557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C644C31-A679-4B69-AB98-F2CF5C5ED081}"/>
            </a:ext>
          </a:extLst>
        </xdr:cNvPr>
        <xdr:cNvSpPr txBox="1"/>
      </xdr:nvSpPr>
      <xdr:spPr>
        <a:xfrm>
          <a:off x="2252834" y="0"/>
          <a:ext cx="898003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ETCA-II-15</a:t>
          </a:r>
        </a:p>
      </xdr:txBody>
    </xdr:sp>
    <xdr:clientData/>
  </xdr:oneCellAnchor>
  <xdr:oneCellAnchor>
    <xdr:from>
      <xdr:col>1</xdr:col>
      <xdr:colOff>0</xdr:colOff>
      <xdr:row>4</xdr:row>
      <xdr:rowOff>142875</xdr:rowOff>
    </xdr:from>
    <xdr:ext cx="184731" cy="264560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105314BE-2653-4AD5-AC34-C9FA4F98607E}"/>
            </a:ext>
          </a:extLst>
        </xdr:cNvPr>
        <xdr:cNvSpPr txBox="1"/>
      </xdr:nvSpPr>
      <xdr:spPr>
        <a:xfrm>
          <a:off x="752475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3426892</xdr:colOff>
      <xdr:row>3</xdr:row>
      <xdr:rowOff>195723</xdr:rowOff>
    </xdr:from>
    <xdr:ext cx="647870" cy="239809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11906021-C8D5-4B0B-8D45-0062C0E38FE8}"/>
            </a:ext>
          </a:extLst>
        </xdr:cNvPr>
        <xdr:cNvSpPr txBox="1"/>
      </xdr:nvSpPr>
      <xdr:spPr>
        <a:xfrm>
          <a:off x="750367" y="757698"/>
          <a:ext cx="647870" cy="23980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000" b="1">
              <a:latin typeface="Arial" pitchFamily="34" charset="0"/>
              <a:cs typeface="Arial" pitchFamily="34" charset="0"/>
            </a:rPr>
            <a:t>(Pesos)</a:t>
          </a:r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id="{E8C0082C-2E86-42C7-8E26-B2A9FF96C970}"/>
            </a:ext>
          </a:extLst>
        </xdr:cNvPr>
        <xdr:cNvSpPr txBox="1"/>
      </xdr:nvSpPr>
      <xdr:spPr>
        <a:xfrm>
          <a:off x="7524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709083</xdr:colOff>
      <xdr:row>44</xdr:row>
      <xdr:rowOff>0</xdr:rowOff>
    </xdr:from>
    <xdr:ext cx="3143250" cy="662517"/>
    <xdr:sp macro="" textlink="">
      <xdr:nvSpPr>
        <xdr:cNvPr id="7" name="CuadroTexto 5">
          <a:extLst>
            <a:ext uri="{FF2B5EF4-FFF2-40B4-BE49-F238E27FC236}">
              <a16:creationId xmlns:a16="http://schemas.microsoft.com/office/drawing/2014/main" id="{6DDC6D06-006E-4A85-B128-D23F580F882A}"/>
            </a:ext>
          </a:extLst>
        </xdr:cNvPr>
        <xdr:cNvSpPr txBox="1"/>
      </xdr:nvSpPr>
      <xdr:spPr>
        <a:xfrm>
          <a:off x="709083" y="8382000"/>
          <a:ext cx="314325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LEONOR LANDAVAZO GUTIERREZ</a:t>
          </a:r>
          <a:endParaRPr lang="es-MX">
            <a:effectLst/>
          </a:endParaRP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ADMINISTRATIVO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3019425" cy="662517"/>
    <xdr:sp macro="" textlink="">
      <xdr:nvSpPr>
        <xdr:cNvPr id="8" name="CuadroTexto 5">
          <a:extLst>
            <a:ext uri="{FF2B5EF4-FFF2-40B4-BE49-F238E27FC236}">
              <a16:creationId xmlns:a16="http://schemas.microsoft.com/office/drawing/2014/main" id="{EF575973-1EDD-49C8-A4B7-99F661E60443}"/>
            </a:ext>
          </a:extLst>
        </xdr:cNvPr>
        <xdr:cNvSpPr txBox="1"/>
      </xdr:nvSpPr>
      <xdr:spPr>
        <a:xfrm>
          <a:off x="752475" y="8382000"/>
          <a:ext cx="301942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ALBERTO MERINO DIAZ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DIRECTOR DE ADMINISTRACION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560917</xdr:colOff>
      <xdr:row>3</xdr:row>
      <xdr:rowOff>105834</xdr:rowOff>
    </xdr:from>
    <xdr:ext cx="2790824" cy="254557"/>
    <xdr:sp macro="" textlink="">
      <xdr:nvSpPr>
        <xdr:cNvPr id="9" name="9 CuadroTexto">
          <a:extLst>
            <a:ext uri="{FF2B5EF4-FFF2-40B4-BE49-F238E27FC236}">
              <a16:creationId xmlns:a16="http://schemas.microsoft.com/office/drawing/2014/main" id="{70C1E4FD-35D2-4C43-A7AC-9D803B8E6440}"/>
            </a:ext>
          </a:extLst>
        </xdr:cNvPr>
        <xdr:cNvSpPr txBox="1"/>
      </xdr:nvSpPr>
      <xdr:spPr>
        <a:xfrm>
          <a:off x="1313392" y="677334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676275</xdr:colOff>
      <xdr:row>0</xdr:row>
      <xdr:rowOff>114300</xdr:rowOff>
    </xdr:from>
    <xdr:ext cx="1226791" cy="255134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63CD6B36-73E7-42FF-95FC-3DD19FF6D149}"/>
            </a:ext>
          </a:extLst>
        </xdr:cNvPr>
        <xdr:cNvSpPr txBox="1"/>
      </xdr:nvSpPr>
      <xdr:spPr>
        <a:xfrm>
          <a:off x="5248275" y="114300"/>
          <a:ext cx="1226791" cy="25513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ETCA-II-13</a:t>
          </a:r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B486B2C-4CBD-4A74-B360-8A2A0115092E}"/>
            </a:ext>
          </a:extLst>
        </xdr:cNvPr>
        <xdr:cNvSpPr txBox="1"/>
      </xdr:nvSpPr>
      <xdr:spPr>
        <a:xfrm>
          <a:off x="5334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295275</xdr:colOff>
      <xdr:row>4</xdr:row>
      <xdr:rowOff>104775</xdr:rowOff>
    </xdr:from>
    <xdr:ext cx="2790824" cy="254557"/>
    <xdr:sp macro="" textlink="">
      <xdr:nvSpPr>
        <xdr:cNvPr id="4" name="25 CuadroTexto">
          <a:extLst>
            <a:ext uri="{FF2B5EF4-FFF2-40B4-BE49-F238E27FC236}">
              <a16:creationId xmlns:a16="http://schemas.microsoft.com/office/drawing/2014/main" id="{979F7629-310C-4DC3-9A7A-935996BCF07A}"/>
            </a:ext>
          </a:extLst>
        </xdr:cNvPr>
        <xdr:cNvSpPr txBox="1"/>
      </xdr:nvSpPr>
      <xdr:spPr>
        <a:xfrm>
          <a:off x="4105275" y="86677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115997</xdr:colOff>
      <xdr:row>0</xdr:row>
      <xdr:rowOff>0</xdr:rowOff>
    </xdr:from>
    <xdr:ext cx="913712" cy="254557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75E4AF74-BE01-490A-861D-F54BF49A2CEA}"/>
            </a:ext>
          </a:extLst>
        </xdr:cNvPr>
        <xdr:cNvSpPr txBox="1"/>
      </xdr:nvSpPr>
      <xdr:spPr>
        <a:xfrm>
          <a:off x="3125897" y="0"/>
          <a:ext cx="913712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ETCA-II-16</a:t>
          </a:r>
        </a:p>
      </xdr:txBody>
    </xdr:sp>
    <xdr:clientData/>
  </xdr:oneCellAnchor>
  <xdr:oneCellAnchor>
    <xdr:from>
      <xdr:col>3</xdr:col>
      <xdr:colOff>0</xdr:colOff>
      <xdr:row>3</xdr:row>
      <xdr:rowOff>142875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742722A3-C962-4CC0-81F3-91356D36C23A}"/>
            </a:ext>
          </a:extLst>
        </xdr:cNvPr>
        <xdr:cNvSpPr txBox="1"/>
      </xdr:nvSpPr>
      <xdr:spPr>
        <a:xfrm>
          <a:off x="225742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3019425" cy="662517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2C1CE427-3CEC-4412-B507-EFFFD09FBCAD}"/>
            </a:ext>
          </a:extLst>
        </xdr:cNvPr>
        <xdr:cNvSpPr txBox="1"/>
      </xdr:nvSpPr>
      <xdr:spPr>
        <a:xfrm>
          <a:off x="752475" y="6477000"/>
          <a:ext cx="301942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Elaboró</a:t>
          </a:r>
        </a:p>
        <a:p>
          <a:pPr algn="ctr"/>
          <a:r>
            <a:rPr lang="es-MX" sz="1100"/>
            <a:t>Puesto</a:t>
          </a:r>
        </a:p>
      </xdr:txBody>
    </xdr:sp>
    <xdr:clientData/>
  </xdr:oneCellAnchor>
  <xdr:oneCellAnchor>
    <xdr:from>
      <xdr:col>2</xdr:col>
      <xdr:colOff>400051</xdr:colOff>
      <xdr:row>34</xdr:row>
      <xdr:rowOff>0</xdr:rowOff>
    </xdr:from>
    <xdr:ext cx="2895599" cy="662517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5B106CDB-BDEB-4287-AFCC-DEB4F5EBCF91}"/>
            </a:ext>
          </a:extLst>
        </xdr:cNvPr>
        <xdr:cNvSpPr txBox="1"/>
      </xdr:nvSpPr>
      <xdr:spPr>
        <a:xfrm>
          <a:off x="1905001" y="6477000"/>
          <a:ext cx="2895599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Autorizó</a:t>
          </a:r>
        </a:p>
        <a:p>
          <a:pPr algn="ctr"/>
          <a:r>
            <a:rPr lang="es-MX" sz="1100"/>
            <a:t>Puesto</a:t>
          </a:r>
        </a:p>
      </xdr:txBody>
    </xdr:sp>
    <xdr:clientData/>
  </xdr:oneCellAnchor>
  <xdr:oneCellAnchor>
    <xdr:from>
      <xdr:col>2</xdr:col>
      <xdr:colOff>514350</xdr:colOff>
      <xdr:row>3</xdr:row>
      <xdr:rowOff>152400</xdr:rowOff>
    </xdr:from>
    <xdr:ext cx="2790824" cy="254557"/>
    <xdr:sp macro="" textlink="">
      <xdr:nvSpPr>
        <xdr:cNvPr id="6" name="9 CuadroTexto">
          <a:extLst>
            <a:ext uri="{FF2B5EF4-FFF2-40B4-BE49-F238E27FC236}">
              <a16:creationId xmlns:a16="http://schemas.microsoft.com/office/drawing/2014/main" id="{8DBC40EA-69FF-42DC-9553-74CA0E2B210D}"/>
            </a:ext>
          </a:extLst>
        </xdr:cNvPr>
        <xdr:cNvSpPr txBox="1"/>
      </xdr:nvSpPr>
      <xdr:spPr>
        <a:xfrm>
          <a:off x="2019300" y="72390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  PRIMERO 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752055</xdr:colOff>
      <xdr:row>0</xdr:row>
      <xdr:rowOff>0</xdr:rowOff>
    </xdr:from>
    <xdr:ext cx="913712" cy="254557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894A66FD-3EAB-4FC1-8FFA-159160454227}"/>
            </a:ext>
          </a:extLst>
        </xdr:cNvPr>
        <xdr:cNvSpPr txBox="1"/>
      </xdr:nvSpPr>
      <xdr:spPr>
        <a:xfrm>
          <a:off x="3009480" y="0"/>
          <a:ext cx="913712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ETCA-II-17</a:t>
          </a:r>
        </a:p>
      </xdr:txBody>
    </xdr:sp>
    <xdr:clientData/>
  </xdr:oneCellAnchor>
  <xdr:oneCellAnchor>
    <xdr:from>
      <xdr:col>3</xdr:col>
      <xdr:colOff>0</xdr:colOff>
      <xdr:row>3</xdr:row>
      <xdr:rowOff>142875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35C32866-E206-43DB-8E81-1FA7F84CC1EE}"/>
            </a:ext>
          </a:extLst>
        </xdr:cNvPr>
        <xdr:cNvSpPr txBox="1"/>
      </xdr:nvSpPr>
      <xdr:spPr>
        <a:xfrm>
          <a:off x="225742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322791</xdr:colOff>
      <xdr:row>35</xdr:row>
      <xdr:rowOff>42334</xdr:rowOff>
    </xdr:from>
    <xdr:ext cx="2925416" cy="609013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07AD5E8-3931-4E62-8725-DBB1AFB65CC4}"/>
            </a:ext>
          </a:extLst>
        </xdr:cNvPr>
        <xdr:cNvSpPr txBox="1"/>
      </xdr:nvSpPr>
      <xdr:spPr>
        <a:xfrm>
          <a:off x="322791" y="6709834"/>
          <a:ext cx="2925416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Elaboró</a:t>
          </a:r>
        </a:p>
        <a:p>
          <a:pPr algn="ctr"/>
          <a:r>
            <a:rPr lang="es-MX" sz="1100"/>
            <a:t>Puesto</a:t>
          </a:r>
        </a:p>
      </xdr:txBody>
    </xdr:sp>
    <xdr:clientData/>
  </xdr:oneCellAnchor>
  <xdr:oneCellAnchor>
    <xdr:from>
      <xdr:col>2</xdr:col>
      <xdr:colOff>723900</xdr:colOff>
      <xdr:row>35</xdr:row>
      <xdr:rowOff>46565</xdr:rowOff>
    </xdr:from>
    <xdr:ext cx="2855141" cy="662517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753370C-E1C9-4CF0-9C0B-51BF9E1F2DAE}"/>
            </a:ext>
          </a:extLst>
        </xdr:cNvPr>
        <xdr:cNvSpPr txBox="1"/>
      </xdr:nvSpPr>
      <xdr:spPr>
        <a:xfrm>
          <a:off x="2228850" y="6714065"/>
          <a:ext cx="2855141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Autorizó</a:t>
          </a:r>
        </a:p>
        <a:p>
          <a:pPr algn="ctr"/>
          <a:r>
            <a:rPr lang="es-MX" sz="1100"/>
            <a:t>Puesto</a:t>
          </a:r>
        </a:p>
      </xdr:txBody>
    </xdr:sp>
    <xdr:clientData/>
  </xdr:oneCellAnchor>
  <xdr:oneCellAnchor>
    <xdr:from>
      <xdr:col>2</xdr:col>
      <xdr:colOff>582083</xdr:colOff>
      <xdr:row>3</xdr:row>
      <xdr:rowOff>201084</xdr:rowOff>
    </xdr:from>
    <xdr:ext cx="2790824" cy="254557"/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9667D393-7A0E-42D5-BE1A-69C1B6EB3863}"/>
            </a:ext>
          </a:extLst>
        </xdr:cNvPr>
        <xdr:cNvSpPr txBox="1"/>
      </xdr:nvSpPr>
      <xdr:spPr>
        <a:xfrm>
          <a:off x="2087033" y="763059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 PRIMERO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190500</xdr:colOff>
      <xdr:row>0</xdr:row>
      <xdr:rowOff>0</xdr:rowOff>
    </xdr:from>
    <xdr:ext cx="1325551" cy="254557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4B655143-7A51-4A77-9085-A8F160CBCBD1}"/>
            </a:ext>
          </a:extLst>
        </xdr:cNvPr>
        <xdr:cNvSpPr txBox="1"/>
      </xdr:nvSpPr>
      <xdr:spPr>
        <a:xfrm>
          <a:off x="5524500" y="0"/>
          <a:ext cx="1325551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ETCA-II-02</a:t>
          </a:r>
        </a:p>
      </xdr:txBody>
    </xdr:sp>
    <xdr:clientData/>
  </xdr:oneCellAnchor>
  <xdr:oneCellAnchor>
    <xdr:from>
      <xdr:col>2</xdr:col>
      <xdr:colOff>0</xdr:colOff>
      <xdr:row>83</xdr:row>
      <xdr:rowOff>0</xdr:rowOff>
    </xdr:from>
    <xdr:ext cx="3200400" cy="662517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69D6DC1B-D70E-4F82-A973-8B6FE89ECEC2}"/>
            </a:ext>
          </a:extLst>
        </xdr:cNvPr>
        <xdr:cNvSpPr txBox="1"/>
      </xdr:nvSpPr>
      <xdr:spPr>
        <a:xfrm>
          <a:off x="1524000" y="15811500"/>
          <a:ext cx="32004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/>
            <a:t>______________________________________</a:t>
          </a:r>
        </a:p>
        <a:p>
          <a:pPr algn="ctr"/>
          <a:r>
            <a:rPr lang="es-MX" sz="1200"/>
            <a:t>Elaboró</a:t>
          </a:r>
        </a:p>
        <a:p>
          <a:pPr algn="ctr"/>
          <a:r>
            <a:rPr lang="es-MX" sz="1200"/>
            <a:t>Puesto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3305175" cy="662517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2D11F023-E5FE-4129-AABE-271DBD7EB7C0}"/>
            </a:ext>
          </a:extLst>
        </xdr:cNvPr>
        <xdr:cNvSpPr txBox="1"/>
      </xdr:nvSpPr>
      <xdr:spPr>
        <a:xfrm>
          <a:off x="3048000" y="15811500"/>
          <a:ext cx="330517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/>
            <a:t>______________________________________</a:t>
          </a:r>
        </a:p>
        <a:p>
          <a:pPr algn="ctr"/>
          <a:r>
            <a:rPr lang="es-MX" sz="1200"/>
            <a:t>Autorizó</a:t>
          </a:r>
        </a:p>
        <a:p>
          <a:pPr algn="ctr"/>
          <a:r>
            <a:rPr lang="es-MX" sz="1200"/>
            <a:t>Puesto</a:t>
          </a:r>
        </a:p>
      </xdr:txBody>
    </xdr:sp>
    <xdr:clientData/>
  </xdr:oneCellAnchor>
  <xdr:oneCellAnchor>
    <xdr:from>
      <xdr:col>5</xdr:col>
      <xdr:colOff>190499</xdr:colOff>
      <xdr:row>3</xdr:row>
      <xdr:rowOff>103188</xdr:rowOff>
    </xdr:from>
    <xdr:ext cx="2790824" cy="254557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2E1CD93C-314D-487B-84D4-432631BD499C}"/>
            </a:ext>
          </a:extLst>
        </xdr:cNvPr>
        <xdr:cNvSpPr txBox="1"/>
      </xdr:nvSpPr>
      <xdr:spPr>
        <a:xfrm>
          <a:off x="4000499" y="674688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:_PRIMERO 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8C9DB797-EF14-458A-B9BD-BA84063C295F}"/>
            </a:ext>
          </a:extLst>
        </xdr:cNvPr>
        <xdr:cNvSpPr txBox="1"/>
      </xdr:nvSpPr>
      <xdr:spPr>
        <a:xfrm>
          <a:off x="7524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542925</xdr:colOff>
      <xdr:row>0</xdr:row>
      <xdr:rowOff>0</xdr:rowOff>
    </xdr:from>
    <xdr:ext cx="1141062" cy="292657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882688AA-3EF7-4880-A922-4072B946700D}"/>
            </a:ext>
          </a:extLst>
        </xdr:cNvPr>
        <xdr:cNvSpPr txBox="1"/>
      </xdr:nvSpPr>
      <xdr:spPr>
        <a:xfrm>
          <a:off x="2800350" y="0"/>
          <a:ext cx="1141062" cy="2926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ETCA-II-03</a:t>
          </a:r>
        </a:p>
      </xdr:txBody>
    </xdr:sp>
    <xdr:clientData/>
  </xdr:oneCellAnchor>
  <xdr:oneCellAnchor>
    <xdr:from>
      <xdr:col>3</xdr:col>
      <xdr:colOff>0</xdr:colOff>
      <xdr:row>3</xdr:row>
      <xdr:rowOff>142875</xdr:rowOff>
    </xdr:from>
    <xdr:ext cx="184731" cy="264560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29152AC2-D57E-468B-B299-FA742A404CF8}"/>
            </a:ext>
          </a:extLst>
        </xdr:cNvPr>
        <xdr:cNvSpPr txBox="1"/>
      </xdr:nvSpPr>
      <xdr:spPr>
        <a:xfrm>
          <a:off x="225742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31</xdr:row>
      <xdr:rowOff>152400</xdr:rowOff>
    </xdr:from>
    <xdr:ext cx="3019425" cy="714375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616D1D01-274D-4739-92DC-A29E6E163A7D}"/>
            </a:ext>
          </a:extLst>
        </xdr:cNvPr>
        <xdr:cNvSpPr txBox="1"/>
      </xdr:nvSpPr>
      <xdr:spPr>
        <a:xfrm>
          <a:off x="752475" y="6057900"/>
          <a:ext cx="3019425" cy="714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Elaboró</a:t>
          </a:r>
        </a:p>
        <a:p>
          <a:pPr algn="ctr"/>
          <a:r>
            <a:rPr lang="es-MX" sz="1100"/>
            <a:t>Puesto</a:t>
          </a:r>
        </a:p>
      </xdr:txBody>
    </xdr:sp>
    <xdr:clientData/>
  </xdr:oneCellAnchor>
  <xdr:oneCellAnchor>
    <xdr:from>
      <xdr:col>2</xdr:col>
      <xdr:colOff>123825</xdr:colOff>
      <xdr:row>31</xdr:row>
      <xdr:rowOff>142876</xdr:rowOff>
    </xdr:from>
    <xdr:ext cx="3124200" cy="685799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C28B4ABF-624A-43AA-81DE-7530091067BE}"/>
            </a:ext>
          </a:extLst>
        </xdr:cNvPr>
        <xdr:cNvSpPr txBox="1"/>
      </xdr:nvSpPr>
      <xdr:spPr>
        <a:xfrm>
          <a:off x="1628775" y="6048376"/>
          <a:ext cx="3124200" cy="6857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Autorizó</a:t>
          </a:r>
        </a:p>
        <a:p>
          <a:pPr algn="ctr"/>
          <a:r>
            <a:rPr lang="es-MX" sz="1100"/>
            <a:t>Puesto</a:t>
          </a:r>
        </a:p>
      </xdr:txBody>
    </xdr:sp>
    <xdr:clientData/>
  </xdr:oneCellAnchor>
  <xdr:oneCellAnchor>
    <xdr:from>
      <xdr:col>2</xdr:col>
      <xdr:colOff>609600</xdr:colOff>
      <xdr:row>3</xdr:row>
      <xdr:rowOff>104775</xdr:rowOff>
    </xdr:from>
    <xdr:ext cx="2790824" cy="254557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344E88E2-4DE4-4E9A-8A25-9129CBC7D471}"/>
            </a:ext>
          </a:extLst>
        </xdr:cNvPr>
        <xdr:cNvSpPr txBox="1"/>
      </xdr:nvSpPr>
      <xdr:spPr>
        <a:xfrm>
          <a:off x="2114550" y="67627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TRIMESTRE:______________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2" name="21 CuadroTexto">
          <a:extLst>
            <a:ext uri="{FF2B5EF4-FFF2-40B4-BE49-F238E27FC236}">
              <a16:creationId xmlns:a16="http://schemas.microsoft.com/office/drawing/2014/main" id="{E4B9C7DD-28F8-4064-809E-A51018521EAD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853910</xdr:colOff>
      <xdr:row>0</xdr:row>
      <xdr:rowOff>38100</xdr:rowOff>
    </xdr:from>
    <xdr:ext cx="898002" cy="247649"/>
    <xdr:sp macro="" textlink="">
      <xdr:nvSpPr>
        <xdr:cNvPr id="3" name="22 CuadroTexto">
          <a:extLst>
            <a:ext uri="{FF2B5EF4-FFF2-40B4-BE49-F238E27FC236}">
              <a16:creationId xmlns:a16="http://schemas.microsoft.com/office/drawing/2014/main" id="{ED9EA0C1-0D2D-480D-A1AE-BE0CE26A6CC8}"/>
            </a:ext>
          </a:extLst>
        </xdr:cNvPr>
        <xdr:cNvSpPr txBox="1"/>
      </xdr:nvSpPr>
      <xdr:spPr>
        <a:xfrm>
          <a:off x="4568660" y="38100"/>
          <a:ext cx="898002" cy="24764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ETCA-II-04</a:t>
          </a:r>
        </a:p>
      </xdr:txBody>
    </xdr:sp>
    <xdr:clientData/>
  </xdr:oneCellAnchor>
  <xdr:oneCellAnchor>
    <xdr:from>
      <xdr:col>0</xdr:col>
      <xdr:colOff>295275</xdr:colOff>
      <xdr:row>87</xdr:row>
      <xdr:rowOff>161926</xdr:rowOff>
    </xdr:from>
    <xdr:ext cx="3429000" cy="666749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074BA103-F087-455B-8FC3-53B1BFE268B3}"/>
            </a:ext>
          </a:extLst>
        </xdr:cNvPr>
        <xdr:cNvSpPr txBox="1"/>
      </xdr:nvSpPr>
      <xdr:spPr>
        <a:xfrm>
          <a:off x="295275" y="16735426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</a:t>
          </a:r>
        </a:p>
        <a:p>
          <a:r>
            <a:rPr lang="es-MX" sz="1100" baseline="0"/>
            <a:t>     </a:t>
          </a:r>
          <a:r>
            <a:rPr lang="es-MX" sz="1100"/>
            <a:t>C.P. LEONOR LANDAVAZO GUTIERREZ</a:t>
          </a:r>
        </a:p>
        <a:p>
          <a:r>
            <a:rPr lang="es-MX" sz="1100" baseline="0"/>
            <a:t>       </a:t>
          </a:r>
          <a:r>
            <a:rPr lang="es-MX" sz="1100"/>
            <a:t>DIRECTOR ADMINISTRATIVO</a:t>
          </a:r>
        </a:p>
      </xdr:txBody>
    </xdr:sp>
    <xdr:clientData/>
  </xdr:oneCellAnchor>
  <xdr:oneCellAnchor>
    <xdr:from>
      <xdr:col>2</xdr:col>
      <xdr:colOff>771525</xdr:colOff>
      <xdr:row>87</xdr:row>
      <xdr:rowOff>171451</xdr:rowOff>
    </xdr:from>
    <xdr:ext cx="3181350" cy="628650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342443B8-6F54-4941-8AA8-E93AE4F24D85}"/>
            </a:ext>
          </a:extLst>
        </xdr:cNvPr>
        <xdr:cNvSpPr txBox="1"/>
      </xdr:nvSpPr>
      <xdr:spPr>
        <a:xfrm>
          <a:off x="2286000" y="16744951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MARIO ALBERTO MERINO DIAZ</a:t>
          </a:r>
        </a:p>
        <a:p>
          <a:pPr algn="ctr"/>
          <a:r>
            <a:rPr lang="es-MX" sz="1100"/>
            <a:t> DIRECTOR DE ADMINISTRACION Y FINANZAS</a:t>
          </a:r>
        </a:p>
      </xdr:txBody>
    </xdr:sp>
    <xdr:clientData/>
  </xdr:oneCellAnchor>
  <xdr:oneCellAnchor>
    <xdr:from>
      <xdr:col>3</xdr:col>
      <xdr:colOff>781050</xdr:colOff>
      <xdr:row>4</xdr:row>
      <xdr:rowOff>123825</xdr:rowOff>
    </xdr:from>
    <xdr:ext cx="2790824" cy="254557"/>
    <xdr:sp macro="" textlink="">
      <xdr:nvSpPr>
        <xdr:cNvPr id="6" name="25 CuadroTexto">
          <a:extLst>
            <a:ext uri="{FF2B5EF4-FFF2-40B4-BE49-F238E27FC236}">
              <a16:creationId xmlns:a16="http://schemas.microsoft.com/office/drawing/2014/main" id="{06FEA2E6-503F-4237-ADC9-C22A2178CAC9}"/>
            </a:ext>
          </a:extLst>
        </xdr:cNvPr>
        <xdr:cNvSpPr txBox="1"/>
      </xdr:nvSpPr>
      <xdr:spPr>
        <a:xfrm>
          <a:off x="3048000" y="88582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495300</xdr:colOff>
      <xdr:row>0</xdr:row>
      <xdr:rowOff>19051</xdr:rowOff>
    </xdr:from>
    <xdr:ext cx="1019173" cy="26670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66ECBD36-3F4D-4681-B9F3-093B4A9CE12F}"/>
            </a:ext>
          </a:extLst>
        </xdr:cNvPr>
        <xdr:cNvSpPr txBox="1"/>
      </xdr:nvSpPr>
      <xdr:spPr>
        <a:xfrm>
          <a:off x="5067300" y="19051"/>
          <a:ext cx="1019173" cy="266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ETCA-II-05</a:t>
          </a: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3200400" cy="662517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E71F06D0-AAE3-4057-ACFF-7CE04A268CE1}"/>
            </a:ext>
          </a:extLst>
        </xdr:cNvPr>
        <xdr:cNvSpPr txBox="1"/>
      </xdr:nvSpPr>
      <xdr:spPr>
        <a:xfrm>
          <a:off x="762000" y="30670500"/>
          <a:ext cx="32004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r>
            <a:rPr lang="es-MX" sz="1200"/>
            <a:t>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LEONOR LANDAVAZO GUTIERREZ</a:t>
          </a:r>
          <a:endParaRPr lang="es-MX" sz="1200">
            <a:effectLst/>
          </a:endParaRP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ADMINISTRATIVO</a:t>
          </a:r>
          <a:endParaRPr lang="es-MX" sz="1200">
            <a:effectLst/>
          </a:endParaRPr>
        </a:p>
      </xdr:txBody>
    </xdr:sp>
    <xdr:clientData/>
  </xdr:oneCellAnchor>
  <xdr:oneCellAnchor>
    <xdr:from>
      <xdr:col>3</xdr:col>
      <xdr:colOff>0</xdr:colOff>
      <xdr:row>161</xdr:row>
      <xdr:rowOff>0</xdr:rowOff>
    </xdr:from>
    <xdr:ext cx="3305175" cy="662517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2F7BD614-076A-495C-B20D-C5E4AB9627D9}"/>
            </a:ext>
          </a:extLst>
        </xdr:cNvPr>
        <xdr:cNvSpPr txBox="1"/>
      </xdr:nvSpPr>
      <xdr:spPr>
        <a:xfrm>
          <a:off x="2286000" y="30670500"/>
          <a:ext cx="330517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/>
            <a:t>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ALBERTO MERINO DIAZ</a:t>
          </a:r>
          <a:endParaRPr lang="es-MX" sz="1200">
            <a:effectLst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DIRECTOR DE ADMINISTRACION Y FINANZAS</a:t>
          </a:r>
          <a:endParaRPr lang="es-MX" sz="1200">
            <a:effectLst/>
          </a:endParaRPr>
        </a:p>
        <a:p>
          <a:pPr algn="ctr"/>
          <a:endParaRPr lang="es-MX" sz="1200"/>
        </a:p>
      </xdr:txBody>
    </xdr:sp>
    <xdr:clientData/>
  </xdr:oneCellAnchor>
  <xdr:oneCellAnchor>
    <xdr:from>
      <xdr:col>4</xdr:col>
      <xdr:colOff>161925</xdr:colOff>
      <xdr:row>4</xdr:row>
      <xdr:rowOff>28575</xdr:rowOff>
    </xdr:from>
    <xdr:ext cx="2790824" cy="254557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57881C7B-CA6D-42D1-B0F7-21449FC9F48C}"/>
            </a:ext>
          </a:extLst>
        </xdr:cNvPr>
        <xdr:cNvSpPr txBox="1"/>
      </xdr:nvSpPr>
      <xdr:spPr>
        <a:xfrm>
          <a:off x="3209925" y="79057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ACF926B-95A0-471A-8E31-7BD77D67C533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371475</xdr:colOff>
      <xdr:row>0</xdr:row>
      <xdr:rowOff>85725</xdr:rowOff>
    </xdr:from>
    <xdr:ext cx="1447112" cy="254557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26076EBF-9A5C-4156-BF33-0A4CBBF54AA3}"/>
            </a:ext>
          </a:extLst>
        </xdr:cNvPr>
        <xdr:cNvSpPr txBox="1"/>
      </xdr:nvSpPr>
      <xdr:spPr>
        <a:xfrm>
          <a:off x="4133850" y="85725"/>
          <a:ext cx="1447112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ETCA-II-06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5A953CED-27FF-4733-AFCF-95BDC6D1876B}"/>
            </a:ext>
          </a:extLst>
        </xdr:cNvPr>
        <xdr:cNvSpPr txBox="1"/>
      </xdr:nvSpPr>
      <xdr:spPr>
        <a:xfrm>
          <a:off x="752475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EFF40F7D-46D7-4E16-91F6-9E623D5D58F6}"/>
            </a:ext>
          </a:extLst>
        </xdr:cNvPr>
        <xdr:cNvSpPr txBox="1"/>
      </xdr:nvSpPr>
      <xdr:spPr>
        <a:xfrm>
          <a:off x="752475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596830</xdr:colOff>
      <xdr:row>29</xdr:row>
      <xdr:rowOff>0</xdr:rowOff>
    </xdr:from>
    <xdr:ext cx="184731" cy="254557"/>
    <xdr:sp macro="" textlink="">
      <xdr:nvSpPr>
        <xdr:cNvPr id="6" name="9 CuadroTexto">
          <a:extLst>
            <a:ext uri="{FF2B5EF4-FFF2-40B4-BE49-F238E27FC236}">
              <a16:creationId xmlns:a16="http://schemas.microsoft.com/office/drawing/2014/main" id="{8096BB6D-8593-40B2-A857-9A9E71AF72A1}"/>
            </a:ext>
          </a:extLst>
        </xdr:cNvPr>
        <xdr:cNvSpPr txBox="1"/>
      </xdr:nvSpPr>
      <xdr:spPr>
        <a:xfrm>
          <a:off x="5111680" y="5524500"/>
          <a:ext cx="184731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48E8AAE2-1C48-466F-8DEA-83B5DEA6DE2C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C270047C-4438-4754-A557-E126A65F8803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4</xdr:row>
      <xdr:rowOff>142875</xdr:rowOff>
    </xdr:from>
    <xdr:ext cx="184731" cy="264560"/>
    <xdr:sp macro="" textlink="">
      <xdr:nvSpPr>
        <xdr:cNvPr id="9" name="4 CuadroTexto">
          <a:extLst>
            <a:ext uri="{FF2B5EF4-FFF2-40B4-BE49-F238E27FC236}">
              <a16:creationId xmlns:a16="http://schemas.microsoft.com/office/drawing/2014/main" id="{A5B451E4-DA41-40FE-B953-ED048644448D}"/>
            </a:ext>
          </a:extLst>
        </xdr:cNvPr>
        <xdr:cNvSpPr txBox="1"/>
      </xdr:nvSpPr>
      <xdr:spPr>
        <a:xfrm>
          <a:off x="451485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600075</xdr:colOff>
      <xdr:row>20</xdr:row>
      <xdr:rowOff>19050</xdr:rowOff>
    </xdr:from>
    <xdr:ext cx="3009900" cy="647700"/>
    <xdr:sp macro="" textlink="">
      <xdr:nvSpPr>
        <xdr:cNvPr id="10" name="CuadroTexto 5">
          <a:extLst>
            <a:ext uri="{FF2B5EF4-FFF2-40B4-BE49-F238E27FC236}">
              <a16:creationId xmlns:a16="http://schemas.microsoft.com/office/drawing/2014/main" id="{7D621FE8-D239-4615-9271-21E52D154380}"/>
            </a:ext>
          </a:extLst>
        </xdr:cNvPr>
        <xdr:cNvSpPr txBox="1"/>
      </xdr:nvSpPr>
      <xdr:spPr>
        <a:xfrm>
          <a:off x="600075" y="3829050"/>
          <a:ext cx="3009900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LEONOR LANDAVAZO GUTIERREZ</a:t>
          </a:r>
          <a:endParaRPr lang="es-MX">
            <a:effectLst/>
          </a:endParaRP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ADMINISTRATIVO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295275</xdr:colOff>
      <xdr:row>20</xdr:row>
      <xdr:rowOff>9524</xdr:rowOff>
    </xdr:from>
    <xdr:ext cx="2952750" cy="657226"/>
    <xdr:sp macro="" textlink="">
      <xdr:nvSpPr>
        <xdr:cNvPr id="11" name="CuadroTexto 5">
          <a:extLst>
            <a:ext uri="{FF2B5EF4-FFF2-40B4-BE49-F238E27FC236}">
              <a16:creationId xmlns:a16="http://schemas.microsoft.com/office/drawing/2014/main" id="{58E8F2E8-7053-4940-927D-F7F1CCF0EDF9}"/>
            </a:ext>
          </a:extLst>
        </xdr:cNvPr>
        <xdr:cNvSpPr txBox="1"/>
      </xdr:nvSpPr>
      <xdr:spPr>
        <a:xfrm>
          <a:off x="2552700" y="3819524"/>
          <a:ext cx="2952750" cy="657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ALBERTO MERINO DIAZ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DIRECTOR DE ADMINISTRACION Y FINANZAS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800100</xdr:colOff>
      <xdr:row>4</xdr:row>
      <xdr:rowOff>161925</xdr:rowOff>
    </xdr:from>
    <xdr:ext cx="2790824" cy="254557"/>
    <xdr:sp macro="" textlink="">
      <xdr:nvSpPr>
        <xdr:cNvPr id="12" name="12 CuadroTexto">
          <a:extLst>
            <a:ext uri="{FF2B5EF4-FFF2-40B4-BE49-F238E27FC236}">
              <a16:creationId xmlns:a16="http://schemas.microsoft.com/office/drawing/2014/main" id="{4BA30B1C-3B75-4094-8208-1B1BD4BC83A1}"/>
            </a:ext>
          </a:extLst>
        </xdr:cNvPr>
        <xdr:cNvSpPr txBox="1"/>
      </xdr:nvSpPr>
      <xdr:spPr>
        <a:xfrm>
          <a:off x="3009900" y="92392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39DAC5B7-07F7-4AAD-911D-6D6D5498B362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E028075-9235-4C35-A385-5ED1B4E2C13E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6ECC4183-395D-4EFF-9D65-1DA6F31DB532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397532</xdr:colOff>
      <xdr:row>0</xdr:row>
      <xdr:rowOff>0</xdr:rowOff>
    </xdr:from>
    <xdr:ext cx="1478446" cy="254557"/>
    <xdr:sp macro="" textlink="">
      <xdr:nvSpPr>
        <xdr:cNvPr id="5" name="11 CuadroTexto">
          <a:extLst>
            <a:ext uri="{FF2B5EF4-FFF2-40B4-BE49-F238E27FC236}">
              <a16:creationId xmlns:a16="http://schemas.microsoft.com/office/drawing/2014/main" id="{04F6AE00-02CA-4966-B6E5-3A1AC23ADD5A}"/>
            </a:ext>
          </a:extLst>
        </xdr:cNvPr>
        <xdr:cNvSpPr txBox="1"/>
      </xdr:nvSpPr>
      <xdr:spPr>
        <a:xfrm>
          <a:off x="4159907" y="0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ETCA-II-07</a:t>
          </a:r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5EE29D0-1769-406E-88BF-0561D00A6C4A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7C604B1F-AAA4-4F5B-B335-2E54FC2E48C2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BAB4AF1-F3A1-46F4-B357-4859F82000AF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4</xdr:row>
      <xdr:rowOff>142875</xdr:rowOff>
    </xdr:from>
    <xdr:ext cx="184731" cy="264560"/>
    <xdr:sp macro="" textlink="">
      <xdr:nvSpPr>
        <xdr:cNvPr id="9" name="4 CuadroTexto">
          <a:extLst>
            <a:ext uri="{FF2B5EF4-FFF2-40B4-BE49-F238E27FC236}">
              <a16:creationId xmlns:a16="http://schemas.microsoft.com/office/drawing/2014/main" id="{1028CC3F-F3F8-4D2A-A3B5-ACC44557C111}"/>
            </a:ext>
          </a:extLst>
        </xdr:cNvPr>
        <xdr:cNvSpPr txBox="1"/>
      </xdr:nvSpPr>
      <xdr:spPr>
        <a:xfrm>
          <a:off x="451485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3C18F823-87A0-492C-B505-4215892C6D43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E85793B2-ECB5-4C06-A71A-BFCE54A263CD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D79950A7-4DAA-4A87-A380-62ECD40106FE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A75B17AE-E807-47E8-A420-B9CED62AAF80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39</xdr:row>
      <xdr:rowOff>0</xdr:rowOff>
    </xdr:from>
    <xdr:ext cx="184731" cy="264560"/>
    <xdr:sp macro="" textlink="">
      <xdr:nvSpPr>
        <xdr:cNvPr id="14" name="4 CuadroTexto">
          <a:extLst>
            <a:ext uri="{FF2B5EF4-FFF2-40B4-BE49-F238E27FC236}">
              <a16:creationId xmlns:a16="http://schemas.microsoft.com/office/drawing/2014/main" id="{C5F87C7E-2CC5-4B17-8A48-16316C3996EB}"/>
            </a:ext>
          </a:extLst>
        </xdr:cNvPr>
        <xdr:cNvSpPr txBox="1"/>
      </xdr:nvSpPr>
      <xdr:spPr>
        <a:xfrm>
          <a:off x="4514850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356F9420-5C8D-4E36-9A1B-B58ECC192E4D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99635EB7-2C8D-44EA-910D-F13112BD5522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B5224CB1-A18F-4210-87E1-47B41D352ECD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9F05F67-9ED0-4F60-B5E5-AE71E319BE55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39</xdr:row>
      <xdr:rowOff>0</xdr:rowOff>
    </xdr:from>
    <xdr:ext cx="184731" cy="264560"/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1FC537A8-89B8-4123-9821-CF8BA180BC54}"/>
            </a:ext>
          </a:extLst>
        </xdr:cNvPr>
        <xdr:cNvSpPr txBox="1"/>
      </xdr:nvSpPr>
      <xdr:spPr>
        <a:xfrm>
          <a:off x="4514850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571500</xdr:colOff>
      <xdr:row>33</xdr:row>
      <xdr:rowOff>19051</xdr:rowOff>
    </xdr:from>
    <xdr:ext cx="3009900" cy="647700"/>
    <xdr:sp macro="" textlink="">
      <xdr:nvSpPr>
        <xdr:cNvPr id="20" name="CuadroTexto 5">
          <a:extLst>
            <a:ext uri="{FF2B5EF4-FFF2-40B4-BE49-F238E27FC236}">
              <a16:creationId xmlns:a16="http://schemas.microsoft.com/office/drawing/2014/main" id="{86827E0A-0A12-40F0-B9E4-74CB0B5C6FE7}"/>
            </a:ext>
          </a:extLst>
        </xdr:cNvPr>
        <xdr:cNvSpPr txBox="1"/>
      </xdr:nvSpPr>
      <xdr:spPr>
        <a:xfrm>
          <a:off x="571500" y="6305551"/>
          <a:ext cx="3009900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LEONOR LANDAVAZO GUTIERREZ</a:t>
          </a:r>
          <a:endParaRPr lang="es-MX">
            <a:effectLst/>
          </a:endParaRP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ADMINISTRATIVO</a:t>
          </a:r>
          <a:endParaRPr lang="es-MX">
            <a:effectLst/>
          </a:endParaRPr>
        </a:p>
      </xdr:txBody>
    </xdr:sp>
    <xdr:clientData/>
  </xdr:oneCellAnchor>
  <xdr:oneCellAnchor>
    <xdr:from>
      <xdr:col>2</xdr:col>
      <xdr:colOff>933450</xdr:colOff>
      <xdr:row>33</xdr:row>
      <xdr:rowOff>9525</xdr:rowOff>
    </xdr:from>
    <xdr:ext cx="2952750" cy="657226"/>
    <xdr:sp macro="" textlink="">
      <xdr:nvSpPr>
        <xdr:cNvPr id="21" name="CuadroTexto 5">
          <a:extLst>
            <a:ext uri="{FF2B5EF4-FFF2-40B4-BE49-F238E27FC236}">
              <a16:creationId xmlns:a16="http://schemas.microsoft.com/office/drawing/2014/main" id="{B468F6BE-5520-486C-8B4E-21108881ED9B}"/>
            </a:ext>
          </a:extLst>
        </xdr:cNvPr>
        <xdr:cNvSpPr txBox="1"/>
      </xdr:nvSpPr>
      <xdr:spPr>
        <a:xfrm>
          <a:off x="2257425" y="6296025"/>
          <a:ext cx="2952750" cy="657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ALBERTO MERINO DIAZ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DIRECTOR DE ADMINISTRACION Y FINANZAS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803413</xdr:colOff>
      <xdr:row>4</xdr:row>
      <xdr:rowOff>182217</xdr:rowOff>
    </xdr:from>
    <xdr:ext cx="2790824" cy="254557"/>
    <xdr:sp macro="" textlink="">
      <xdr:nvSpPr>
        <xdr:cNvPr id="22" name="31 CuadroTexto">
          <a:extLst>
            <a:ext uri="{FF2B5EF4-FFF2-40B4-BE49-F238E27FC236}">
              <a16:creationId xmlns:a16="http://schemas.microsoft.com/office/drawing/2014/main" id="{E26CB7FB-5005-4DD9-BE92-A5E33B617DE1}"/>
            </a:ext>
          </a:extLst>
        </xdr:cNvPr>
        <xdr:cNvSpPr txBox="1"/>
      </xdr:nvSpPr>
      <xdr:spPr>
        <a:xfrm>
          <a:off x="3013213" y="944217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685801</xdr:colOff>
      <xdr:row>0</xdr:row>
      <xdr:rowOff>19050</xdr:rowOff>
    </xdr:from>
    <xdr:ext cx="1228724" cy="26670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DC66D49B-105C-455C-B246-D46A379F70D6}"/>
            </a:ext>
          </a:extLst>
        </xdr:cNvPr>
        <xdr:cNvSpPr txBox="1"/>
      </xdr:nvSpPr>
      <xdr:spPr>
        <a:xfrm>
          <a:off x="4495801" y="19050"/>
          <a:ext cx="1228724" cy="266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ETCA-II-08</a:t>
          </a: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3200400" cy="662517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FFA5CAD8-D30C-4299-8F34-A02DE7DE6D96}"/>
            </a:ext>
          </a:extLst>
        </xdr:cNvPr>
        <xdr:cNvSpPr txBox="1"/>
      </xdr:nvSpPr>
      <xdr:spPr>
        <a:xfrm>
          <a:off x="0" y="6667500"/>
          <a:ext cx="32004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/>
            <a:t>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LEONOR LANDAVAZO GUTIERREZ</a:t>
          </a:r>
          <a:endParaRPr lang="es-MX" sz="1200">
            <a:effectLst/>
          </a:endParaRP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ADMINISTRATIVO</a:t>
          </a:r>
          <a:endParaRPr lang="es-MX" sz="1200">
            <a:effectLst/>
          </a:endParaRPr>
        </a:p>
      </xdr:txBody>
    </xdr:sp>
    <xdr:clientData/>
  </xdr:oneCellAnchor>
  <xdr:oneCellAnchor>
    <xdr:from>
      <xdr:col>3</xdr:col>
      <xdr:colOff>0</xdr:colOff>
      <xdr:row>35</xdr:row>
      <xdr:rowOff>0</xdr:rowOff>
    </xdr:from>
    <xdr:ext cx="3305175" cy="662517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E397608-DDB0-4EE3-8DCD-DD55558E8863}"/>
            </a:ext>
          </a:extLst>
        </xdr:cNvPr>
        <xdr:cNvSpPr txBox="1"/>
      </xdr:nvSpPr>
      <xdr:spPr>
        <a:xfrm>
          <a:off x="2286000" y="6667500"/>
          <a:ext cx="330517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/>
            <a:t>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ALBERTO MERINO DIAZ</a:t>
          </a:r>
          <a:endParaRPr lang="es-MX" sz="1200">
            <a:effectLst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DIRECTOR DE ADMINISTRACION Y FINANZAS</a:t>
          </a:r>
          <a:endParaRPr lang="es-MX" sz="1200">
            <a:effectLst/>
          </a:endParaRPr>
        </a:p>
      </xdr:txBody>
    </xdr:sp>
    <xdr:clientData/>
  </xdr:oneCellAnchor>
  <xdr:oneCellAnchor>
    <xdr:from>
      <xdr:col>3</xdr:col>
      <xdr:colOff>762000</xdr:colOff>
      <xdr:row>4</xdr:row>
      <xdr:rowOff>114300</xdr:rowOff>
    </xdr:from>
    <xdr:ext cx="2790824" cy="254557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5DBFD2A5-C7D7-407F-B8D6-77EBF0D3BD37}"/>
            </a:ext>
          </a:extLst>
        </xdr:cNvPr>
        <xdr:cNvSpPr txBox="1"/>
      </xdr:nvSpPr>
      <xdr:spPr>
        <a:xfrm>
          <a:off x="3048000" y="87630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B9C423C4-61A5-4630-9161-8427630ADC74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537A50BA-2197-4B73-B5FF-9218B801644F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CDDD03A0-34EB-40E4-8D29-FCEB52E3D4D3}"/>
            </a:ext>
          </a:extLst>
        </xdr:cNvPr>
        <xdr:cNvSpPr txBox="1"/>
      </xdr:nvSpPr>
      <xdr:spPr>
        <a:xfrm>
          <a:off x="752475" y="381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BC57D61E-9156-49C8-95E6-706EBC69AE72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35A83659-3092-4FC1-8190-FDCCA7FDDE4E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38498629-F343-46DC-9C8F-742BF9EDEA2C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8" name="4 CuadroTexto">
          <a:extLst>
            <a:ext uri="{FF2B5EF4-FFF2-40B4-BE49-F238E27FC236}">
              <a16:creationId xmlns:a16="http://schemas.microsoft.com/office/drawing/2014/main" id="{E4C0C4E2-1325-4CFC-92D4-B19A478E6EB8}"/>
            </a:ext>
          </a:extLst>
        </xdr:cNvPr>
        <xdr:cNvSpPr txBox="1"/>
      </xdr:nvSpPr>
      <xdr:spPr>
        <a:xfrm>
          <a:off x="45148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301073</xdr:colOff>
      <xdr:row>0</xdr:row>
      <xdr:rowOff>16566</xdr:rowOff>
    </xdr:from>
    <xdr:ext cx="1478446" cy="254557"/>
    <xdr:sp macro="" textlink="">
      <xdr:nvSpPr>
        <xdr:cNvPr id="9" name="11 CuadroTexto">
          <a:extLst>
            <a:ext uri="{FF2B5EF4-FFF2-40B4-BE49-F238E27FC236}">
              <a16:creationId xmlns:a16="http://schemas.microsoft.com/office/drawing/2014/main" id="{3A13B2B8-DB9B-436A-9247-42665E49C008}"/>
            </a:ext>
          </a:extLst>
        </xdr:cNvPr>
        <xdr:cNvSpPr txBox="1"/>
      </xdr:nvSpPr>
      <xdr:spPr>
        <a:xfrm>
          <a:off x="4063448" y="16566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ETCA-II-09</a:t>
          </a:r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4A678964-8330-47DD-B14E-E20AFC063B92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9D291EEF-5183-4E77-A7A9-160DA03F4006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45BD224E-D609-4D57-9690-8B4B7803E297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</xdr:row>
      <xdr:rowOff>142875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A19254E6-7E75-4453-B898-9216AFA6BC17}"/>
            </a:ext>
          </a:extLst>
        </xdr:cNvPr>
        <xdr:cNvSpPr txBox="1"/>
      </xdr:nvSpPr>
      <xdr:spPr>
        <a:xfrm>
          <a:off x="0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0</xdr:colOff>
      <xdr:row>4</xdr:row>
      <xdr:rowOff>142875</xdr:rowOff>
    </xdr:from>
    <xdr:ext cx="184731" cy="264560"/>
    <xdr:sp macro="" textlink="">
      <xdr:nvSpPr>
        <xdr:cNvPr id="14" name="4 CuadroTexto">
          <a:extLst>
            <a:ext uri="{FF2B5EF4-FFF2-40B4-BE49-F238E27FC236}">
              <a16:creationId xmlns:a16="http://schemas.microsoft.com/office/drawing/2014/main" id="{A843B854-B641-41E2-98AF-BEB0407288DB}"/>
            </a:ext>
          </a:extLst>
        </xdr:cNvPr>
        <xdr:cNvSpPr txBox="1"/>
      </xdr:nvSpPr>
      <xdr:spPr>
        <a:xfrm>
          <a:off x="3762375" y="90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5B4068FE-D5D7-4749-B164-AB0884A24CF6}"/>
            </a:ext>
          </a:extLst>
        </xdr:cNvPr>
        <xdr:cNvSpPr txBox="1"/>
      </xdr:nvSpPr>
      <xdr:spPr>
        <a:xfrm>
          <a:off x="752475" y="381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38D7C925-0500-4633-B44E-DE41243841AC}"/>
            </a:ext>
          </a:extLst>
        </xdr:cNvPr>
        <xdr:cNvSpPr txBox="1"/>
      </xdr:nvSpPr>
      <xdr:spPr>
        <a:xfrm>
          <a:off x="752475" y="381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F0D7DC3F-A22F-4C4A-B7BC-B30A042DEC9A}"/>
            </a:ext>
          </a:extLst>
        </xdr:cNvPr>
        <xdr:cNvSpPr txBox="1"/>
      </xdr:nvSpPr>
      <xdr:spPr>
        <a:xfrm>
          <a:off x="752475" y="381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6F81275D-7E85-47C2-B945-19164F62FFF3}"/>
            </a:ext>
          </a:extLst>
        </xdr:cNvPr>
        <xdr:cNvSpPr txBox="1"/>
      </xdr:nvSpPr>
      <xdr:spPr>
        <a:xfrm>
          <a:off x="752475" y="381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20</xdr:row>
      <xdr:rowOff>0</xdr:rowOff>
    </xdr:from>
    <xdr:ext cx="184731" cy="264560"/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F08CF2DE-61E7-4295-B5A8-7BC39C511F48}"/>
            </a:ext>
          </a:extLst>
        </xdr:cNvPr>
        <xdr:cNvSpPr txBox="1"/>
      </xdr:nvSpPr>
      <xdr:spPr>
        <a:xfrm>
          <a:off x="4514850" y="381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3019425" cy="662517"/>
    <xdr:sp macro="" textlink="">
      <xdr:nvSpPr>
        <xdr:cNvPr id="20" name="CuadroTexto 5">
          <a:extLst>
            <a:ext uri="{FF2B5EF4-FFF2-40B4-BE49-F238E27FC236}">
              <a16:creationId xmlns:a16="http://schemas.microsoft.com/office/drawing/2014/main" id="{94779CE3-2434-469B-8F5C-E963C27C6D3B}"/>
            </a:ext>
          </a:extLst>
        </xdr:cNvPr>
        <xdr:cNvSpPr txBox="1"/>
      </xdr:nvSpPr>
      <xdr:spPr>
        <a:xfrm>
          <a:off x="0" y="3429000"/>
          <a:ext cx="301942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LEONOR LANDAVAZO GUTIERREZ</a:t>
          </a:r>
          <a:endParaRPr lang="es-MX">
            <a:effectLst/>
          </a:endParaRP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ADMINISTRATIVO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3019425" cy="662517"/>
    <xdr:sp macro="" textlink="">
      <xdr:nvSpPr>
        <xdr:cNvPr id="21" name="CuadroTexto 5">
          <a:extLst>
            <a:ext uri="{FF2B5EF4-FFF2-40B4-BE49-F238E27FC236}">
              <a16:creationId xmlns:a16="http://schemas.microsoft.com/office/drawing/2014/main" id="{B7ECE589-D8E1-4BAE-9793-490BC9F72EDD}"/>
            </a:ext>
          </a:extLst>
        </xdr:cNvPr>
        <xdr:cNvSpPr txBox="1"/>
      </xdr:nvSpPr>
      <xdr:spPr>
        <a:xfrm>
          <a:off x="2257425" y="3429000"/>
          <a:ext cx="301942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ALBERTO MERINO DIAZ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DIRECTOR DE ADMINISTRACION Y FINANZAS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809625</xdr:colOff>
      <xdr:row>4</xdr:row>
      <xdr:rowOff>95250</xdr:rowOff>
    </xdr:from>
    <xdr:ext cx="2790824" cy="254557"/>
    <xdr:sp macro="" textlink="">
      <xdr:nvSpPr>
        <xdr:cNvPr id="22" name="22 CuadroTexto">
          <a:extLst>
            <a:ext uri="{FF2B5EF4-FFF2-40B4-BE49-F238E27FC236}">
              <a16:creationId xmlns:a16="http://schemas.microsoft.com/office/drawing/2014/main" id="{48FE64AA-8051-4925-AEA9-411658E1B0E1}"/>
            </a:ext>
          </a:extLst>
        </xdr:cNvPr>
        <xdr:cNvSpPr txBox="1"/>
      </xdr:nvSpPr>
      <xdr:spPr>
        <a:xfrm>
          <a:off x="3009900" y="85725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PRIMERO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ria.lugo\Desktop\Cuenta%20publica\CEA\2019\2019\2019\1T\CTA%201T%2019.xlsx" TargetMode="External"/><Relationship Id="rId1" Type="http://schemas.openxmlformats.org/officeDocument/2006/relationships/externalLinkPath" Target="CTA%201T%2019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ria.lugo\Desktop\Cuenta%20publica\CEA\2019\2019\2019\1T\formatos%20ETCA%201er-TRIMESTRE-2019-evaluaciones-trimestrales%204%20CORREGIDO.xlsx" TargetMode="External"/><Relationship Id="rId1" Type="http://schemas.openxmlformats.org/officeDocument/2006/relationships/externalLinkPath" Target="formatos%20ETCA%201er-TRIMESTRE-2019-evaluaciones-trimestrales%204%20CORREGI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merica%20Encinas\AppData\Roaming\Microsoft\Excel\PT%20Gastos%20x%20partida%20ppt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rica%20Encinas/AppData/Roaming/Microsoft/Excel/PT%20Gastos%20x%20partida%20pp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-01"/>
      <sheetName val="ETCA-I-02"/>
      <sheetName val="ETCA-I-03"/>
      <sheetName val="ETCA-I-04"/>
      <sheetName val="ETCA-I-05"/>
      <sheetName val="ETCA-I-06"/>
      <sheetName val="ETCA-I-07"/>
      <sheetName val="ETCA-I-08"/>
      <sheetName val="ETCA-I-09"/>
      <sheetName val="ETCA-I-10"/>
      <sheetName val="ETCA-I-11"/>
      <sheetName val="ETCA-I-12 (NOTAS)"/>
    </sheetNames>
    <sheetDataSet>
      <sheetData sheetId="0">
        <row r="3">
          <cell r="A3" t="str">
            <v>Comision Estatal del Agua</v>
          </cell>
        </row>
        <row r="4">
          <cell r="A4" t="str">
            <v>Al 31 de Marzo de 2019</v>
          </cell>
        </row>
      </sheetData>
      <sheetData sheetId="1">
        <row r="11">
          <cell r="B11">
            <v>46073812.939999998</v>
          </cell>
        </row>
      </sheetData>
      <sheetData sheetId="2">
        <row r="4">
          <cell r="A4" t="str">
            <v>Del 01 de Enero al 31 de Marzo de 2019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150828569.58000001</v>
          </cell>
        </row>
        <row r="53">
          <cell r="C53">
            <v>1947735.9</v>
          </cell>
        </row>
        <row r="62">
          <cell r="C62">
            <v>131492402.13000001</v>
          </cell>
        </row>
      </sheetData>
      <sheetData sheetId="3"/>
      <sheetData sheetId="4" refreshError="1"/>
      <sheetData sheetId="5"/>
      <sheetData sheetId="6"/>
      <sheetData sheetId="7"/>
      <sheetData sheetId="8"/>
      <sheetData sheetId="9">
        <row r="4">
          <cell r="A4" t="str">
            <v>Del 01 de Enero al 31 de Marzo de 2019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a  FORMATOS  "/>
      <sheetName val="ETCA-III-01"/>
      <sheetName val="ETCA-III-03"/>
      <sheetName val="ETCA-III-04"/>
      <sheetName val="ETCA-III-05"/>
      <sheetName val="ETCA-IV-01"/>
      <sheetName val="ETCA-IV-02"/>
      <sheetName val="ETCA-IV-03"/>
      <sheetName val="ETCA-IV-04"/>
      <sheetName val="ANEXO A"/>
      <sheetName val="ANEXO B"/>
      <sheetName val="ANEXO 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CF6A2-4080-4702-B327-E85B7BC62C2F}">
  <sheetPr>
    <tabColor theme="0" tint="-0.249977111117893"/>
  </sheetPr>
  <dimension ref="A1:H58"/>
  <sheetViews>
    <sheetView tabSelected="1" view="pageBreakPreview" topLeftCell="A4" zoomScaleNormal="100" zoomScaleSheetLayoutView="100" workbookViewId="0">
      <selection activeCell="O24" sqref="O24"/>
    </sheetView>
  </sheetViews>
  <sheetFormatPr baseColWidth="10" defaultColWidth="11.28515625" defaultRowHeight="16.5" x14ac:dyDescent="0.25"/>
  <cols>
    <col min="1" max="1" width="1.140625" style="2" customWidth="1"/>
    <col min="2" max="2" width="31.7109375" style="2" customWidth="1"/>
    <col min="3" max="4" width="14.28515625" style="1" customWidth="1"/>
    <col min="5" max="5" width="13.140625" style="1" customWidth="1"/>
    <col min="6" max="6" width="14" style="1" customWidth="1"/>
    <col min="7" max="7" width="15" style="1" customWidth="1"/>
    <col min="8" max="8" width="14.28515625" style="1" customWidth="1"/>
    <col min="9" max="16384" width="11.28515625" style="1"/>
  </cols>
  <sheetData>
    <row r="1" spans="1:8" x14ac:dyDescent="0.25">
      <c r="A1" s="106" t="s">
        <v>42</v>
      </c>
      <c r="B1" s="106"/>
      <c r="C1" s="106"/>
      <c r="D1" s="106"/>
      <c r="E1" s="106"/>
      <c r="F1" s="106"/>
      <c r="G1" s="106"/>
      <c r="H1" s="106"/>
    </row>
    <row r="2" spans="1:8" s="103" customFormat="1" ht="15.75" x14ac:dyDescent="0.25">
      <c r="A2" s="106" t="s">
        <v>41</v>
      </c>
      <c r="B2" s="106"/>
      <c r="C2" s="106"/>
      <c r="D2" s="106"/>
      <c r="E2" s="106"/>
      <c r="F2" s="106"/>
      <c r="G2" s="106"/>
      <c r="H2" s="106"/>
    </row>
    <row r="3" spans="1:8" s="103" customFormat="1" ht="15.75" x14ac:dyDescent="0.25">
      <c r="A3" s="105" t="str">
        <f>'[1]ETCA-I-01'!A3:G3</f>
        <v>Comision Estatal del Agua</v>
      </c>
      <c r="B3" s="105"/>
      <c r="C3" s="105"/>
      <c r="D3" s="105"/>
      <c r="E3" s="105"/>
      <c r="F3" s="105"/>
      <c r="G3" s="105"/>
      <c r="H3" s="105"/>
    </row>
    <row r="4" spans="1:8" s="103" customFormat="1" x14ac:dyDescent="0.25">
      <c r="A4" s="104" t="str">
        <f>'[1]ETCA-I-03'!A4:D4</f>
        <v>Del 01 de Enero al 31 de Marzo de 2019</v>
      </c>
      <c r="B4" s="104"/>
      <c r="C4" s="104"/>
      <c r="D4" s="104"/>
      <c r="E4" s="104"/>
      <c r="F4" s="104"/>
      <c r="G4" s="104"/>
      <c r="H4" s="104"/>
    </row>
    <row r="5" spans="1:8" s="26" customFormat="1" ht="17.25" thickBot="1" x14ac:dyDescent="0.3">
      <c r="A5" s="102"/>
      <c r="B5" s="102"/>
      <c r="C5" s="101" t="s">
        <v>40</v>
      </c>
      <c r="D5" s="101"/>
      <c r="E5" s="101"/>
      <c r="F5" s="101"/>
      <c r="G5" s="100"/>
      <c r="H5" s="99"/>
    </row>
    <row r="6" spans="1:8" s="54" customFormat="1" ht="17.25" thickBot="1" x14ac:dyDescent="0.3">
      <c r="A6" s="98" t="s">
        <v>39</v>
      </c>
      <c r="B6" s="97"/>
      <c r="C6" s="67" t="s">
        <v>33</v>
      </c>
      <c r="D6" s="66"/>
      <c r="E6" s="66"/>
      <c r="F6" s="66"/>
      <c r="G6" s="65"/>
      <c r="H6" s="64"/>
    </row>
    <row r="7" spans="1:8" s="54" customFormat="1" ht="39" thickBot="1" x14ac:dyDescent="0.3">
      <c r="A7" s="96"/>
      <c r="B7" s="95"/>
      <c r="C7" s="61" t="s">
        <v>32</v>
      </c>
      <c r="D7" s="61" t="s">
        <v>31</v>
      </c>
      <c r="E7" s="61" t="s">
        <v>30</v>
      </c>
      <c r="F7" s="60" t="s">
        <v>29</v>
      </c>
      <c r="G7" s="60" t="s">
        <v>28</v>
      </c>
      <c r="H7" s="59" t="s">
        <v>27</v>
      </c>
    </row>
    <row r="8" spans="1:8" s="54" customFormat="1" ht="17.25" thickBot="1" x14ac:dyDescent="0.3">
      <c r="A8" s="94"/>
      <c r="B8" s="93"/>
      <c r="C8" s="55" t="s">
        <v>26</v>
      </c>
      <c r="D8" s="55" t="s">
        <v>25</v>
      </c>
      <c r="E8" s="55" t="s">
        <v>24</v>
      </c>
      <c r="F8" s="56" t="s">
        <v>23</v>
      </c>
      <c r="G8" s="56" t="s">
        <v>22</v>
      </c>
      <c r="H8" s="55" t="s">
        <v>21</v>
      </c>
    </row>
    <row r="9" spans="1:8" s="54" customFormat="1" ht="8.25" customHeight="1" x14ac:dyDescent="0.25">
      <c r="A9" s="92"/>
      <c r="B9" s="11"/>
      <c r="C9" s="91"/>
      <c r="D9" s="91"/>
      <c r="E9" s="90"/>
      <c r="F9" s="91"/>
      <c r="G9" s="91"/>
      <c r="H9" s="90"/>
    </row>
    <row r="10" spans="1:8" ht="17.100000000000001" customHeight="1" x14ac:dyDescent="0.25">
      <c r="A10" s="88"/>
      <c r="B10" s="87" t="s">
        <v>38</v>
      </c>
      <c r="C10" s="86"/>
      <c r="D10" s="86"/>
      <c r="E10" s="85">
        <f>C10+D10</f>
        <v>0</v>
      </c>
      <c r="F10" s="86"/>
      <c r="G10" s="86"/>
      <c r="H10" s="85">
        <f>G10-C10</f>
        <v>0</v>
      </c>
    </row>
    <row r="11" spans="1:8" ht="17.100000000000001" customHeight="1" x14ac:dyDescent="0.25">
      <c r="A11" s="88"/>
      <c r="B11" s="87" t="s">
        <v>12</v>
      </c>
      <c r="C11" s="86">
        <v>0</v>
      </c>
      <c r="D11" s="86">
        <v>0</v>
      </c>
      <c r="E11" s="85">
        <f>C11+D11</f>
        <v>0</v>
      </c>
      <c r="F11" s="86">
        <v>0</v>
      </c>
      <c r="G11" s="86">
        <v>0</v>
      </c>
      <c r="H11" s="85">
        <f>G11-C11</f>
        <v>0</v>
      </c>
    </row>
    <row r="12" spans="1:8" ht="17.100000000000001" customHeight="1" x14ac:dyDescent="0.25">
      <c r="A12" s="88"/>
      <c r="B12" s="87" t="s">
        <v>18</v>
      </c>
      <c r="C12" s="86">
        <v>0</v>
      </c>
      <c r="D12" s="86"/>
      <c r="E12" s="85">
        <f>C12+D12</f>
        <v>0</v>
      </c>
      <c r="F12" s="86"/>
      <c r="G12" s="86"/>
      <c r="H12" s="85">
        <f>G12-C12</f>
        <v>0</v>
      </c>
    </row>
    <row r="13" spans="1:8" ht="17.100000000000001" customHeight="1" x14ac:dyDescent="0.25">
      <c r="A13" s="88"/>
      <c r="B13" s="87" t="s">
        <v>17</v>
      </c>
      <c r="C13" s="86">
        <v>0</v>
      </c>
      <c r="D13" s="86"/>
      <c r="E13" s="85">
        <f>C13+D13</f>
        <v>0</v>
      </c>
      <c r="F13" s="86"/>
      <c r="G13" s="86"/>
      <c r="H13" s="85">
        <f>G13-C13</f>
        <v>0</v>
      </c>
    </row>
    <row r="14" spans="1:8" ht="17.100000000000001" customHeight="1" x14ac:dyDescent="0.25">
      <c r="A14" s="88"/>
      <c r="B14" s="87" t="s">
        <v>37</v>
      </c>
      <c r="C14" s="86">
        <v>0</v>
      </c>
      <c r="D14" s="86"/>
      <c r="E14" s="85">
        <f>C14+D14</f>
        <v>0</v>
      </c>
      <c r="F14" s="86"/>
      <c r="G14" s="89"/>
      <c r="H14" s="85">
        <f>G14-C14</f>
        <v>0</v>
      </c>
    </row>
    <row r="15" spans="1:8" ht="17.100000000000001" customHeight="1" x14ac:dyDescent="0.25">
      <c r="A15" s="88"/>
      <c r="B15" s="87" t="s">
        <v>36</v>
      </c>
      <c r="C15" s="86">
        <v>0</v>
      </c>
      <c r="D15" s="86"/>
      <c r="E15" s="85">
        <f>C15+D15</f>
        <v>0</v>
      </c>
      <c r="F15" s="86"/>
      <c r="G15" s="86"/>
      <c r="H15" s="85">
        <f>G15-C15</f>
        <v>0</v>
      </c>
    </row>
    <row r="16" spans="1:8" ht="29.25" customHeight="1" x14ac:dyDescent="0.25">
      <c r="A16" s="88"/>
      <c r="B16" s="87" t="s">
        <v>35</v>
      </c>
      <c r="C16" s="86">
        <v>247188231</v>
      </c>
      <c r="D16" s="86">
        <v>63159914.5</v>
      </c>
      <c r="E16" s="85">
        <f>C16+D16</f>
        <v>310348145.5</v>
      </c>
      <c r="F16" s="86">
        <v>108413053.13</v>
      </c>
      <c r="G16" s="86">
        <v>108413053.13</v>
      </c>
      <c r="H16" s="85">
        <f>G16-C16</f>
        <v>-138775177.87</v>
      </c>
    </row>
    <row r="17" spans="1:8" ht="55.5" customHeight="1" x14ac:dyDescent="0.25">
      <c r="A17" s="88"/>
      <c r="B17" s="87" t="s">
        <v>14</v>
      </c>
      <c r="C17" s="86"/>
      <c r="D17" s="86"/>
      <c r="E17" s="85">
        <f>C17+D17</f>
        <v>0</v>
      </c>
      <c r="F17" s="86"/>
      <c r="G17" s="86"/>
      <c r="H17" s="85">
        <f>G17-C17</f>
        <v>0</v>
      </c>
    </row>
    <row r="18" spans="1:8" ht="25.5" x14ac:dyDescent="0.25">
      <c r="A18" s="88"/>
      <c r="B18" s="87" t="s">
        <v>9</v>
      </c>
      <c r="C18" s="86">
        <v>376375000.99109751</v>
      </c>
      <c r="D18" s="86">
        <v>23491819.740000002</v>
      </c>
      <c r="E18" s="85">
        <f>C18+D18</f>
        <v>399866820.73109752</v>
      </c>
      <c r="F18" s="86">
        <v>76072905.430000007</v>
      </c>
      <c r="G18" s="86">
        <v>76072905.430000007</v>
      </c>
      <c r="H18" s="85">
        <f>G18-C18</f>
        <v>-300302095.5610975</v>
      </c>
    </row>
    <row r="19" spans="1:8" ht="17.100000000000001" customHeight="1" thickBot="1" x14ac:dyDescent="0.3">
      <c r="A19" s="84"/>
      <c r="B19" s="83" t="s">
        <v>7</v>
      </c>
      <c r="C19" s="82"/>
      <c r="D19" s="82"/>
      <c r="E19" s="81">
        <f>C19+D19</f>
        <v>0</v>
      </c>
      <c r="F19" s="82"/>
      <c r="G19" s="82"/>
      <c r="H19" s="81">
        <f>G19-C19</f>
        <v>0</v>
      </c>
    </row>
    <row r="20" spans="1:8" s="77" customFormat="1" ht="28.5" customHeight="1" thickBot="1" x14ac:dyDescent="0.3">
      <c r="A20" s="80" t="s">
        <v>6</v>
      </c>
      <c r="B20" s="79"/>
      <c r="C20" s="78">
        <f>C10+C11+C12+C13+C14+C15+C16+C17+C18+C19</f>
        <v>623563231.99109745</v>
      </c>
      <c r="D20" s="78">
        <f>D10+D11+D12+D13+D14+D15+D16+D17+D18+D19</f>
        <v>86651734.24000001</v>
      </c>
      <c r="E20" s="78">
        <f>E10+E11+E12+E13+E14+E15+E16+E17+E18+E19</f>
        <v>710214966.23109746</v>
      </c>
      <c r="F20" s="78">
        <f>F10+F11+F12+F13+F14+F15+F16+F17+F18+F19</f>
        <v>184485958.56</v>
      </c>
      <c r="G20" s="78">
        <f>G10+G11+G12+G13+G14+G15+G16+G17+G18+G19</f>
        <v>184485958.56</v>
      </c>
      <c r="H20" s="78">
        <f>G20-C20</f>
        <v>-439077273.43109745</v>
      </c>
    </row>
    <row r="21" spans="1:8" ht="22.5" customHeight="1" thickBot="1" x14ac:dyDescent="0.3">
      <c r="A21" s="22"/>
      <c r="B21" s="22"/>
      <c r="C21" s="76"/>
      <c r="D21" s="76"/>
      <c r="E21" s="76"/>
      <c r="F21" s="70"/>
      <c r="G21" s="75" t="s">
        <v>5</v>
      </c>
      <c r="H21" s="74" t="str">
        <f>IF(($G$20-$C$20)&lt;=0,"",$G$20-$C$20)</f>
        <v/>
      </c>
    </row>
    <row r="22" spans="1:8" ht="10.5" customHeight="1" thickBot="1" x14ac:dyDescent="0.3">
      <c r="A22" s="11"/>
      <c r="B22" s="11"/>
      <c r="C22" s="73"/>
      <c r="D22" s="73"/>
      <c r="E22" s="73"/>
      <c r="F22" s="72"/>
      <c r="G22" s="71"/>
      <c r="H22" s="70"/>
    </row>
    <row r="23" spans="1:8" s="54" customFormat="1" ht="17.25" thickBot="1" x14ac:dyDescent="0.3">
      <c r="A23" s="69" t="s">
        <v>34</v>
      </c>
      <c r="B23" s="68"/>
      <c r="C23" s="67" t="s">
        <v>33</v>
      </c>
      <c r="D23" s="66"/>
      <c r="E23" s="66"/>
      <c r="F23" s="66"/>
      <c r="G23" s="65"/>
      <c r="H23" s="64"/>
    </row>
    <row r="24" spans="1:8" s="54" customFormat="1" ht="39" thickBot="1" x14ac:dyDescent="0.3">
      <c r="A24" s="63"/>
      <c r="B24" s="62"/>
      <c r="C24" s="61" t="s">
        <v>32</v>
      </c>
      <c r="D24" s="61" t="s">
        <v>31</v>
      </c>
      <c r="E24" s="61" t="s">
        <v>30</v>
      </c>
      <c r="F24" s="60" t="s">
        <v>29</v>
      </c>
      <c r="G24" s="60" t="s">
        <v>28</v>
      </c>
      <c r="H24" s="59" t="s">
        <v>27</v>
      </c>
    </row>
    <row r="25" spans="1:8" s="54" customFormat="1" ht="17.25" thickBot="1" x14ac:dyDescent="0.3">
      <c r="A25" s="58"/>
      <c r="B25" s="57"/>
      <c r="C25" s="55" t="s">
        <v>26</v>
      </c>
      <c r="D25" s="55" t="s">
        <v>25</v>
      </c>
      <c r="E25" s="55" t="s">
        <v>24</v>
      </c>
      <c r="F25" s="56" t="s">
        <v>23</v>
      </c>
      <c r="G25" s="56" t="s">
        <v>22</v>
      </c>
      <c r="H25" s="55" t="s">
        <v>21</v>
      </c>
    </row>
    <row r="26" spans="1:8" s="26" customFormat="1" ht="48" customHeight="1" x14ac:dyDescent="0.25">
      <c r="A26" s="53" t="s">
        <v>20</v>
      </c>
      <c r="B26" s="52"/>
      <c r="C26" s="37">
        <f>SUM(C27,C28,C29,C30,C31,C32,C33,C34)</f>
        <v>0</v>
      </c>
      <c r="D26" s="37">
        <f>SUM(D27,D28,D29,D30,D31,D32,D33,D34)</f>
        <v>0</v>
      </c>
      <c r="E26" s="37">
        <f>SUM(E27,E28,E29,E30,E31,E32,E33,E34)</f>
        <v>0</v>
      </c>
      <c r="F26" s="37">
        <f>SUM(F27,F28,F29,F30,F31,F32,F33,F34)</f>
        <v>0</v>
      </c>
      <c r="G26" s="37">
        <f>SUM(G27,G28,G29,G30,G31,G32,G33,G34)</f>
        <v>0</v>
      </c>
      <c r="H26" s="37">
        <f>SUM(H27,H28,H29,H30,H31,H32,H33,H34)</f>
        <v>0</v>
      </c>
    </row>
    <row r="27" spans="1:8" s="26" customFormat="1" ht="17.100000000000001" customHeight="1" x14ac:dyDescent="0.25">
      <c r="A27" s="51" t="s">
        <v>19</v>
      </c>
      <c r="B27" s="50"/>
      <c r="C27" s="33">
        <v>0</v>
      </c>
      <c r="D27" s="33">
        <v>0</v>
      </c>
      <c r="E27" s="34">
        <f>C27+D27</f>
        <v>0</v>
      </c>
      <c r="F27" s="33">
        <v>0</v>
      </c>
      <c r="G27" s="33">
        <v>0</v>
      </c>
      <c r="H27" s="32">
        <f>G27-C27</f>
        <v>0</v>
      </c>
    </row>
    <row r="28" spans="1:8" s="26" customFormat="1" ht="17.100000000000001" customHeight="1" x14ac:dyDescent="0.25">
      <c r="A28" s="51"/>
      <c r="B28" s="39" t="s">
        <v>12</v>
      </c>
      <c r="C28" s="33"/>
      <c r="D28" s="33"/>
      <c r="E28" s="34"/>
      <c r="F28" s="33"/>
      <c r="G28" s="33"/>
      <c r="H28" s="32"/>
    </row>
    <row r="29" spans="1:8" s="26" customFormat="1" ht="17.100000000000001" customHeight="1" x14ac:dyDescent="0.25">
      <c r="A29" s="51" t="s">
        <v>18</v>
      </c>
      <c r="B29" s="50"/>
      <c r="C29" s="33"/>
      <c r="D29" s="33"/>
      <c r="E29" s="34">
        <f>C29+D29</f>
        <v>0</v>
      </c>
      <c r="F29" s="33"/>
      <c r="G29" s="33"/>
      <c r="H29" s="32">
        <f>G29-C29</f>
        <v>0</v>
      </c>
    </row>
    <row r="30" spans="1:8" s="26" customFormat="1" x14ac:dyDescent="0.25">
      <c r="A30" s="46" t="s">
        <v>17</v>
      </c>
      <c r="B30" s="45"/>
      <c r="C30" s="33"/>
      <c r="D30" s="33"/>
      <c r="E30" s="34">
        <f>C30+D30</f>
        <v>0</v>
      </c>
      <c r="F30" s="33"/>
      <c r="G30" s="33"/>
      <c r="H30" s="32">
        <f>G30-C30</f>
        <v>0</v>
      </c>
    </row>
    <row r="31" spans="1:8" s="26" customFormat="1" ht="17.100000000000001" customHeight="1" x14ac:dyDescent="0.25">
      <c r="A31" s="46" t="s">
        <v>11</v>
      </c>
      <c r="B31" s="45"/>
      <c r="C31" s="33"/>
      <c r="D31" s="33"/>
      <c r="E31" s="34">
        <f>C31+D31</f>
        <v>0</v>
      </c>
      <c r="F31" s="33"/>
      <c r="G31" s="33"/>
      <c r="H31" s="32">
        <f>G31-C31</f>
        <v>0</v>
      </c>
    </row>
    <row r="32" spans="1:8" ht="17.100000000000001" customHeight="1" x14ac:dyDescent="0.25">
      <c r="A32" s="46" t="s">
        <v>16</v>
      </c>
      <c r="B32" s="45" t="s">
        <v>15</v>
      </c>
      <c r="C32" s="49"/>
      <c r="D32" s="49"/>
      <c r="E32" s="34">
        <f>C32+D32</f>
        <v>0</v>
      </c>
      <c r="F32" s="49"/>
      <c r="G32" s="49"/>
      <c r="H32" s="32">
        <f>G32-C32</f>
        <v>0</v>
      </c>
    </row>
    <row r="33" spans="1:8" s="26" customFormat="1" ht="51" customHeight="1" x14ac:dyDescent="0.25">
      <c r="A33" s="48"/>
      <c r="B33" s="47" t="s">
        <v>14</v>
      </c>
      <c r="C33" s="33"/>
      <c r="D33" s="33"/>
      <c r="E33" s="34">
        <f>C33+D33</f>
        <v>0</v>
      </c>
      <c r="F33" s="33"/>
      <c r="G33" s="33"/>
      <c r="H33" s="32">
        <f>G33-C33</f>
        <v>0</v>
      </c>
    </row>
    <row r="34" spans="1:8" s="26" customFormat="1" ht="27.75" customHeight="1" x14ac:dyDescent="0.25">
      <c r="A34" s="46" t="s">
        <v>9</v>
      </c>
      <c r="B34" s="45"/>
      <c r="C34" s="33"/>
      <c r="D34" s="33"/>
      <c r="E34" s="34">
        <f>C34+D34</f>
        <v>0</v>
      </c>
      <c r="F34" s="33"/>
      <c r="G34" s="33"/>
      <c r="H34" s="32">
        <f>G34-C34</f>
        <v>0</v>
      </c>
    </row>
    <row r="35" spans="1:8" s="26" customFormat="1" ht="8.25" customHeight="1" x14ac:dyDescent="0.25">
      <c r="A35" s="36"/>
      <c r="B35" s="38"/>
      <c r="C35" s="33"/>
      <c r="D35" s="33"/>
      <c r="E35" s="34"/>
      <c r="F35" s="33"/>
      <c r="G35" s="33"/>
      <c r="H35" s="32"/>
    </row>
    <row r="36" spans="1:8" s="26" customFormat="1" ht="66.75" customHeight="1" x14ac:dyDescent="0.25">
      <c r="A36" s="44" t="s">
        <v>13</v>
      </c>
      <c r="B36" s="43"/>
      <c r="C36" s="37">
        <f>SUM(C37:C40)</f>
        <v>623563231.99109745</v>
      </c>
      <c r="D36" s="37">
        <f>SUM(D37:D40)</f>
        <v>86651734.24000001</v>
      </c>
      <c r="E36" s="37">
        <f>SUM(E37:E40)</f>
        <v>710214966.23109746</v>
      </c>
      <c r="F36" s="37">
        <f>SUM(F37:F40)</f>
        <v>184485958.56</v>
      </c>
      <c r="G36" s="37">
        <f>SUM(G37:G40)</f>
        <v>184485958.56</v>
      </c>
      <c r="H36" s="37">
        <f>SUM(H37:H40)</f>
        <v>-439077273.43109751</v>
      </c>
    </row>
    <row r="37" spans="1:8" s="26" customFormat="1" ht="17.100000000000001" customHeight="1" x14ac:dyDescent="0.25">
      <c r="A37" s="40"/>
      <c r="B37" s="39" t="s">
        <v>12</v>
      </c>
      <c r="C37" s="33">
        <v>0</v>
      </c>
      <c r="D37" s="33"/>
      <c r="E37" s="34">
        <f>C37+D37</f>
        <v>0</v>
      </c>
      <c r="F37" s="33"/>
      <c r="G37" s="33"/>
      <c r="H37" s="32">
        <f>G37-C37</f>
        <v>0</v>
      </c>
    </row>
    <row r="38" spans="1:8" s="26" customFormat="1" ht="17.100000000000001" customHeight="1" x14ac:dyDescent="0.25">
      <c r="A38" s="40"/>
      <c r="B38" s="39" t="s">
        <v>11</v>
      </c>
      <c r="C38" s="33">
        <v>0</v>
      </c>
      <c r="D38" s="33"/>
      <c r="E38" s="34"/>
      <c r="F38" s="33"/>
      <c r="G38" s="33"/>
      <c r="H38" s="32"/>
    </row>
    <row r="39" spans="1:8" s="26" customFormat="1" ht="30.75" customHeight="1" x14ac:dyDescent="0.25">
      <c r="A39" s="40"/>
      <c r="B39" s="42" t="s">
        <v>10</v>
      </c>
      <c r="C39" s="33">
        <v>247188231</v>
      </c>
      <c r="D39" s="33">
        <v>63159914.5</v>
      </c>
      <c r="E39" s="34">
        <f>C39+D39</f>
        <v>310348145.5</v>
      </c>
      <c r="F39" s="33">
        <v>108413053.13</v>
      </c>
      <c r="G39" s="33">
        <v>108413053.13</v>
      </c>
      <c r="H39" s="32">
        <f>G39-C39</f>
        <v>-138775177.87</v>
      </c>
    </row>
    <row r="40" spans="1:8" s="26" customFormat="1" ht="29.25" customHeight="1" x14ac:dyDescent="0.25">
      <c r="A40" s="40"/>
      <c r="B40" s="41" t="s">
        <v>9</v>
      </c>
      <c r="C40" s="33">
        <v>376375000.99109751</v>
      </c>
      <c r="D40" s="33">
        <v>23491819.740000002</v>
      </c>
      <c r="E40" s="34">
        <f>C40+D40</f>
        <v>399866820.73109752</v>
      </c>
      <c r="F40" s="33">
        <v>76072905.430000007</v>
      </c>
      <c r="G40" s="33">
        <v>76072905.430000007</v>
      </c>
      <c r="H40" s="32">
        <f>G40-C40</f>
        <v>-300302095.5610975</v>
      </c>
    </row>
    <row r="41" spans="1:8" s="26" customFormat="1" ht="6" customHeight="1" x14ac:dyDescent="0.25">
      <c r="A41" s="40"/>
      <c r="B41" s="39"/>
      <c r="C41" s="33"/>
      <c r="D41" s="33"/>
      <c r="E41" s="34"/>
      <c r="F41" s="33"/>
      <c r="G41" s="33"/>
      <c r="H41" s="32"/>
    </row>
    <row r="42" spans="1:8" s="26" customFormat="1" ht="17.100000000000001" customHeight="1" x14ac:dyDescent="0.25">
      <c r="A42" s="36" t="s">
        <v>8</v>
      </c>
      <c r="B42" s="38"/>
      <c r="C42" s="37">
        <f>C43</f>
        <v>0</v>
      </c>
      <c r="D42" s="37">
        <f>D43</f>
        <v>0</v>
      </c>
      <c r="E42" s="37">
        <f>E43</f>
        <v>0</v>
      </c>
      <c r="F42" s="37">
        <f>F43</f>
        <v>0</v>
      </c>
      <c r="G42" s="37">
        <f>G43</f>
        <v>0</v>
      </c>
      <c r="H42" s="37">
        <f>H43</f>
        <v>0</v>
      </c>
    </row>
    <row r="43" spans="1:8" s="26" customFormat="1" ht="17.100000000000001" customHeight="1" x14ac:dyDescent="0.25">
      <c r="A43" s="36"/>
      <c r="B43" s="35" t="s">
        <v>7</v>
      </c>
      <c r="C43" s="33">
        <v>0</v>
      </c>
      <c r="D43" s="33"/>
      <c r="E43" s="34">
        <f>C43+D43</f>
        <v>0</v>
      </c>
      <c r="F43" s="33"/>
      <c r="G43" s="33"/>
      <c r="H43" s="32">
        <f>G43-C43</f>
        <v>0</v>
      </c>
    </row>
    <row r="44" spans="1:8" s="26" customFormat="1" ht="12.75" customHeight="1" thickBot="1" x14ac:dyDescent="0.3">
      <c r="A44" s="31"/>
      <c r="B44" s="30"/>
      <c r="C44" s="28"/>
      <c r="D44" s="28"/>
      <c r="E44" s="29"/>
      <c r="F44" s="28"/>
      <c r="G44" s="28"/>
      <c r="H44" s="27"/>
    </row>
    <row r="45" spans="1:8" ht="21.75" customHeight="1" thickBot="1" x14ac:dyDescent="0.3">
      <c r="A45" s="25" t="s">
        <v>6</v>
      </c>
      <c r="B45" s="24"/>
      <c r="C45" s="23">
        <f>C26+C36+C42</f>
        <v>623563231.99109745</v>
      </c>
      <c r="D45" s="23">
        <f>D26+D36+D42</f>
        <v>86651734.24000001</v>
      </c>
      <c r="E45" s="23">
        <f>E26+E36+E42</f>
        <v>710214966.23109746</v>
      </c>
      <c r="F45" s="23">
        <f>F26+F36+F42</f>
        <v>184485958.56</v>
      </c>
      <c r="G45" s="23">
        <f>G26+G36+G42</f>
        <v>184485958.56</v>
      </c>
      <c r="H45" s="23">
        <f>H26+H36+H42</f>
        <v>-439077273.43109751</v>
      </c>
    </row>
    <row r="46" spans="1:8" ht="23.25" customHeight="1" thickBot="1" x14ac:dyDescent="0.3">
      <c r="A46" s="22"/>
      <c r="B46" s="22"/>
      <c r="C46" s="21"/>
      <c r="D46" s="21"/>
      <c r="E46" s="21"/>
      <c r="F46" s="20"/>
      <c r="G46" s="19" t="s">
        <v>5</v>
      </c>
      <c r="H46" s="18" t="str">
        <f>IF(($G$45-$C$45)&lt;=0,"",$G$45-$C$45)</f>
        <v/>
      </c>
    </row>
    <row r="47" spans="1:8" ht="23.25" customHeight="1" x14ac:dyDescent="0.25">
      <c r="A47" s="11"/>
      <c r="B47" s="11"/>
      <c r="C47" s="10"/>
      <c r="D47" s="10"/>
      <c r="E47" s="10"/>
      <c r="F47" s="9"/>
      <c r="G47" s="8"/>
      <c r="H47" s="8"/>
    </row>
    <row r="48" spans="1:8" ht="23.25" customHeight="1" x14ac:dyDescent="0.25">
      <c r="A48" s="11"/>
      <c r="B48" s="11"/>
      <c r="C48" s="10"/>
      <c r="D48" s="10"/>
      <c r="E48" s="10"/>
      <c r="F48" s="9"/>
      <c r="G48" s="8"/>
      <c r="H48" s="8"/>
    </row>
    <row r="49" spans="1:8" ht="23.25" customHeight="1" x14ac:dyDescent="0.25">
      <c r="A49" s="11"/>
      <c r="B49" s="11"/>
      <c r="C49" s="10"/>
      <c r="D49" s="10"/>
      <c r="E49" s="10"/>
      <c r="F49" s="9"/>
      <c r="G49" s="8"/>
      <c r="H49" s="8"/>
    </row>
    <row r="50" spans="1:8" s="12" customFormat="1" ht="15.75" customHeight="1" x14ac:dyDescent="0.25">
      <c r="A50" s="14"/>
      <c r="B50" s="17" t="s">
        <v>4</v>
      </c>
      <c r="C50" s="16"/>
      <c r="D50" s="16"/>
      <c r="E50" s="16"/>
      <c r="F50" s="16"/>
      <c r="G50" s="15"/>
      <c r="H50" s="15"/>
    </row>
    <row r="51" spans="1:8" s="12" customFormat="1" ht="12.75" customHeight="1" x14ac:dyDescent="0.25">
      <c r="A51" s="14"/>
      <c r="B51" s="17" t="s">
        <v>3</v>
      </c>
      <c r="C51" s="16"/>
      <c r="D51" s="16"/>
      <c r="E51" s="16"/>
      <c r="F51" s="16"/>
      <c r="G51" s="15"/>
      <c r="H51" s="15"/>
    </row>
    <row r="52" spans="1:8" s="12" customFormat="1" ht="26.25" customHeight="1" x14ac:dyDescent="0.25">
      <c r="A52" s="14"/>
      <c r="B52" s="13" t="s">
        <v>2</v>
      </c>
      <c r="C52" s="13"/>
      <c r="D52" s="13"/>
      <c r="E52" s="13"/>
      <c r="F52" s="13"/>
      <c r="G52" s="13"/>
      <c r="H52" s="13"/>
    </row>
    <row r="53" spans="1:8" ht="23.25" customHeight="1" x14ac:dyDescent="0.25">
      <c r="A53" s="11"/>
      <c r="B53" s="11"/>
      <c r="C53" s="10"/>
      <c r="D53" s="10"/>
      <c r="E53" s="10"/>
      <c r="F53" s="9"/>
      <c r="G53" s="8"/>
      <c r="H53" s="8"/>
    </row>
    <row r="54" spans="1:8" ht="8.25" customHeight="1" x14ac:dyDescent="0.25">
      <c r="A54" s="7"/>
      <c r="B54" s="1"/>
    </row>
    <row r="55" spans="1:8" x14ac:dyDescent="0.25">
      <c r="B55" s="1"/>
      <c r="H55" s="6"/>
    </row>
    <row r="56" spans="1:8" x14ac:dyDescent="0.25">
      <c r="A56" s="5"/>
      <c r="B56" s="4" t="s">
        <v>1</v>
      </c>
      <c r="C56" s="3"/>
      <c r="D56" s="3"/>
      <c r="E56" s="3"/>
      <c r="F56" s="3"/>
      <c r="G56" s="3"/>
      <c r="H56" s="3"/>
    </row>
    <row r="57" spans="1:8" x14ac:dyDescent="0.25">
      <c r="A57" s="5"/>
      <c r="B57" s="4" t="s">
        <v>0</v>
      </c>
      <c r="C57" s="3"/>
      <c r="D57" s="3"/>
      <c r="E57" s="3"/>
      <c r="F57" s="3"/>
      <c r="G57" s="3"/>
      <c r="H57" s="3"/>
    </row>
    <row r="58" spans="1:8" x14ac:dyDescent="0.25">
      <c r="A58" s="5"/>
      <c r="B58" s="4"/>
      <c r="C58" s="3"/>
      <c r="D58" s="3"/>
      <c r="E58" s="3"/>
      <c r="F58" s="3"/>
      <c r="G58" s="3"/>
      <c r="H58" s="3"/>
    </row>
  </sheetData>
  <sheetProtection formatColumns="0" formatRows="0" insertHyperlinks="0"/>
  <mergeCells count="18">
    <mergeCell ref="A20:B20"/>
    <mergeCell ref="A30:B30"/>
    <mergeCell ref="A32:B32"/>
    <mergeCell ref="A1:H1"/>
    <mergeCell ref="A2:H2"/>
    <mergeCell ref="A3:H3"/>
    <mergeCell ref="A4:H4"/>
    <mergeCell ref="C5:F5"/>
    <mergeCell ref="C6:G6"/>
    <mergeCell ref="A6:B8"/>
    <mergeCell ref="A34:B34"/>
    <mergeCell ref="C23:G23"/>
    <mergeCell ref="A26:B26"/>
    <mergeCell ref="A31:B31"/>
    <mergeCell ref="B52:H52"/>
    <mergeCell ref="A45:B45"/>
    <mergeCell ref="A36:B36"/>
    <mergeCell ref="A23:B25"/>
  </mergeCells>
  <printOptions horizontalCentered="1"/>
  <pageMargins left="0.39370078740157483" right="0.39370078740157483" top="0.39370078740157483" bottom="0.51181102362204722" header="0.31496062992125984" footer="0.31496062992125984"/>
  <pageSetup scale="88" fitToHeight="2" orientation="landscape" r:id="rId1"/>
  <rowBreaks count="1" manualBreakCount="1">
    <brk id="22" max="7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995DC-6FA9-40CF-9918-16318E851100}">
  <sheetPr>
    <tabColor theme="0" tint="-0.249977111117893"/>
    <pageSetUpPr fitToPage="1"/>
  </sheetPr>
  <dimension ref="A1:H31"/>
  <sheetViews>
    <sheetView view="pageBreakPreview" topLeftCell="A10" zoomScaleNormal="100" zoomScaleSheetLayoutView="100" workbookViewId="0">
      <selection activeCell="O24" sqref="O24"/>
    </sheetView>
  </sheetViews>
  <sheetFormatPr baseColWidth="10" defaultColWidth="11.28515625" defaultRowHeight="16.5" x14ac:dyDescent="0.25"/>
  <cols>
    <col min="1" max="1" width="39.85546875" style="1" customWidth="1"/>
    <col min="2" max="7" width="13.7109375" style="1" customWidth="1"/>
    <col min="8" max="16384" width="11.28515625" style="1"/>
  </cols>
  <sheetData>
    <row r="1" spans="1:7" x14ac:dyDescent="0.25">
      <c r="A1" s="389" t="s">
        <v>42</v>
      </c>
      <c r="B1" s="389"/>
      <c r="C1" s="389"/>
      <c r="D1" s="389"/>
      <c r="E1" s="389"/>
      <c r="F1" s="389"/>
      <c r="G1" s="389"/>
    </row>
    <row r="2" spans="1:7" x14ac:dyDescent="0.25">
      <c r="A2" s="389" t="s">
        <v>215</v>
      </c>
      <c r="B2" s="389"/>
      <c r="C2" s="389"/>
      <c r="D2" s="389"/>
      <c r="E2" s="389"/>
      <c r="F2" s="389"/>
      <c r="G2" s="389"/>
    </row>
    <row r="3" spans="1:7" x14ac:dyDescent="0.25">
      <c r="A3" s="389" t="s">
        <v>349</v>
      </c>
      <c r="B3" s="389"/>
      <c r="C3" s="389"/>
      <c r="D3" s="389"/>
      <c r="E3" s="389"/>
      <c r="F3" s="389"/>
      <c r="G3" s="389"/>
    </row>
    <row r="4" spans="1:7" x14ac:dyDescent="0.25">
      <c r="A4" s="105" t="str">
        <f>'[1]ETCA-I-01'!A3:G3</f>
        <v>Comision Estatal del Agua</v>
      </c>
      <c r="B4" s="105"/>
      <c r="C4" s="105"/>
      <c r="D4" s="105"/>
      <c r="E4" s="105"/>
      <c r="F4" s="105"/>
      <c r="G4" s="105"/>
    </row>
    <row r="5" spans="1:7" x14ac:dyDescent="0.25">
      <c r="A5" s="104" t="str">
        <f>'[1]ETCA-I-03'!A4:D4</f>
        <v>Del 01 de Enero al 31 de Marzo de 2019</v>
      </c>
      <c r="B5" s="104"/>
      <c r="C5" s="104"/>
      <c r="D5" s="104"/>
      <c r="E5" s="104"/>
      <c r="F5" s="104"/>
      <c r="G5" s="104"/>
    </row>
    <row r="6" spans="1:7" ht="17.25" thickBot="1" x14ac:dyDescent="0.3">
      <c r="A6" s="254" t="s">
        <v>348</v>
      </c>
      <c r="B6" s="254"/>
      <c r="C6" s="254"/>
      <c r="D6" s="254"/>
      <c r="E6" s="254"/>
      <c r="F6" s="99"/>
      <c r="G6" s="388"/>
    </row>
    <row r="7" spans="1:7" s="175" customFormat="1" ht="40.5" x14ac:dyDescent="0.25">
      <c r="A7" s="403" t="s">
        <v>113</v>
      </c>
      <c r="B7" s="402" t="s">
        <v>211</v>
      </c>
      <c r="C7" s="402" t="s">
        <v>111</v>
      </c>
      <c r="D7" s="402" t="s">
        <v>210</v>
      </c>
      <c r="E7" s="402" t="s">
        <v>209</v>
      </c>
      <c r="F7" s="402" t="s">
        <v>208</v>
      </c>
      <c r="G7" s="401" t="s">
        <v>207</v>
      </c>
    </row>
    <row r="8" spans="1:7" s="175" customFormat="1" ht="15.75" customHeight="1" thickBot="1" x14ac:dyDescent="0.3">
      <c r="A8" s="400"/>
      <c r="B8" s="339" t="s">
        <v>26</v>
      </c>
      <c r="C8" s="339" t="s">
        <v>25</v>
      </c>
      <c r="D8" s="339" t="s">
        <v>206</v>
      </c>
      <c r="E8" s="339" t="s">
        <v>23</v>
      </c>
      <c r="F8" s="339" t="s">
        <v>22</v>
      </c>
      <c r="G8" s="338" t="s">
        <v>205</v>
      </c>
    </row>
    <row r="9" spans="1:7" x14ac:dyDescent="0.25">
      <c r="A9" s="399"/>
      <c r="B9" s="397"/>
      <c r="C9" s="397"/>
      <c r="D9" s="398"/>
      <c r="E9" s="397"/>
      <c r="F9" s="397"/>
      <c r="G9" s="396"/>
    </row>
    <row r="10" spans="1:7" ht="25.5" x14ac:dyDescent="0.25">
      <c r="A10" s="395" t="s">
        <v>347</v>
      </c>
      <c r="B10" s="239">
        <v>623563231.93999994</v>
      </c>
      <c r="C10" s="239">
        <v>98076622.020000011</v>
      </c>
      <c r="D10" s="240">
        <f>IF(A10="","",B10+C10)</f>
        <v>721639853.95999992</v>
      </c>
      <c r="E10" s="239">
        <v>155474969.89000002</v>
      </c>
      <c r="F10" s="239">
        <v>137282655.09</v>
      </c>
      <c r="G10" s="238">
        <f>IF(A10="","",D10-E10)</f>
        <v>566164884.06999993</v>
      </c>
    </row>
    <row r="11" spans="1:7" ht="8.25" customHeight="1" x14ac:dyDescent="0.25">
      <c r="A11" s="395"/>
      <c r="B11" s="239"/>
      <c r="C11" s="239"/>
      <c r="D11" s="240" t="str">
        <f>IF(A11="","",B11+C11)</f>
        <v/>
      </c>
      <c r="E11" s="239"/>
      <c r="F11" s="239"/>
      <c r="G11" s="238" t="str">
        <f>IF(A11="","",D11-E11)</f>
        <v/>
      </c>
    </row>
    <row r="12" spans="1:7" x14ac:dyDescent="0.25">
      <c r="A12" s="395" t="s">
        <v>346</v>
      </c>
      <c r="B12" s="239"/>
      <c r="C12" s="239"/>
      <c r="D12" s="240">
        <f>IF(A12="","",B12+C12)</f>
        <v>0</v>
      </c>
      <c r="E12" s="239"/>
      <c r="F12" s="239"/>
      <c r="G12" s="238">
        <f>IF(A12="","",D12-E12)</f>
        <v>0</v>
      </c>
    </row>
    <row r="13" spans="1:7" ht="8.25" customHeight="1" x14ac:dyDescent="0.25">
      <c r="A13" s="395"/>
      <c r="B13" s="239"/>
      <c r="C13" s="239"/>
      <c r="D13" s="240" t="str">
        <f>IF(A13="","",B13+C13)</f>
        <v/>
      </c>
      <c r="E13" s="239"/>
      <c r="F13" s="239"/>
      <c r="G13" s="238" t="str">
        <f>IF(A13="","",D13-E13)</f>
        <v/>
      </c>
    </row>
    <row r="14" spans="1:7" ht="25.5" x14ac:dyDescent="0.25">
      <c r="A14" s="395" t="s">
        <v>345</v>
      </c>
      <c r="B14" s="239"/>
      <c r="C14" s="239"/>
      <c r="D14" s="240">
        <f>IF(A14="","",B14+C14)</f>
        <v>0</v>
      </c>
      <c r="E14" s="239"/>
      <c r="F14" s="239"/>
      <c r="G14" s="238">
        <f>IF(A14="","",D14-E14)</f>
        <v>0</v>
      </c>
    </row>
    <row r="15" spans="1:7" ht="8.25" customHeight="1" x14ac:dyDescent="0.25">
      <c r="A15" s="395"/>
      <c r="B15" s="239"/>
      <c r="C15" s="239"/>
      <c r="D15" s="240" t="str">
        <f>IF(A15="","",B15+C15)</f>
        <v/>
      </c>
      <c r="E15" s="239"/>
      <c r="F15" s="239"/>
      <c r="G15" s="238" t="str">
        <f>IF(A15="","",D15-E15)</f>
        <v/>
      </c>
    </row>
    <row r="16" spans="1:7" ht="25.5" x14ac:dyDescent="0.25">
      <c r="A16" s="395" t="s">
        <v>344</v>
      </c>
      <c r="B16" s="239"/>
      <c r="C16" s="239"/>
      <c r="D16" s="240">
        <f>IF(A16="","",B16+C16)</f>
        <v>0</v>
      </c>
      <c r="E16" s="239"/>
      <c r="F16" s="239"/>
      <c r="G16" s="238">
        <f>IF(A16="","",D16-E16)</f>
        <v>0</v>
      </c>
    </row>
    <row r="17" spans="1:8" ht="8.25" customHeight="1" x14ac:dyDescent="0.25">
      <c r="A17" s="395"/>
      <c r="B17" s="239"/>
      <c r="C17" s="239"/>
      <c r="D17" s="240" t="str">
        <f>IF(A17="","",B17+C17)</f>
        <v/>
      </c>
      <c r="E17" s="239"/>
      <c r="F17" s="239"/>
      <c r="G17" s="238" t="str">
        <f>IF(A17="","",D17-E17)</f>
        <v/>
      </c>
    </row>
    <row r="18" spans="1:8" ht="25.5" x14ac:dyDescent="0.25">
      <c r="A18" s="395" t="s">
        <v>343</v>
      </c>
      <c r="B18" s="239"/>
      <c r="C18" s="239"/>
      <c r="D18" s="240">
        <f>IF(A18="","",B18+C18)</f>
        <v>0</v>
      </c>
      <c r="E18" s="239"/>
      <c r="F18" s="239"/>
      <c r="G18" s="238">
        <f>IF(A18="","",D18-E18)</f>
        <v>0</v>
      </c>
    </row>
    <row r="19" spans="1:8" ht="8.25" customHeight="1" x14ac:dyDescent="0.25">
      <c r="A19" s="395"/>
      <c r="B19" s="239"/>
      <c r="C19" s="239"/>
      <c r="D19" s="240" t="str">
        <f>IF(A19="","",B19+C19)</f>
        <v/>
      </c>
      <c r="E19" s="239"/>
      <c r="F19" s="239"/>
      <c r="G19" s="238" t="str">
        <f>IF(A19="","",D19-E19)</f>
        <v/>
      </c>
    </row>
    <row r="20" spans="1:8" ht="25.5" x14ac:dyDescent="0.25">
      <c r="A20" s="395" t="s">
        <v>342</v>
      </c>
      <c r="B20" s="239"/>
      <c r="C20" s="239"/>
      <c r="D20" s="240">
        <f>IF(A20="","",B20+C20)</f>
        <v>0</v>
      </c>
      <c r="E20" s="239"/>
      <c r="F20" s="239"/>
      <c r="G20" s="238">
        <f>IF(A20="","",D20-E20)</f>
        <v>0</v>
      </c>
    </row>
    <row r="21" spans="1:8" ht="8.25" customHeight="1" x14ac:dyDescent="0.25">
      <c r="A21" s="395"/>
      <c r="B21" s="239"/>
      <c r="C21" s="239"/>
      <c r="D21" s="240" t="str">
        <f>IF(A21="","",B21+C21)</f>
        <v/>
      </c>
      <c r="E21" s="239"/>
      <c r="F21" s="239"/>
      <c r="G21" s="238" t="str">
        <f>IF(A21="","",D21-E21)</f>
        <v/>
      </c>
    </row>
    <row r="22" spans="1:8" ht="26.25" thickBot="1" x14ac:dyDescent="0.3">
      <c r="A22" s="395" t="s">
        <v>341</v>
      </c>
      <c r="B22" s="239"/>
      <c r="C22" s="239"/>
      <c r="D22" s="240">
        <f>IF(A22="","",B22+C22)</f>
        <v>0</v>
      </c>
      <c r="E22" s="239"/>
      <c r="F22" s="239"/>
      <c r="G22" s="238">
        <f>IF(A22="","",D22-E22)</f>
        <v>0</v>
      </c>
    </row>
    <row r="23" spans="1:8" ht="24.95" customHeight="1" thickBot="1" x14ac:dyDescent="0.3">
      <c r="A23" s="330" t="s">
        <v>132</v>
      </c>
      <c r="B23" s="232">
        <f>SUM(B10:B22)</f>
        <v>623563231.93999994</v>
      </c>
      <c r="C23" s="232">
        <f>SUM(C10:C22)</f>
        <v>98076622.020000011</v>
      </c>
      <c r="D23" s="232">
        <f>IF(A23="","",B23+C23)</f>
        <v>721639853.95999992</v>
      </c>
      <c r="E23" s="232">
        <f>SUM(E10:E22)</f>
        <v>155474969.89000002</v>
      </c>
      <c r="F23" s="232">
        <f>SUM(F10:F22)</f>
        <v>137282655.09</v>
      </c>
      <c r="G23" s="231">
        <f>IF(A23="","",D23-E23)</f>
        <v>566164884.06999993</v>
      </c>
      <c r="H23" s="107" t="str">
        <f>IF((B23-'ETCA II-04'!B81)&gt;0.9,"ERROR!!!!! EL MONTO NO COINCIDE CON LO REPORTADO EN EL FORMATO ETCA-II-04 EN EL TOTAL APROBADO ANUAL DEL ANALÍTICO DE EGRESOS","")</f>
        <v/>
      </c>
    </row>
    <row r="24" spans="1:8" ht="24.95" customHeight="1" x14ac:dyDescent="0.25">
      <c r="A24" s="394"/>
      <c r="B24" s="393"/>
      <c r="C24" s="393"/>
      <c r="D24" s="393"/>
      <c r="E24" s="393"/>
      <c r="F24" s="393"/>
      <c r="G24" s="393"/>
      <c r="H24" s="107" t="str">
        <f>IF((C23-'ETCA II-04'!C81)&gt;0.9,"ERROR!!!!! EL MONTO NO COINCIDE CON LO REPORTADO EN EL FORMATO ETCA-II-04 EN EL TOTAL APROBADO ANUAL DEL ANALÍTICO DE EGRESOS","")</f>
        <v/>
      </c>
    </row>
    <row r="25" spans="1:8" ht="24.95" customHeight="1" x14ac:dyDescent="0.25">
      <c r="A25" s="390"/>
      <c r="B25" s="229"/>
      <c r="C25" s="229"/>
      <c r="D25" s="229"/>
      <c r="E25" s="229"/>
      <c r="F25" s="229"/>
      <c r="G25" s="229"/>
      <c r="H25" s="107" t="str">
        <f>IF((D23-'ETCA II-04'!D81)&gt;0.9,"ERROR!!!!! EL MONTO NO COINCIDE CON LO REPORTADO EN EL FORMATO ETCA-II-04 EN EL TOTAL APROBADO ANUAL DEL ANALÍTICO DE EGRESOS","")</f>
        <v/>
      </c>
    </row>
    <row r="26" spans="1:8" ht="24.95" customHeight="1" x14ac:dyDescent="0.25">
      <c r="A26" s="87"/>
      <c r="B26" s="392"/>
      <c r="C26" s="392"/>
      <c r="D26" s="391"/>
      <c r="E26" s="392"/>
      <c r="F26" s="392"/>
      <c r="G26" s="391"/>
      <c r="H26" s="107" t="str">
        <f>IF((E23-'ETCA II-04'!E81)&gt;0.9,"ERROR!!!!! EL MONTO NO COINCIDE CON LO REPORTADO EN EL FORMATO ETCA-II-04 EN EL TOTAL APROBADO ANUAL DEL ANALÍTICO DE EGRESOS","")</f>
        <v/>
      </c>
    </row>
    <row r="27" spans="1:8" ht="24.95" customHeight="1" x14ac:dyDescent="0.25">
      <c r="A27" s="87"/>
      <c r="B27" s="392"/>
      <c r="C27" s="392"/>
      <c r="D27" s="391"/>
      <c r="E27" s="392"/>
      <c r="F27" s="392"/>
      <c r="G27" s="391"/>
      <c r="H27" s="107" t="str">
        <f>IF((F23-'ETCA II-04'!F81)&gt;0.9,"ERROR!!!!! EL MONTO NO COINCIDE CON LO REPORTADO EN EL FORMATO ETCA-II-04 EN EL TOTAL APROBADO ANUAL DEL ANALÍTICO DE EGRESOS","")</f>
        <v/>
      </c>
    </row>
    <row r="28" spans="1:8" ht="25.5" customHeight="1" x14ac:dyDescent="0.25">
      <c r="A28" s="390"/>
      <c r="B28" s="229"/>
      <c r="C28" s="229"/>
      <c r="D28" s="229"/>
      <c r="E28" s="229"/>
      <c r="F28" s="229"/>
      <c r="G28" s="229"/>
      <c r="H28" s="107" t="str">
        <f>IF((G23-'ETCA II-04'!G81)&gt;0.9,"ERROR!!!!! EL MONTO NO COINCIDE CON LO REPORTADO EN EL FORMATO ETCA-II-04 EN EL TOTAL APROBADO ANUAL DEL ANALÍTICO DE EGRESOS","")</f>
        <v/>
      </c>
    </row>
    <row r="30" spans="1:8" x14ac:dyDescent="0.25">
      <c r="F30" s="341"/>
    </row>
    <row r="31" spans="1:8" x14ac:dyDescent="0.25">
      <c r="F31" s="341"/>
    </row>
  </sheetData>
  <sheetProtection sheet="1" scenarios="1" formatColumns="0" formatRows="0" insertHyperlinks="0"/>
  <mergeCells count="7">
    <mergeCell ref="A7:A8"/>
    <mergeCell ref="A1:G1"/>
    <mergeCell ref="A2:G2"/>
    <mergeCell ref="A3:G3"/>
    <mergeCell ref="A4:G4"/>
    <mergeCell ref="A5:G5"/>
    <mergeCell ref="A6:E6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0C601-ED0C-45DB-A7B8-4DE4E03C0193}">
  <sheetPr>
    <tabColor theme="0" tint="-0.249977111117893"/>
  </sheetPr>
  <dimension ref="A1:H49"/>
  <sheetViews>
    <sheetView view="pageBreakPreview" topLeftCell="A31" zoomScale="90" zoomScaleNormal="100" zoomScaleSheetLayoutView="90" workbookViewId="0">
      <selection activeCell="O24" sqref="O24"/>
    </sheetView>
  </sheetViews>
  <sheetFormatPr baseColWidth="10" defaultRowHeight="15" x14ac:dyDescent="0.25"/>
  <cols>
    <col min="1" max="1" width="35.7109375" customWidth="1"/>
    <col min="6" max="6" width="11.85546875" customWidth="1"/>
  </cols>
  <sheetData>
    <row r="1" spans="1:7" ht="16.5" x14ac:dyDescent="0.25">
      <c r="A1" s="389" t="s">
        <v>42</v>
      </c>
      <c r="B1" s="389"/>
      <c r="C1" s="389"/>
      <c r="D1" s="389"/>
      <c r="E1" s="389"/>
      <c r="F1" s="389"/>
      <c r="G1" s="389"/>
    </row>
    <row r="2" spans="1:7" ht="16.5" x14ac:dyDescent="0.25">
      <c r="A2" s="389" t="s">
        <v>215</v>
      </c>
      <c r="B2" s="389"/>
      <c r="C2" s="389"/>
      <c r="D2" s="389"/>
      <c r="E2" s="389"/>
      <c r="F2" s="389"/>
      <c r="G2" s="389"/>
    </row>
    <row r="3" spans="1:7" ht="16.5" x14ac:dyDescent="0.25">
      <c r="A3" s="389" t="s">
        <v>381</v>
      </c>
      <c r="B3" s="389"/>
      <c r="C3" s="389"/>
      <c r="D3" s="389"/>
      <c r="E3" s="389"/>
      <c r="F3" s="389"/>
      <c r="G3" s="389"/>
    </row>
    <row r="4" spans="1:7" ht="15.75" x14ac:dyDescent="0.25">
      <c r="A4" s="105" t="str">
        <f>'[1]ETCA-I-01'!A3:G3</f>
        <v>Comision Estatal del Agua</v>
      </c>
      <c r="B4" s="105"/>
      <c r="C4" s="105"/>
      <c r="D4" s="105"/>
      <c r="E4" s="105"/>
      <c r="F4" s="105"/>
      <c r="G4" s="105"/>
    </row>
    <row r="5" spans="1:7" ht="16.5" x14ac:dyDescent="0.25">
      <c r="A5" s="104" t="str">
        <f>'[1]ETCA-I-03'!A4:D4</f>
        <v>Del 01 de Enero al 31 de Marzo de 2019</v>
      </c>
      <c r="B5" s="104"/>
      <c r="C5" s="104"/>
      <c r="D5" s="104"/>
      <c r="E5" s="104"/>
      <c r="F5" s="104"/>
      <c r="G5" s="104"/>
    </row>
    <row r="6" spans="1:7" ht="17.25" thickBot="1" x14ac:dyDescent="0.3">
      <c r="A6" s="102"/>
      <c r="B6" s="420"/>
      <c r="C6" s="420"/>
      <c r="D6" s="420"/>
      <c r="E6" s="420"/>
      <c r="F6" s="419"/>
      <c r="G6" s="418"/>
    </row>
    <row r="7" spans="1:7" ht="40.5" x14ac:dyDescent="0.25">
      <c r="A7" s="403" t="s">
        <v>113</v>
      </c>
      <c r="B7" s="417" t="s">
        <v>211</v>
      </c>
      <c r="C7" s="417" t="s">
        <v>111</v>
      </c>
      <c r="D7" s="417" t="s">
        <v>210</v>
      </c>
      <c r="E7" s="417" t="s">
        <v>209</v>
      </c>
      <c r="F7" s="417" t="s">
        <v>208</v>
      </c>
      <c r="G7" s="416" t="s">
        <v>207</v>
      </c>
    </row>
    <row r="8" spans="1:7" ht="15.75" thickBot="1" x14ac:dyDescent="0.3">
      <c r="A8" s="400"/>
      <c r="B8" s="415" t="s">
        <v>26</v>
      </c>
      <c r="C8" s="415" t="s">
        <v>25</v>
      </c>
      <c r="D8" s="415" t="s">
        <v>206</v>
      </c>
      <c r="E8" s="415" t="s">
        <v>23</v>
      </c>
      <c r="F8" s="415" t="s">
        <v>22</v>
      </c>
      <c r="G8" s="414" t="s">
        <v>205</v>
      </c>
    </row>
    <row r="9" spans="1:7" ht="16.5" x14ac:dyDescent="0.25">
      <c r="A9" s="413"/>
      <c r="B9" s="412"/>
      <c r="C9" s="412"/>
      <c r="D9" s="412"/>
      <c r="E9" s="412"/>
      <c r="F9" s="412"/>
      <c r="G9" s="411"/>
    </row>
    <row r="10" spans="1:7" x14ac:dyDescent="0.25">
      <c r="A10" s="410" t="s">
        <v>380</v>
      </c>
      <c r="B10" s="409">
        <f>SUM(B11:B18)</f>
        <v>0</v>
      </c>
      <c r="C10" s="409">
        <f>SUM(C11:C18)</f>
        <v>0</v>
      </c>
      <c r="D10" s="409">
        <f>IF(A10="","",B10+C10)</f>
        <v>0</v>
      </c>
      <c r="E10" s="409">
        <f>SUM(E11:E18)</f>
        <v>0</v>
      </c>
      <c r="F10" s="409">
        <f>SUM(F11:F18)</f>
        <v>0</v>
      </c>
      <c r="G10" s="408">
        <f>IF(A10="","",D10-E10)</f>
        <v>0</v>
      </c>
    </row>
    <row r="11" spans="1:7" x14ac:dyDescent="0.25">
      <c r="A11" s="323" t="s">
        <v>379</v>
      </c>
      <c r="B11" s="239"/>
      <c r="C11" s="239"/>
      <c r="D11" s="240">
        <f>IF(A11="","",B11+C11)</f>
        <v>0</v>
      </c>
      <c r="E11" s="239"/>
      <c r="F11" s="239"/>
      <c r="G11" s="238">
        <f>IF(A11="","",D11-E11)</f>
        <v>0</v>
      </c>
    </row>
    <row r="12" spans="1:7" x14ac:dyDescent="0.25">
      <c r="A12" s="323" t="s">
        <v>378</v>
      </c>
      <c r="B12" s="239"/>
      <c r="C12" s="239"/>
      <c r="D12" s="240">
        <f>IF(A12="","",B12+C12)</f>
        <v>0</v>
      </c>
      <c r="E12" s="239"/>
      <c r="F12" s="239"/>
      <c r="G12" s="238">
        <f>IF(A12="","",D12-E12)</f>
        <v>0</v>
      </c>
    </row>
    <row r="13" spans="1:7" x14ac:dyDescent="0.25">
      <c r="A13" s="323" t="s">
        <v>377</v>
      </c>
      <c r="B13" s="239"/>
      <c r="C13" s="239"/>
      <c r="D13" s="240">
        <f>IF(A13="","",B13+C13)</f>
        <v>0</v>
      </c>
      <c r="E13" s="239"/>
      <c r="F13" s="239"/>
      <c r="G13" s="238">
        <f>IF(A13="","",D13-E13)</f>
        <v>0</v>
      </c>
    </row>
    <row r="14" spans="1:7" x14ac:dyDescent="0.25">
      <c r="A14" s="323" t="s">
        <v>376</v>
      </c>
      <c r="B14" s="239"/>
      <c r="C14" s="239"/>
      <c r="D14" s="240">
        <f>IF(A14="","",B14+C14)</f>
        <v>0</v>
      </c>
      <c r="E14" s="239"/>
      <c r="F14" s="239"/>
      <c r="G14" s="238">
        <f>IF(A14="","",D14-E14)</f>
        <v>0</v>
      </c>
    </row>
    <row r="15" spans="1:7" x14ac:dyDescent="0.25">
      <c r="A15" s="323" t="s">
        <v>375</v>
      </c>
      <c r="B15" s="239"/>
      <c r="C15" s="239"/>
      <c r="D15" s="240">
        <f>IF(A15="","",B15+C15)</f>
        <v>0</v>
      </c>
      <c r="E15" s="239"/>
      <c r="F15" s="239"/>
      <c r="G15" s="238">
        <f>IF(A15="","",D15-E15)</f>
        <v>0</v>
      </c>
    </row>
    <row r="16" spans="1:7" x14ac:dyDescent="0.25">
      <c r="A16" s="323" t="s">
        <v>374</v>
      </c>
      <c r="B16" s="239"/>
      <c r="C16" s="239"/>
      <c r="D16" s="240">
        <f>IF(A16="","",B16+C16)</f>
        <v>0</v>
      </c>
      <c r="E16" s="239"/>
      <c r="F16" s="239"/>
      <c r="G16" s="238">
        <f>IF(A16="","",D16-E16)</f>
        <v>0</v>
      </c>
    </row>
    <row r="17" spans="1:7" x14ac:dyDescent="0.25">
      <c r="A17" s="323" t="s">
        <v>373</v>
      </c>
      <c r="B17" s="239"/>
      <c r="C17" s="239"/>
      <c r="D17" s="240">
        <f>IF(A17="","",B17+C17)</f>
        <v>0</v>
      </c>
      <c r="E17" s="239"/>
      <c r="F17" s="239"/>
      <c r="G17" s="238">
        <f>IF(A17="","",D17-E17)</f>
        <v>0</v>
      </c>
    </row>
    <row r="18" spans="1:7" x14ac:dyDescent="0.25">
      <c r="A18" s="323" t="s">
        <v>177</v>
      </c>
      <c r="B18" s="239"/>
      <c r="C18" s="239"/>
      <c r="D18" s="240">
        <f>IF(A18="","",B18+C18)</f>
        <v>0</v>
      </c>
      <c r="E18" s="239"/>
      <c r="F18" s="239"/>
      <c r="G18" s="238">
        <f>IF(A18="","",D18-E18)</f>
        <v>0</v>
      </c>
    </row>
    <row r="19" spans="1:7" x14ac:dyDescent="0.25">
      <c r="A19" s="399"/>
      <c r="B19" s="239"/>
      <c r="C19" s="239"/>
      <c r="D19" s="240" t="str">
        <f>IF(A19="","",B19+C19)</f>
        <v/>
      </c>
      <c r="E19" s="239"/>
      <c r="F19" s="239"/>
      <c r="G19" s="238" t="str">
        <f>IF(A19="","",D19-E19)</f>
        <v/>
      </c>
    </row>
    <row r="20" spans="1:7" x14ac:dyDescent="0.25">
      <c r="A20" s="410" t="s">
        <v>372</v>
      </c>
      <c r="B20" s="409">
        <f>SUM(B21:B27)</f>
        <v>623563231.93999994</v>
      </c>
      <c r="C20" s="409">
        <f>SUM(C21:C27)</f>
        <v>98076622.020000011</v>
      </c>
      <c r="D20" s="409">
        <f>IF(A20="","",B20+C20)</f>
        <v>721639853.95999992</v>
      </c>
      <c r="E20" s="409">
        <f>SUM(E21:E27)</f>
        <v>155474969.89000002</v>
      </c>
      <c r="F20" s="409">
        <f>SUM(F21:F27)</f>
        <v>137282655.09</v>
      </c>
      <c r="G20" s="408">
        <f>IF(A20="","",D20-E20)</f>
        <v>566164884.06999993</v>
      </c>
    </row>
    <row r="21" spans="1:7" x14ac:dyDescent="0.25">
      <c r="A21" s="323" t="s">
        <v>371</v>
      </c>
      <c r="B21" s="239"/>
      <c r="C21" s="239"/>
      <c r="D21" s="240">
        <f>IF(A21="","",B21+C21)</f>
        <v>0</v>
      </c>
      <c r="E21" s="239"/>
      <c r="F21" s="239"/>
      <c r="G21" s="238">
        <f>IF(A21="","",D21-E21)</f>
        <v>0</v>
      </c>
    </row>
    <row r="22" spans="1:7" x14ac:dyDescent="0.25">
      <c r="A22" s="323" t="s">
        <v>370</v>
      </c>
      <c r="B22" s="239">
        <v>623563231.93999994</v>
      </c>
      <c r="C22" s="239">
        <v>98076622.020000011</v>
      </c>
      <c r="D22" s="240">
        <f>IF(A22="","",B22+C22)</f>
        <v>721639853.95999992</v>
      </c>
      <c r="E22" s="239">
        <v>155474969.89000002</v>
      </c>
      <c r="F22" s="239">
        <v>137282655.09</v>
      </c>
      <c r="G22" s="238">
        <f>IF(A22="","",D22-E22)</f>
        <v>566164884.06999993</v>
      </c>
    </row>
    <row r="23" spans="1:7" x14ac:dyDescent="0.25">
      <c r="A23" s="323" t="s">
        <v>369</v>
      </c>
      <c r="B23" s="239"/>
      <c r="C23" s="239"/>
      <c r="D23" s="240">
        <f>IF(A23="","",B23+C23)</f>
        <v>0</v>
      </c>
      <c r="E23" s="239"/>
      <c r="F23" s="239"/>
      <c r="G23" s="238">
        <f>IF(A23="","",D23-E23)</f>
        <v>0</v>
      </c>
    </row>
    <row r="24" spans="1:7" ht="25.5" x14ac:dyDescent="0.25">
      <c r="A24" s="323" t="s">
        <v>368</v>
      </c>
      <c r="B24" s="239"/>
      <c r="C24" s="239"/>
      <c r="D24" s="240">
        <f>IF(A24="","",B24+C24)</f>
        <v>0</v>
      </c>
      <c r="E24" s="239"/>
      <c r="F24" s="239"/>
      <c r="G24" s="238">
        <f>IF(A24="","",D24-E24)</f>
        <v>0</v>
      </c>
    </row>
    <row r="25" spans="1:7" x14ac:dyDescent="0.25">
      <c r="A25" s="323" t="s">
        <v>367</v>
      </c>
      <c r="B25" s="239"/>
      <c r="C25" s="239"/>
      <c r="D25" s="240">
        <f>IF(A25="","",B25+C25)</f>
        <v>0</v>
      </c>
      <c r="E25" s="239"/>
      <c r="F25" s="239"/>
      <c r="G25" s="238">
        <f>IF(A25="","",D25-E25)</f>
        <v>0</v>
      </c>
    </row>
    <row r="26" spans="1:7" x14ac:dyDescent="0.25">
      <c r="A26" s="323" t="s">
        <v>366</v>
      </c>
      <c r="B26" s="239"/>
      <c r="C26" s="239"/>
      <c r="D26" s="240">
        <f>IF(A26="","",B26+C26)</f>
        <v>0</v>
      </c>
      <c r="E26" s="239"/>
      <c r="F26" s="239"/>
      <c r="G26" s="238">
        <f>IF(A26="","",D26-E26)</f>
        <v>0</v>
      </c>
    </row>
    <row r="27" spans="1:7" x14ac:dyDescent="0.25">
      <c r="A27" s="323" t="s">
        <v>365</v>
      </c>
      <c r="B27" s="239"/>
      <c r="C27" s="239"/>
      <c r="D27" s="240">
        <f>IF(A27="","",B27+C27)</f>
        <v>0</v>
      </c>
      <c r="E27" s="239"/>
      <c r="F27" s="239"/>
      <c r="G27" s="238">
        <f>IF(A27="","",D27-E27)</f>
        <v>0</v>
      </c>
    </row>
    <row r="28" spans="1:7" x14ac:dyDescent="0.25">
      <c r="A28" s="399"/>
      <c r="B28" s="239"/>
      <c r="C28" s="239"/>
      <c r="D28" s="240" t="str">
        <f>IF(A28="","",B28+C28)</f>
        <v/>
      </c>
      <c r="E28" s="239"/>
      <c r="F28" s="239"/>
      <c r="G28" s="238" t="str">
        <f>IF(A28="","",D28-E28)</f>
        <v/>
      </c>
    </row>
    <row r="29" spans="1:7" x14ac:dyDescent="0.25">
      <c r="A29" s="410" t="s">
        <v>364</v>
      </c>
      <c r="B29" s="409">
        <f>SUM(B30:B38)</f>
        <v>0</v>
      </c>
      <c r="C29" s="409">
        <f>SUM(C30:C38)</f>
        <v>0</v>
      </c>
      <c r="D29" s="409">
        <f>IF(A29="","",B29+C29)</f>
        <v>0</v>
      </c>
      <c r="E29" s="409">
        <f>SUM(E30:E38)</f>
        <v>0</v>
      </c>
      <c r="F29" s="409">
        <f>SUM(F30:F38)</f>
        <v>0</v>
      </c>
      <c r="G29" s="408">
        <f>IF(A29="","",D29-E29)</f>
        <v>0</v>
      </c>
    </row>
    <row r="30" spans="1:7" ht="25.5" x14ac:dyDescent="0.25">
      <c r="A30" s="323" t="s">
        <v>363</v>
      </c>
      <c r="B30" s="239"/>
      <c r="C30" s="239"/>
      <c r="D30" s="240">
        <f>IF(A30="","",B30+C30)</f>
        <v>0</v>
      </c>
      <c r="E30" s="239"/>
      <c r="F30" s="239"/>
      <c r="G30" s="238">
        <f>IF(A30="","",D30-E30)</f>
        <v>0</v>
      </c>
    </row>
    <row r="31" spans="1:7" x14ac:dyDescent="0.25">
      <c r="A31" s="323" t="s">
        <v>362</v>
      </c>
      <c r="B31" s="239"/>
      <c r="C31" s="239"/>
      <c r="D31" s="240">
        <f>IF(A31="","",B31+C31)</f>
        <v>0</v>
      </c>
      <c r="E31" s="239"/>
      <c r="F31" s="239"/>
      <c r="G31" s="238">
        <f>IF(A31="","",D31-E31)</f>
        <v>0</v>
      </c>
    </row>
    <row r="32" spans="1:7" x14ac:dyDescent="0.25">
      <c r="A32" s="323" t="s">
        <v>361</v>
      </c>
      <c r="B32" s="239"/>
      <c r="C32" s="239"/>
      <c r="D32" s="240">
        <f>IF(A32="","",B32+C32)</f>
        <v>0</v>
      </c>
      <c r="E32" s="239"/>
      <c r="F32" s="239"/>
      <c r="G32" s="238">
        <f>IF(A32="","",D32-E32)</f>
        <v>0</v>
      </c>
    </row>
    <row r="33" spans="1:8" x14ac:dyDescent="0.25">
      <c r="A33" s="323" t="s">
        <v>360</v>
      </c>
      <c r="B33" s="239"/>
      <c r="C33" s="239"/>
      <c r="D33" s="240">
        <f>IF(A33="","",B33+C33)</f>
        <v>0</v>
      </c>
      <c r="E33" s="239"/>
      <c r="F33" s="239"/>
      <c r="G33" s="238">
        <f>IF(A33="","",D33-E33)</f>
        <v>0</v>
      </c>
    </row>
    <row r="34" spans="1:8" x14ac:dyDescent="0.25">
      <c r="A34" s="323" t="s">
        <v>359</v>
      </c>
      <c r="B34" s="239"/>
      <c r="C34" s="239"/>
      <c r="D34" s="240">
        <f>IF(A34="","",B34+C34)</f>
        <v>0</v>
      </c>
      <c r="E34" s="239"/>
      <c r="F34" s="239"/>
      <c r="G34" s="238">
        <f>IF(A34="","",D34-E34)</f>
        <v>0</v>
      </c>
    </row>
    <row r="35" spans="1:8" x14ac:dyDescent="0.25">
      <c r="A35" s="323" t="s">
        <v>358</v>
      </c>
      <c r="B35" s="239"/>
      <c r="C35" s="239"/>
      <c r="D35" s="240">
        <f>IF(A35="","",B35+C35)</f>
        <v>0</v>
      </c>
      <c r="E35" s="239"/>
      <c r="F35" s="239"/>
      <c r="G35" s="238">
        <f>IF(A35="","",D35-E35)</f>
        <v>0</v>
      </c>
    </row>
    <row r="36" spans="1:8" x14ac:dyDescent="0.25">
      <c r="A36" s="323" t="s">
        <v>357</v>
      </c>
      <c r="B36" s="239"/>
      <c r="C36" s="239"/>
      <c r="D36" s="240">
        <f>IF(A36="","",B36+C36)</f>
        <v>0</v>
      </c>
      <c r="E36" s="239"/>
      <c r="F36" s="239"/>
      <c r="G36" s="238">
        <f>IF(A36="","",D36-E36)</f>
        <v>0</v>
      </c>
    </row>
    <row r="37" spans="1:8" x14ac:dyDescent="0.25">
      <c r="A37" s="323" t="s">
        <v>356</v>
      </c>
      <c r="B37" s="239"/>
      <c r="C37" s="239"/>
      <c r="D37" s="240">
        <f>IF(A37="","",B37+C37)</f>
        <v>0</v>
      </c>
      <c r="E37" s="239"/>
      <c r="F37" s="239"/>
      <c r="G37" s="238">
        <f>IF(A37="","",D37-E37)</f>
        <v>0</v>
      </c>
    </row>
    <row r="38" spans="1:8" x14ac:dyDescent="0.25">
      <c r="A38" s="323" t="s">
        <v>355</v>
      </c>
      <c r="B38" s="239"/>
      <c r="C38" s="239"/>
      <c r="D38" s="240">
        <f>IF(A38="","",B38+C38)</f>
        <v>0</v>
      </c>
      <c r="E38" s="239"/>
      <c r="F38" s="239"/>
      <c r="G38" s="238">
        <f>IF(A38="","",D38-E38)</f>
        <v>0</v>
      </c>
    </row>
    <row r="39" spans="1:8" x14ac:dyDescent="0.25">
      <c r="A39" s="399"/>
      <c r="B39" s="239"/>
      <c r="C39" s="239"/>
      <c r="D39" s="240" t="str">
        <f>IF(A39="","",B39+C39)</f>
        <v/>
      </c>
      <c r="E39" s="239"/>
      <c r="F39" s="239"/>
      <c r="G39" s="238" t="str">
        <f>IF(A39="","",D39-E39)</f>
        <v/>
      </c>
    </row>
    <row r="40" spans="1:8" ht="25.5" x14ac:dyDescent="0.25">
      <c r="A40" s="410" t="s">
        <v>354</v>
      </c>
      <c r="B40" s="409">
        <f>SUM(B41:B44)</f>
        <v>0</v>
      </c>
      <c r="C40" s="409">
        <f>SUM(C41:C44)</f>
        <v>0</v>
      </c>
      <c r="D40" s="409">
        <f>IF(A40="","",B40+C40)</f>
        <v>0</v>
      </c>
      <c r="E40" s="409">
        <f>SUM(E41:E44)</f>
        <v>0</v>
      </c>
      <c r="F40" s="409">
        <f>SUM(F41:F44)</f>
        <v>0</v>
      </c>
      <c r="G40" s="408">
        <f>IF(A40="","",D40-E40)</f>
        <v>0</v>
      </c>
    </row>
    <row r="41" spans="1:8" ht="25.5" x14ac:dyDescent="0.25">
      <c r="A41" s="407" t="s">
        <v>353</v>
      </c>
      <c r="B41" s="239">
        <v>0</v>
      </c>
      <c r="C41" s="239">
        <v>0</v>
      </c>
      <c r="D41" s="240">
        <f>IF(A41="","",B41+C41)</f>
        <v>0</v>
      </c>
      <c r="E41" s="239">
        <v>0</v>
      </c>
      <c r="F41" s="239">
        <v>0</v>
      </c>
      <c r="G41" s="238">
        <f>IF(A41="","",D41-E41)</f>
        <v>0</v>
      </c>
    </row>
    <row r="42" spans="1:8" ht="38.25" x14ac:dyDescent="0.25">
      <c r="A42" s="407" t="s">
        <v>352</v>
      </c>
      <c r="B42" s="239"/>
      <c r="C42" s="239"/>
      <c r="D42" s="240">
        <f>IF(A42="","",B42+C42)</f>
        <v>0</v>
      </c>
      <c r="E42" s="239"/>
      <c r="F42" s="239"/>
      <c r="G42" s="238">
        <f>IF(A42="","",D42-E42)</f>
        <v>0</v>
      </c>
    </row>
    <row r="43" spans="1:8" x14ac:dyDescent="0.25">
      <c r="A43" s="323" t="s">
        <v>351</v>
      </c>
      <c r="B43" s="239"/>
      <c r="C43" s="239"/>
      <c r="D43" s="240">
        <f>IF(A43="","",B43+C43)</f>
        <v>0</v>
      </c>
      <c r="E43" s="239"/>
      <c r="F43" s="239"/>
      <c r="G43" s="238">
        <f>IF(A43="","",D43-E43)</f>
        <v>0</v>
      </c>
    </row>
    <row r="44" spans="1:8" ht="15.75" thickBot="1" x14ac:dyDescent="0.3">
      <c r="A44" s="323" t="s">
        <v>350</v>
      </c>
      <c r="B44" s="239"/>
      <c r="C44" s="239"/>
      <c r="D44" s="240">
        <f>IF(A44="","",B44+C44)</f>
        <v>0</v>
      </c>
      <c r="E44" s="239"/>
      <c r="F44" s="239"/>
      <c r="G44" s="238">
        <f>IF(A44="","",D44-E44)</f>
        <v>0</v>
      </c>
    </row>
    <row r="45" spans="1:8" ht="15.75" thickBot="1" x14ac:dyDescent="0.3">
      <c r="A45" s="330" t="s">
        <v>132</v>
      </c>
      <c r="B45" s="406">
        <f>SUM(B10,B20,B29,B40)</f>
        <v>623563231.93999994</v>
      </c>
      <c r="C45" s="406">
        <f>SUM(C10,C20,C29,C40)</f>
        <v>98076622.020000011</v>
      </c>
      <c r="D45" s="406">
        <f>IF(A45="","",B45+C45)</f>
        <v>721639853.95999992</v>
      </c>
      <c r="E45" s="406">
        <f>SUM(E10,E20,E29,E40)</f>
        <v>155474969.89000002</v>
      </c>
      <c r="F45" s="406">
        <f>SUM(F10,F20,F29,F40)</f>
        <v>137282655.09</v>
      </c>
      <c r="G45" s="405">
        <f>IF(A45="","",D45-E45)</f>
        <v>566164884.06999993</v>
      </c>
      <c r="H45" s="107" t="str">
        <f>IF((B45-'ETCA II-04'!B81)&gt;0.9,"ERROR!!!!! EL MONTO NO COINCIDE CON LO REPORTADO EN EL FORMATO ETCA-II-04 EN EL TOTAL APROBADO ANUAL DEL ANALÍTICO DE EGRESOS","")</f>
        <v/>
      </c>
    </row>
    <row r="46" spans="1:8" ht="9" customHeight="1" x14ac:dyDescent="0.25">
      <c r="A46" s="390"/>
      <c r="B46" s="391"/>
      <c r="C46" s="391"/>
      <c r="D46" s="391"/>
      <c r="E46" s="391"/>
      <c r="F46" s="391"/>
      <c r="G46" s="391"/>
      <c r="H46" s="107" t="str">
        <f>IF((C45-'ETCA II-04'!C81)&gt;0.9,"ERROR!!!!! EL MONTO NO COINCIDE CON LO REPORTADO EN EL FORMATO ETCA-II-04 EN EL TOTAL DE AMPLIACIONES/REDUCCIONES PRESENTADO EN EL ANALÍTICO DE EGRESOS","")</f>
        <v/>
      </c>
    </row>
    <row r="47" spans="1:8" x14ac:dyDescent="0.25">
      <c r="A47" s="404"/>
      <c r="B47" s="392"/>
      <c r="C47" s="392"/>
      <c r="D47" s="391"/>
      <c r="E47" s="392"/>
      <c r="F47" s="392"/>
      <c r="G47" s="391"/>
      <c r="H47" s="107" t="str">
        <f>IF((E45-'ETCA II-04'!E81)&gt;0.9,"ERROR!!!!! EL MONTO NO COINCIDE CON LO REPORTADO EN EL FORMATO ETCA-II-04 EN EL TOTAL DEVENGADO ANUAL PRESENTADO EN EL ANALÍTICO DE EGRESOS","")</f>
        <v/>
      </c>
    </row>
    <row r="48" spans="1:8" x14ac:dyDescent="0.25">
      <c r="A48" s="390"/>
      <c r="B48" s="391"/>
      <c r="C48" s="391"/>
      <c r="D48" s="391"/>
      <c r="E48" s="391"/>
      <c r="F48" s="391"/>
      <c r="G48" s="391"/>
      <c r="H48" s="107" t="str">
        <f>IF((F45-'ETCA II-04'!F81)&gt;0.9,"ERROR!!!!! EL MONTO NO COINCIDE CON LO REPORTADO EN EL FORMATO ETCA-II-04 EN EL TOTAL PAGADO ANUAL PRESENTADO EN EL ANALÍTICO DE EGRESOS","")</f>
        <v/>
      </c>
    </row>
    <row r="49" spans="8:8" x14ac:dyDescent="0.25">
      <c r="H49" s="107" t="str">
        <f>IF((G45-'ETCA II-04'!G81)&gt;0.9,"ERROR!!!!! EL MONTO NO COINCIDE CON LO REPORTADO EN EL FORMATO ETCA-II-04 EN EL TOTAL SUBEJERCICIO PRESENTADO EN EL ANALÍTICO DE EGRESOS","")</f>
        <v/>
      </c>
    </row>
  </sheetData>
  <sheetProtection formatColumns="0" formatRows="0"/>
  <mergeCells count="7">
    <mergeCell ref="A7:A8"/>
    <mergeCell ref="A1:G1"/>
    <mergeCell ref="A2:G2"/>
    <mergeCell ref="A3:G3"/>
    <mergeCell ref="A4:G4"/>
    <mergeCell ref="A5:G5"/>
    <mergeCell ref="B6:E6"/>
  </mergeCells>
  <pageMargins left="0.70866141732283472" right="0.70866141732283472" top="0.74803149606299213" bottom="0.74803149606299213" header="0.31496062992125984" footer="0.31496062992125984"/>
  <pageSetup scale="86" orientation="portrait" horizontalDpi="1200" verticalDpi="1200" r:id="rId1"/>
  <colBreaks count="1" manualBreakCount="1">
    <brk id="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E0EEB-CD4A-4255-A31D-6148555A847C}">
  <sheetPr>
    <tabColor theme="0" tint="-0.249977111117893"/>
  </sheetPr>
  <dimension ref="A1:N89"/>
  <sheetViews>
    <sheetView view="pageBreakPreview" topLeftCell="A70" zoomScale="90" zoomScaleNormal="100" zoomScaleSheetLayoutView="90" workbookViewId="0">
      <selection activeCell="O24" sqref="O24"/>
    </sheetView>
  </sheetViews>
  <sheetFormatPr baseColWidth="10" defaultColWidth="11.42578125" defaultRowHeight="15" x14ac:dyDescent="0.25"/>
  <cols>
    <col min="1" max="1" width="4.42578125" customWidth="1"/>
    <col min="2" max="2" width="42.7109375" customWidth="1"/>
    <col min="3" max="3" width="14.28515625" bestFit="1" customWidth="1"/>
    <col min="4" max="4" width="13.7109375" customWidth="1"/>
    <col min="5" max="5" width="14.5703125" bestFit="1" customWidth="1"/>
    <col min="6" max="7" width="14.28515625" bestFit="1" customWidth="1"/>
    <col min="8" max="8" width="15.42578125" bestFit="1" customWidth="1"/>
    <col min="9" max="9" width="16" bestFit="1" customWidth="1"/>
    <col min="10" max="10" width="13.5703125" bestFit="1" customWidth="1"/>
    <col min="11" max="11" width="14.5703125" bestFit="1" customWidth="1"/>
    <col min="12" max="14" width="14.28515625" bestFit="1" customWidth="1"/>
  </cols>
  <sheetData>
    <row r="1" spans="1:8" ht="15.75" x14ac:dyDescent="0.25">
      <c r="A1" s="302" t="s">
        <v>42</v>
      </c>
      <c r="B1" s="301"/>
      <c r="C1" s="301"/>
      <c r="D1" s="301"/>
      <c r="E1" s="301"/>
      <c r="F1" s="301"/>
      <c r="G1" s="301"/>
      <c r="H1" s="300"/>
    </row>
    <row r="2" spans="1:8" ht="12" customHeight="1" x14ac:dyDescent="0.25">
      <c r="A2" s="299" t="str">
        <f>'[1]ETCA-I-01'!A3:G3</f>
        <v>Comision Estatal del Agua</v>
      </c>
      <c r="B2" s="105"/>
      <c r="C2" s="105"/>
      <c r="D2" s="105"/>
      <c r="E2" s="105"/>
      <c r="F2" s="105"/>
      <c r="G2" s="105"/>
      <c r="H2" s="298"/>
    </row>
    <row r="3" spans="1:8" x14ac:dyDescent="0.25">
      <c r="A3" s="454" t="s">
        <v>300</v>
      </c>
      <c r="B3" s="453"/>
      <c r="C3" s="453"/>
      <c r="D3" s="453"/>
      <c r="E3" s="453"/>
      <c r="F3" s="453"/>
      <c r="G3" s="453"/>
      <c r="H3" s="452"/>
    </row>
    <row r="4" spans="1:8" ht="11.25" customHeight="1" x14ac:dyDescent="0.25">
      <c r="A4" s="454" t="s">
        <v>381</v>
      </c>
      <c r="B4" s="453"/>
      <c r="C4" s="453"/>
      <c r="D4" s="453"/>
      <c r="E4" s="453"/>
      <c r="F4" s="453"/>
      <c r="G4" s="453"/>
      <c r="H4" s="452"/>
    </row>
    <row r="5" spans="1:8" ht="11.25" customHeight="1" x14ac:dyDescent="0.25">
      <c r="A5" s="454" t="str">
        <f>'[1]ETCA-I-03'!A4:D4</f>
        <v>Del 01 de Enero al 31 de Marzo de 2019</v>
      </c>
      <c r="B5" s="453"/>
      <c r="C5" s="453"/>
      <c r="D5" s="453"/>
      <c r="E5" s="453"/>
      <c r="F5" s="453"/>
      <c r="G5" s="453"/>
      <c r="H5" s="452"/>
    </row>
    <row r="6" spans="1:8" ht="12.75" customHeight="1" thickBot="1" x14ac:dyDescent="0.3">
      <c r="A6" s="447" t="s">
        <v>40</v>
      </c>
      <c r="B6" s="451"/>
      <c r="C6" s="451"/>
      <c r="D6" s="451"/>
      <c r="E6" s="451"/>
      <c r="F6" s="451"/>
      <c r="G6" s="451"/>
      <c r="H6" s="450"/>
    </row>
    <row r="7" spans="1:8" ht="15.75" thickBot="1" x14ac:dyDescent="0.3">
      <c r="A7" s="449" t="s">
        <v>298</v>
      </c>
      <c r="B7" s="448"/>
      <c r="C7" s="364" t="s">
        <v>297</v>
      </c>
      <c r="D7" s="363"/>
      <c r="E7" s="363"/>
      <c r="F7" s="363"/>
      <c r="G7" s="362"/>
      <c r="H7" s="361" t="s">
        <v>296</v>
      </c>
    </row>
    <row r="8" spans="1:8" ht="26.25" thickBot="1" x14ac:dyDescent="0.3">
      <c r="A8" s="447"/>
      <c r="B8" s="446"/>
      <c r="C8" s="360" t="s">
        <v>295</v>
      </c>
      <c r="D8" s="360" t="s">
        <v>294</v>
      </c>
      <c r="E8" s="360" t="s">
        <v>293</v>
      </c>
      <c r="F8" s="360" t="s">
        <v>110</v>
      </c>
      <c r="G8" s="360" t="s">
        <v>333</v>
      </c>
      <c r="H8" s="359"/>
    </row>
    <row r="9" spans="1:8" x14ac:dyDescent="0.25">
      <c r="A9" s="445"/>
      <c r="B9" s="444"/>
      <c r="C9" s="443"/>
      <c r="D9" s="443"/>
      <c r="E9" s="443"/>
      <c r="F9" s="443"/>
      <c r="G9" s="443"/>
      <c r="H9" s="443"/>
    </row>
    <row r="10" spans="1:8" ht="16.5" customHeight="1" x14ac:dyDescent="0.25">
      <c r="A10" s="442" t="s">
        <v>415</v>
      </c>
      <c r="B10" s="441"/>
      <c r="C10" s="351">
        <f>+C11+C21+C30+C41</f>
        <v>557263231.93999994</v>
      </c>
      <c r="D10" s="351">
        <f>+D11+D21+D30+D41</f>
        <v>78648773.709999993</v>
      </c>
      <c r="E10" s="351">
        <f>+E11+E21+E30+E41</f>
        <v>635912005.64999998</v>
      </c>
      <c r="F10" s="351">
        <f>+F11+F21+F30+F41</f>
        <v>155474969.89000002</v>
      </c>
      <c r="G10" s="351">
        <f>+G11+G21+G30+G41</f>
        <v>137282655.09</v>
      </c>
      <c r="H10" s="351">
        <f>+H11+H21+H30+H41</f>
        <v>480437035.75999999</v>
      </c>
    </row>
    <row r="11" spans="1:8" x14ac:dyDescent="0.25">
      <c r="A11" s="434" t="s">
        <v>413</v>
      </c>
      <c r="B11" s="433"/>
      <c r="C11" s="427">
        <f>SUM(C12:C19)</f>
        <v>0</v>
      </c>
      <c r="D11" s="427">
        <f>SUM(D12:D19)</f>
        <v>0</v>
      </c>
      <c r="E11" s="427">
        <f>SUM(E12:E19)</f>
        <v>0</v>
      </c>
      <c r="F11" s="427">
        <f>SUM(F12:F19)</f>
        <v>0</v>
      </c>
      <c r="G11" s="427">
        <f>SUM(G12:G19)</f>
        <v>0</v>
      </c>
      <c r="H11" s="427">
        <f>SUM(H12:H19)</f>
        <v>0</v>
      </c>
    </row>
    <row r="12" spans="1:8" x14ac:dyDescent="0.25">
      <c r="A12" s="430"/>
      <c r="B12" s="429" t="s">
        <v>412</v>
      </c>
      <c r="C12" s="428"/>
      <c r="D12" s="428"/>
      <c r="E12" s="427">
        <f>C12+D12</f>
        <v>0</v>
      </c>
      <c r="F12" s="428"/>
      <c r="G12" s="428"/>
      <c r="H12" s="427">
        <f>+E12-F12</f>
        <v>0</v>
      </c>
    </row>
    <row r="13" spans="1:8" x14ac:dyDescent="0.25">
      <c r="A13" s="430"/>
      <c r="B13" s="429" t="s">
        <v>411</v>
      </c>
      <c r="C13" s="428"/>
      <c r="D13" s="428"/>
      <c r="E13" s="427">
        <f>C13+D13</f>
        <v>0</v>
      </c>
      <c r="F13" s="428"/>
      <c r="G13" s="428"/>
      <c r="H13" s="427">
        <f>+E13-F13</f>
        <v>0</v>
      </c>
    </row>
    <row r="14" spans="1:8" x14ac:dyDescent="0.25">
      <c r="A14" s="430"/>
      <c r="B14" s="429" t="s">
        <v>410</v>
      </c>
      <c r="C14" s="428"/>
      <c r="D14" s="428"/>
      <c r="E14" s="427">
        <f>C14+D14</f>
        <v>0</v>
      </c>
      <c r="F14" s="428"/>
      <c r="G14" s="428"/>
      <c r="H14" s="427">
        <f>+E14-F14</f>
        <v>0</v>
      </c>
    </row>
    <row r="15" spans="1:8" x14ac:dyDescent="0.25">
      <c r="A15" s="430"/>
      <c r="B15" s="429" t="s">
        <v>409</v>
      </c>
      <c r="C15" s="428"/>
      <c r="D15" s="428"/>
      <c r="E15" s="427">
        <f>C15+D15</f>
        <v>0</v>
      </c>
      <c r="F15" s="428"/>
      <c r="G15" s="428"/>
      <c r="H15" s="427">
        <f>+E15-F15</f>
        <v>0</v>
      </c>
    </row>
    <row r="16" spans="1:8" x14ac:dyDescent="0.25">
      <c r="A16" s="430"/>
      <c r="B16" s="429" t="s">
        <v>408</v>
      </c>
      <c r="C16" s="428"/>
      <c r="D16" s="428"/>
      <c r="E16" s="427">
        <f>C16+D16</f>
        <v>0</v>
      </c>
      <c r="F16" s="428"/>
      <c r="G16" s="428"/>
      <c r="H16" s="427">
        <f>+E16-F16</f>
        <v>0</v>
      </c>
    </row>
    <row r="17" spans="1:14" x14ac:dyDescent="0.25">
      <c r="A17" s="430"/>
      <c r="B17" s="429" t="s">
        <v>407</v>
      </c>
      <c r="C17" s="428"/>
      <c r="D17" s="428"/>
      <c r="E17" s="427">
        <f>C17+D17</f>
        <v>0</v>
      </c>
      <c r="F17" s="428"/>
      <c r="G17" s="428"/>
      <c r="H17" s="427">
        <f>+E17-F17</f>
        <v>0</v>
      </c>
    </row>
    <row r="18" spans="1:14" x14ac:dyDescent="0.25">
      <c r="A18" s="430"/>
      <c r="B18" s="429" t="s">
        <v>406</v>
      </c>
      <c r="C18" s="428"/>
      <c r="D18" s="428"/>
      <c r="E18" s="427">
        <f>C18+D18</f>
        <v>0</v>
      </c>
      <c r="F18" s="428"/>
      <c r="G18" s="428"/>
      <c r="H18" s="427">
        <f>+E18-F18</f>
        <v>0</v>
      </c>
    </row>
    <row r="19" spans="1:14" x14ac:dyDescent="0.25">
      <c r="A19" s="430"/>
      <c r="B19" s="429" t="s">
        <v>405</v>
      </c>
      <c r="C19" s="428"/>
      <c r="D19" s="428"/>
      <c r="E19" s="427">
        <f>C19+D19</f>
        <v>0</v>
      </c>
      <c r="F19" s="428"/>
      <c r="G19" s="428"/>
      <c r="H19" s="427">
        <f>+E19-F19</f>
        <v>0</v>
      </c>
    </row>
    <row r="20" spans="1:14" x14ac:dyDescent="0.25">
      <c r="A20" s="437"/>
      <c r="B20" s="436"/>
      <c r="C20" s="440"/>
      <c r="D20" s="440"/>
      <c r="E20" s="440"/>
      <c r="F20" s="440"/>
      <c r="G20" s="440"/>
      <c r="H20" s="427" t="s">
        <v>46</v>
      </c>
    </row>
    <row r="21" spans="1:14" x14ac:dyDescent="0.25">
      <c r="A21" s="434" t="s">
        <v>404</v>
      </c>
      <c r="B21" s="433"/>
      <c r="C21" s="427">
        <f>SUM(C22:C28)</f>
        <v>557263231.93999994</v>
      </c>
      <c r="D21" s="427">
        <f>SUM(D22:D28)</f>
        <v>78648773.709999993</v>
      </c>
      <c r="E21" s="427">
        <f>SUM(E22:E28)</f>
        <v>635912005.64999998</v>
      </c>
      <c r="F21" s="427">
        <f>SUM(F22:F28)</f>
        <v>155474969.89000002</v>
      </c>
      <c r="G21" s="427">
        <f>SUM(G22:G28)</f>
        <v>137282655.09</v>
      </c>
      <c r="H21" s="427">
        <f>SUM(H22:H28)</f>
        <v>480437035.75999999</v>
      </c>
    </row>
    <row r="22" spans="1:14" x14ac:dyDescent="0.25">
      <c r="A22" s="430"/>
      <c r="B22" s="429" t="s">
        <v>403</v>
      </c>
      <c r="C22" s="428"/>
      <c r="D22" s="428"/>
      <c r="E22" s="427">
        <f>C22+D22</f>
        <v>0</v>
      </c>
      <c r="F22" s="428"/>
      <c r="G22" s="428"/>
      <c r="H22" s="427">
        <f>+E22-F22</f>
        <v>0</v>
      </c>
    </row>
    <row r="23" spans="1:14" x14ac:dyDescent="0.25">
      <c r="A23" s="430"/>
      <c r="B23" s="429" t="s">
        <v>402</v>
      </c>
      <c r="C23" s="428">
        <v>557263231.93999994</v>
      </c>
      <c r="D23" s="428">
        <f>81892819.71-3244046</f>
        <v>78648773.709999993</v>
      </c>
      <c r="E23" s="427">
        <f>C23+D23</f>
        <v>635912005.64999998</v>
      </c>
      <c r="F23" s="428">
        <v>155474969.89000002</v>
      </c>
      <c r="G23" s="428">
        <v>137282655.09</v>
      </c>
      <c r="H23" s="427">
        <f>+E23-F23</f>
        <v>480437035.75999999</v>
      </c>
      <c r="I23" s="439">
        <v>623563231.93999994</v>
      </c>
      <c r="J23" s="439">
        <v>99625464.020000011</v>
      </c>
      <c r="K23" s="439">
        <v>676927478.08999991</v>
      </c>
      <c r="L23" s="439">
        <v>155474969.89000002</v>
      </c>
      <c r="M23" s="439">
        <v>137282655.09</v>
      </c>
      <c r="N23" s="439">
        <v>521452508.19999999</v>
      </c>
    </row>
    <row r="24" spans="1:14" x14ac:dyDescent="0.25">
      <c r="A24" s="430"/>
      <c r="B24" s="429" t="s">
        <v>401</v>
      </c>
      <c r="C24" s="428"/>
      <c r="D24" s="428"/>
      <c r="E24" s="427">
        <f>C24+D24</f>
        <v>0</v>
      </c>
      <c r="F24" s="428"/>
      <c r="G24" s="428"/>
      <c r="H24" s="427">
        <f>+E24-F24</f>
        <v>0</v>
      </c>
      <c r="I24" s="439">
        <v>66300000</v>
      </c>
      <c r="J24" s="439">
        <v>17732644.310000002</v>
      </c>
      <c r="K24" s="439">
        <v>84032644.310000002</v>
      </c>
      <c r="L24" s="439">
        <v>0</v>
      </c>
      <c r="M24" s="439">
        <v>0</v>
      </c>
      <c r="N24" s="439">
        <v>84032644.310000002</v>
      </c>
    </row>
    <row r="25" spans="1:14" x14ac:dyDescent="0.25">
      <c r="A25" s="430"/>
      <c r="B25" s="429" t="s">
        <v>400</v>
      </c>
      <c r="C25" s="428"/>
      <c r="D25" s="428"/>
      <c r="E25" s="427">
        <f>C25+D25</f>
        <v>0</v>
      </c>
      <c r="F25" s="428"/>
      <c r="G25" s="428"/>
      <c r="H25" s="427">
        <f>+E25-F25</f>
        <v>0</v>
      </c>
      <c r="I25" s="438">
        <f>I23-I24</f>
        <v>557263231.93999994</v>
      </c>
      <c r="J25" s="438">
        <f>J23-J24</f>
        <v>81892819.710000008</v>
      </c>
      <c r="K25" s="438">
        <f>K23-K24</f>
        <v>592894833.77999997</v>
      </c>
      <c r="L25" s="438">
        <f>L23-L24</f>
        <v>155474969.89000002</v>
      </c>
      <c r="M25" s="438">
        <f>M23-M24</f>
        <v>137282655.09</v>
      </c>
      <c r="N25" s="438">
        <f>N23-N24</f>
        <v>437419863.88999999</v>
      </c>
    </row>
    <row r="26" spans="1:14" x14ac:dyDescent="0.25">
      <c r="A26" s="430"/>
      <c r="B26" s="429" t="s">
        <v>399</v>
      </c>
      <c r="C26" s="428"/>
      <c r="D26" s="428"/>
      <c r="E26" s="427">
        <f>C26+D26</f>
        <v>0</v>
      </c>
      <c r="F26" s="428"/>
      <c r="G26" s="428"/>
      <c r="H26" s="427">
        <f>+E26-F26</f>
        <v>0</v>
      </c>
    </row>
    <row r="27" spans="1:14" x14ac:dyDescent="0.25">
      <c r="A27" s="430"/>
      <c r="B27" s="429" t="s">
        <v>398</v>
      </c>
      <c r="C27" s="428"/>
      <c r="D27" s="428"/>
      <c r="E27" s="427">
        <f>C27+D27</f>
        <v>0</v>
      </c>
      <c r="F27" s="428"/>
      <c r="G27" s="428"/>
      <c r="H27" s="427">
        <f>+E27-F27</f>
        <v>0</v>
      </c>
    </row>
    <row r="28" spans="1:14" x14ac:dyDescent="0.25">
      <c r="A28" s="430"/>
      <c r="B28" s="429" t="s">
        <v>397</v>
      </c>
      <c r="C28" s="428"/>
      <c r="D28" s="428"/>
      <c r="E28" s="427">
        <f>C28+D28</f>
        <v>0</v>
      </c>
      <c r="F28" s="428"/>
      <c r="G28" s="428"/>
      <c r="H28" s="427">
        <f>+E28-F28</f>
        <v>0</v>
      </c>
    </row>
    <row r="29" spans="1:14" x14ac:dyDescent="0.25">
      <c r="A29" s="437"/>
      <c r="B29" s="436"/>
      <c r="C29" s="435"/>
      <c r="D29" s="435"/>
      <c r="E29" s="435"/>
      <c r="F29" s="435"/>
      <c r="G29" s="435"/>
      <c r="H29" s="435"/>
    </row>
    <row r="30" spans="1:14" x14ac:dyDescent="0.25">
      <c r="A30" s="434" t="s">
        <v>396</v>
      </c>
      <c r="B30" s="433"/>
      <c r="C30" s="427">
        <f>SUM(C31:C39)</f>
        <v>0</v>
      </c>
      <c r="D30" s="427">
        <f>SUM(D31:D39)</f>
        <v>0</v>
      </c>
      <c r="E30" s="427">
        <f>SUM(E31:E39)</f>
        <v>0</v>
      </c>
      <c r="F30" s="427">
        <f>SUM(F31:F39)</f>
        <v>0</v>
      </c>
      <c r="G30" s="427">
        <f>SUM(G31:G39)</f>
        <v>0</v>
      </c>
      <c r="H30" s="427">
        <f>SUM(H31:H39)</f>
        <v>0</v>
      </c>
    </row>
    <row r="31" spans="1:14" x14ac:dyDescent="0.25">
      <c r="A31" s="430"/>
      <c r="B31" s="429" t="s">
        <v>395</v>
      </c>
      <c r="C31" s="428"/>
      <c r="D31" s="428"/>
      <c r="E31" s="427">
        <f>C31+D31</f>
        <v>0</v>
      </c>
      <c r="F31" s="428"/>
      <c r="G31" s="428"/>
      <c r="H31" s="427">
        <f>+E31-F31</f>
        <v>0</v>
      </c>
    </row>
    <row r="32" spans="1:14" x14ac:dyDescent="0.25">
      <c r="A32" s="430"/>
      <c r="B32" s="429" t="s">
        <v>394</v>
      </c>
      <c r="C32" s="428"/>
      <c r="D32" s="428"/>
      <c r="E32" s="427">
        <f>C32+D32</f>
        <v>0</v>
      </c>
      <c r="F32" s="428"/>
      <c r="G32" s="428"/>
      <c r="H32" s="427">
        <f>+E32-F32</f>
        <v>0</v>
      </c>
    </row>
    <row r="33" spans="1:8" x14ac:dyDescent="0.25">
      <c r="A33" s="430"/>
      <c r="B33" s="429" t="s">
        <v>393</v>
      </c>
      <c r="C33" s="428"/>
      <c r="D33" s="428"/>
      <c r="E33" s="427">
        <f>C33+D33</f>
        <v>0</v>
      </c>
      <c r="F33" s="428"/>
      <c r="G33" s="428"/>
      <c r="H33" s="427">
        <f>+E33-F33</f>
        <v>0</v>
      </c>
    </row>
    <row r="34" spans="1:8" ht="15.75" thickBot="1" x14ac:dyDescent="0.3">
      <c r="A34" s="426"/>
      <c r="B34" s="425" t="s">
        <v>392</v>
      </c>
      <c r="C34" s="432"/>
      <c r="D34" s="432"/>
      <c r="E34" s="431">
        <f>C34+D34</f>
        <v>0</v>
      </c>
      <c r="F34" s="432"/>
      <c r="G34" s="432"/>
      <c r="H34" s="431">
        <f>+E34-F34</f>
        <v>0</v>
      </c>
    </row>
    <row r="35" spans="1:8" x14ac:dyDescent="0.25">
      <c r="A35" s="430"/>
      <c r="B35" s="429" t="s">
        <v>391</v>
      </c>
      <c r="C35" s="428"/>
      <c r="D35" s="428"/>
      <c r="E35" s="427">
        <f>C35+D35</f>
        <v>0</v>
      </c>
      <c r="F35" s="428"/>
      <c r="G35" s="428"/>
      <c r="H35" s="427">
        <f>+E35-F35</f>
        <v>0</v>
      </c>
    </row>
    <row r="36" spans="1:8" x14ac:dyDescent="0.25">
      <c r="A36" s="430"/>
      <c r="B36" s="429" t="s">
        <v>390</v>
      </c>
      <c r="C36" s="428"/>
      <c r="D36" s="428"/>
      <c r="E36" s="427">
        <f>C36+D36</f>
        <v>0</v>
      </c>
      <c r="F36" s="428"/>
      <c r="G36" s="428"/>
      <c r="H36" s="427">
        <f>+E36-F36</f>
        <v>0</v>
      </c>
    </row>
    <row r="37" spans="1:8" x14ac:dyDescent="0.25">
      <c r="A37" s="430"/>
      <c r="B37" s="429" t="s">
        <v>389</v>
      </c>
      <c r="C37" s="428"/>
      <c r="D37" s="428"/>
      <c r="E37" s="427">
        <f>C37+D37</f>
        <v>0</v>
      </c>
      <c r="F37" s="428"/>
      <c r="G37" s="428"/>
      <c r="H37" s="427">
        <f>+E37-F37</f>
        <v>0</v>
      </c>
    </row>
    <row r="38" spans="1:8" x14ac:dyDescent="0.25">
      <c r="A38" s="430"/>
      <c r="B38" s="429" t="s">
        <v>388</v>
      </c>
      <c r="C38" s="428"/>
      <c r="D38" s="428"/>
      <c r="E38" s="427">
        <f>C38+D38</f>
        <v>0</v>
      </c>
      <c r="F38" s="428"/>
      <c r="G38" s="428"/>
      <c r="H38" s="427">
        <f>+E38-F38</f>
        <v>0</v>
      </c>
    </row>
    <row r="39" spans="1:8" x14ac:dyDescent="0.25">
      <c r="A39" s="430"/>
      <c r="B39" s="429" t="s">
        <v>387</v>
      </c>
      <c r="C39" s="428"/>
      <c r="D39" s="428"/>
      <c r="E39" s="427">
        <f>C39+D39</f>
        <v>0</v>
      </c>
      <c r="F39" s="428"/>
      <c r="G39" s="428"/>
      <c r="H39" s="427">
        <f>+E39-F39</f>
        <v>0</v>
      </c>
    </row>
    <row r="40" spans="1:8" x14ac:dyDescent="0.25">
      <c r="A40" s="430"/>
      <c r="B40" s="429"/>
      <c r="C40" s="428"/>
      <c r="D40" s="428"/>
      <c r="E40" s="427"/>
      <c r="F40" s="428"/>
      <c r="G40" s="428"/>
      <c r="H40" s="427"/>
    </row>
    <row r="41" spans="1:8" x14ac:dyDescent="0.25">
      <c r="A41" s="430" t="s">
        <v>386</v>
      </c>
      <c r="B41" s="429"/>
      <c r="C41" s="427">
        <f>SUM(C42:C45)</f>
        <v>0</v>
      </c>
      <c r="D41" s="427">
        <f>SUM(D42:D45)</f>
        <v>0</v>
      </c>
      <c r="E41" s="427">
        <f>SUM(E42:E45)</f>
        <v>0</v>
      </c>
      <c r="F41" s="427">
        <f>SUM(F42:F45)</f>
        <v>0</v>
      </c>
      <c r="G41" s="427">
        <f>SUM(G42:G45)</f>
        <v>0</v>
      </c>
      <c r="H41" s="427">
        <f>SUM(H42:H45)</f>
        <v>0</v>
      </c>
    </row>
    <row r="42" spans="1:8" x14ac:dyDescent="0.25">
      <c r="A42" s="430"/>
      <c r="B42" s="429" t="s">
        <v>385</v>
      </c>
      <c r="C42" s="428"/>
      <c r="D42" s="428"/>
      <c r="E42" s="427">
        <f>C42+D42</f>
        <v>0</v>
      </c>
      <c r="F42" s="428"/>
      <c r="G42" s="428"/>
      <c r="H42" s="427">
        <f>+E42-F42</f>
        <v>0</v>
      </c>
    </row>
    <row r="43" spans="1:8" x14ac:dyDescent="0.25">
      <c r="A43" s="430"/>
      <c r="B43" s="429" t="s">
        <v>384</v>
      </c>
      <c r="C43" s="428"/>
      <c r="D43" s="428"/>
      <c r="E43" s="427">
        <f>C43+D43</f>
        <v>0</v>
      </c>
      <c r="F43" s="428"/>
      <c r="G43" s="428"/>
      <c r="H43" s="427">
        <f>+E43-F43</f>
        <v>0</v>
      </c>
    </row>
    <row r="44" spans="1:8" x14ac:dyDescent="0.25">
      <c r="A44" s="430"/>
      <c r="B44" s="429" t="s">
        <v>383</v>
      </c>
      <c r="C44" s="428"/>
      <c r="D44" s="428"/>
      <c r="E44" s="427">
        <f>C44+D44</f>
        <v>0</v>
      </c>
      <c r="F44" s="428"/>
      <c r="G44" s="428"/>
      <c r="H44" s="427">
        <f>+E44-F44</f>
        <v>0</v>
      </c>
    </row>
    <row r="45" spans="1:8" x14ac:dyDescent="0.25">
      <c r="A45" s="430"/>
      <c r="B45" s="429" t="s">
        <v>382</v>
      </c>
      <c r="C45" s="428"/>
      <c r="D45" s="428"/>
      <c r="E45" s="427">
        <f>C45+D45</f>
        <v>0</v>
      </c>
      <c r="F45" s="428"/>
      <c r="G45" s="428"/>
      <c r="H45" s="427">
        <f>+E45-F45</f>
        <v>0</v>
      </c>
    </row>
    <row r="46" spans="1:8" x14ac:dyDescent="0.25">
      <c r="A46" s="430"/>
      <c r="B46" s="429"/>
      <c r="C46" s="428"/>
      <c r="D46" s="428"/>
      <c r="E46" s="427"/>
      <c r="F46" s="428"/>
      <c r="G46" s="428"/>
      <c r="H46" s="427"/>
    </row>
    <row r="47" spans="1:8" x14ac:dyDescent="0.25">
      <c r="A47" s="430" t="s">
        <v>414</v>
      </c>
      <c r="B47" s="429"/>
      <c r="C47" s="427">
        <f>+C48+C58+C66+C77</f>
        <v>66300000</v>
      </c>
      <c r="D47" s="427">
        <f>+D48+D58+D66+D77</f>
        <v>19427847.629999999</v>
      </c>
      <c r="E47" s="427">
        <f>+E48+E58+E66+E77</f>
        <v>85727847.629999995</v>
      </c>
      <c r="F47" s="427">
        <f>+F48+F58+F66+F77</f>
        <v>0</v>
      </c>
      <c r="G47" s="427">
        <f>+G48+G58+G66+G77</f>
        <v>0</v>
      </c>
      <c r="H47" s="427">
        <f>+H48+H58+H66+H77</f>
        <v>85727847.629999995</v>
      </c>
    </row>
    <row r="48" spans="1:8" x14ac:dyDescent="0.25">
      <c r="A48" s="430" t="s">
        <v>413</v>
      </c>
      <c r="B48" s="429"/>
      <c r="C48" s="427">
        <f>SUM(C49:C56)</f>
        <v>0</v>
      </c>
      <c r="D48" s="427">
        <f>SUM(D49:D56)</f>
        <v>0</v>
      </c>
      <c r="E48" s="427">
        <f>SUM(E49:E56)</f>
        <v>0</v>
      </c>
      <c r="F48" s="427">
        <f>SUM(F49:F56)</f>
        <v>0</v>
      </c>
      <c r="G48" s="427">
        <f>SUM(G49:G56)</f>
        <v>0</v>
      </c>
      <c r="H48" s="427">
        <f>SUM(H49:H56)</f>
        <v>0</v>
      </c>
    </row>
    <row r="49" spans="1:8" x14ac:dyDescent="0.25">
      <c r="A49" s="430"/>
      <c r="B49" s="429" t="s">
        <v>412</v>
      </c>
      <c r="C49" s="428"/>
      <c r="D49" s="428"/>
      <c r="E49" s="427">
        <f>C49+D49</f>
        <v>0</v>
      </c>
      <c r="F49" s="428"/>
      <c r="G49" s="428"/>
      <c r="H49" s="427">
        <f>+E49-F49</f>
        <v>0</v>
      </c>
    </row>
    <row r="50" spans="1:8" x14ac:dyDescent="0.25">
      <c r="A50" s="430"/>
      <c r="B50" s="429" t="s">
        <v>411</v>
      </c>
      <c r="C50" s="428"/>
      <c r="D50" s="428"/>
      <c r="E50" s="427">
        <f>C50+D50</f>
        <v>0</v>
      </c>
      <c r="F50" s="428"/>
      <c r="G50" s="428"/>
      <c r="H50" s="427">
        <f>+E50-F50</f>
        <v>0</v>
      </c>
    </row>
    <row r="51" spans="1:8" x14ac:dyDescent="0.25">
      <c r="A51" s="430"/>
      <c r="B51" s="429" t="s">
        <v>410</v>
      </c>
      <c r="C51" s="428"/>
      <c r="D51" s="428"/>
      <c r="E51" s="427">
        <f>C51+D51</f>
        <v>0</v>
      </c>
      <c r="F51" s="428"/>
      <c r="G51" s="428"/>
      <c r="H51" s="427">
        <f>+E51-F51</f>
        <v>0</v>
      </c>
    </row>
    <row r="52" spans="1:8" x14ac:dyDescent="0.25">
      <c r="A52" s="430"/>
      <c r="B52" s="429" t="s">
        <v>409</v>
      </c>
      <c r="C52" s="428"/>
      <c r="D52" s="428"/>
      <c r="E52" s="427">
        <f>C52+D52</f>
        <v>0</v>
      </c>
      <c r="F52" s="428"/>
      <c r="G52" s="428"/>
      <c r="H52" s="427">
        <f>+E52-F52</f>
        <v>0</v>
      </c>
    </row>
    <row r="53" spans="1:8" x14ac:dyDescent="0.25">
      <c r="A53" s="430"/>
      <c r="B53" s="429" t="s">
        <v>408</v>
      </c>
      <c r="C53" s="428"/>
      <c r="D53" s="428"/>
      <c r="E53" s="427">
        <f>C53+D53</f>
        <v>0</v>
      </c>
      <c r="F53" s="428"/>
      <c r="G53" s="428"/>
      <c r="H53" s="427">
        <f>+E53-F53</f>
        <v>0</v>
      </c>
    </row>
    <row r="54" spans="1:8" x14ac:dyDescent="0.25">
      <c r="A54" s="430"/>
      <c r="B54" s="429" t="s">
        <v>407</v>
      </c>
      <c r="C54" s="428"/>
      <c r="D54" s="428"/>
      <c r="E54" s="427">
        <f>C54+D54</f>
        <v>0</v>
      </c>
      <c r="F54" s="428"/>
      <c r="G54" s="428"/>
      <c r="H54" s="427">
        <f>+E54-F54</f>
        <v>0</v>
      </c>
    </row>
    <row r="55" spans="1:8" x14ac:dyDescent="0.25">
      <c r="A55" s="430"/>
      <c r="B55" s="429" t="s">
        <v>406</v>
      </c>
      <c r="C55" s="428"/>
      <c r="D55" s="428"/>
      <c r="E55" s="427">
        <f>C55+D55</f>
        <v>0</v>
      </c>
      <c r="F55" s="428"/>
      <c r="G55" s="428"/>
      <c r="H55" s="427">
        <f>+E55-F55</f>
        <v>0</v>
      </c>
    </row>
    <row r="56" spans="1:8" x14ac:dyDescent="0.25">
      <c r="A56" s="430"/>
      <c r="B56" s="429" t="s">
        <v>405</v>
      </c>
      <c r="C56" s="428"/>
      <c r="D56" s="428"/>
      <c r="E56" s="427">
        <f>C56+D56</f>
        <v>0</v>
      </c>
      <c r="F56" s="428"/>
      <c r="G56" s="428"/>
      <c r="H56" s="427">
        <f>+E56-F56</f>
        <v>0</v>
      </c>
    </row>
    <row r="57" spans="1:8" x14ac:dyDescent="0.25">
      <c r="A57" s="430"/>
      <c r="B57" s="429"/>
      <c r="C57" s="428"/>
      <c r="D57" s="428"/>
      <c r="E57" s="427"/>
      <c r="F57" s="428"/>
      <c r="G57" s="428"/>
      <c r="H57" s="427"/>
    </row>
    <row r="58" spans="1:8" x14ac:dyDescent="0.25">
      <c r="A58" s="430" t="s">
        <v>404</v>
      </c>
      <c r="B58" s="429"/>
      <c r="C58" s="427">
        <f>SUM(C59:C65)</f>
        <v>66300000</v>
      </c>
      <c r="D58" s="427">
        <f>SUM(D59:D65)</f>
        <v>19427847.629999999</v>
      </c>
      <c r="E58" s="427">
        <f>SUM(E59:E65)</f>
        <v>85727847.629999995</v>
      </c>
      <c r="F58" s="427">
        <f>SUM(F59:F65)</f>
        <v>0</v>
      </c>
      <c r="G58" s="427">
        <f>SUM(G59:G65)</f>
        <v>0</v>
      </c>
      <c r="H58" s="427">
        <f>SUM(H59:H65)</f>
        <v>85727847.629999995</v>
      </c>
    </row>
    <row r="59" spans="1:8" x14ac:dyDescent="0.25">
      <c r="A59" s="430"/>
      <c r="B59" s="429" t="s">
        <v>403</v>
      </c>
      <c r="C59" s="428"/>
      <c r="D59" s="428"/>
      <c r="E59" s="427">
        <f>C59+D59</f>
        <v>0</v>
      </c>
      <c r="F59" s="428"/>
      <c r="G59" s="428"/>
      <c r="H59" s="427">
        <f>+E59-F59</f>
        <v>0</v>
      </c>
    </row>
    <row r="60" spans="1:8" x14ac:dyDescent="0.25">
      <c r="A60" s="430"/>
      <c r="B60" s="429" t="s">
        <v>402</v>
      </c>
      <c r="C60" s="428">
        <v>66300000</v>
      </c>
      <c r="D60" s="428">
        <f>17732644.31+3244046-1548842.68</f>
        <v>19427847.629999999</v>
      </c>
      <c r="E60" s="427">
        <f>C60+D60</f>
        <v>85727847.629999995</v>
      </c>
      <c r="F60" s="428">
        <v>0</v>
      </c>
      <c r="G60" s="428">
        <v>0</v>
      </c>
      <c r="H60" s="427">
        <f>+E60-F60</f>
        <v>85727847.629999995</v>
      </c>
    </row>
    <row r="61" spans="1:8" x14ac:dyDescent="0.25">
      <c r="A61" s="430"/>
      <c r="B61" s="429" t="s">
        <v>401</v>
      </c>
      <c r="C61" s="428"/>
      <c r="D61" s="428"/>
      <c r="E61" s="427">
        <f>C61+D61</f>
        <v>0</v>
      </c>
      <c r="F61" s="428"/>
      <c r="G61" s="428"/>
      <c r="H61" s="427">
        <f>+E61-F61</f>
        <v>0</v>
      </c>
    </row>
    <row r="62" spans="1:8" x14ac:dyDescent="0.25">
      <c r="A62" s="430"/>
      <c r="B62" s="429" t="s">
        <v>400</v>
      </c>
      <c r="C62" s="428"/>
      <c r="D62" s="428"/>
      <c r="E62" s="427">
        <f>C62+D62</f>
        <v>0</v>
      </c>
      <c r="F62" s="428"/>
      <c r="G62" s="428"/>
      <c r="H62" s="427">
        <f>+E62-F62</f>
        <v>0</v>
      </c>
    </row>
    <row r="63" spans="1:8" x14ac:dyDescent="0.25">
      <c r="A63" s="430"/>
      <c r="B63" s="429" t="s">
        <v>399</v>
      </c>
      <c r="C63" s="428"/>
      <c r="D63" s="428"/>
      <c r="E63" s="427">
        <f>C63+D63</f>
        <v>0</v>
      </c>
      <c r="F63" s="428"/>
      <c r="G63" s="428"/>
      <c r="H63" s="427">
        <f>+E63-F63</f>
        <v>0</v>
      </c>
    </row>
    <row r="64" spans="1:8" x14ac:dyDescent="0.25">
      <c r="A64" s="430"/>
      <c r="B64" s="429" t="s">
        <v>398</v>
      </c>
      <c r="C64" s="428"/>
      <c r="D64" s="428"/>
      <c r="E64" s="427">
        <f>C64+D64</f>
        <v>0</v>
      </c>
      <c r="F64" s="428"/>
      <c r="G64" s="428"/>
      <c r="H64" s="427">
        <f>+E64-F64</f>
        <v>0</v>
      </c>
    </row>
    <row r="65" spans="1:8" ht="15.75" thickBot="1" x14ac:dyDescent="0.3">
      <c r="A65" s="426"/>
      <c r="B65" s="425" t="s">
        <v>397</v>
      </c>
      <c r="C65" s="432"/>
      <c r="D65" s="432"/>
      <c r="E65" s="431">
        <f>C65+D65</f>
        <v>0</v>
      </c>
      <c r="F65" s="432"/>
      <c r="G65" s="432"/>
      <c r="H65" s="431">
        <f>+E65-F65</f>
        <v>0</v>
      </c>
    </row>
    <row r="66" spans="1:8" x14ac:dyDescent="0.25">
      <c r="A66" s="430" t="s">
        <v>396</v>
      </c>
      <c r="B66" s="429"/>
      <c r="C66" s="427">
        <f>SUM(C67:C75)</f>
        <v>0</v>
      </c>
      <c r="D66" s="427">
        <f>SUM(D67:D75)</f>
        <v>0</v>
      </c>
      <c r="E66" s="427">
        <f>SUM(E67:E75)</f>
        <v>0</v>
      </c>
      <c r="F66" s="427">
        <f>SUM(F67:F75)</f>
        <v>0</v>
      </c>
      <c r="G66" s="427">
        <f>SUM(G67:G75)</f>
        <v>0</v>
      </c>
      <c r="H66" s="427">
        <f>SUM(H67:H75)</f>
        <v>0</v>
      </c>
    </row>
    <row r="67" spans="1:8" x14ac:dyDescent="0.25">
      <c r="A67" s="430"/>
      <c r="B67" s="429" t="s">
        <v>395</v>
      </c>
      <c r="C67" s="428"/>
      <c r="D67" s="428"/>
      <c r="E67" s="427">
        <f>C67+D67</f>
        <v>0</v>
      </c>
      <c r="F67" s="428"/>
      <c r="G67" s="428"/>
      <c r="H67" s="427">
        <f>+E67-F67</f>
        <v>0</v>
      </c>
    </row>
    <row r="68" spans="1:8" x14ac:dyDescent="0.25">
      <c r="A68" s="430"/>
      <c r="B68" s="429" t="s">
        <v>394</v>
      </c>
      <c r="C68" s="428"/>
      <c r="D68" s="428"/>
      <c r="E68" s="427"/>
      <c r="F68" s="428"/>
      <c r="G68" s="428"/>
      <c r="H68" s="427">
        <f>+E68-F68</f>
        <v>0</v>
      </c>
    </row>
    <row r="69" spans="1:8" x14ac:dyDescent="0.25">
      <c r="A69" s="430"/>
      <c r="B69" s="429" t="s">
        <v>393</v>
      </c>
      <c r="C69" s="428"/>
      <c r="D69" s="428"/>
      <c r="E69" s="427">
        <f>C69+D69</f>
        <v>0</v>
      </c>
      <c r="F69" s="428"/>
      <c r="G69" s="428"/>
      <c r="H69" s="427">
        <f>+E69-F69</f>
        <v>0</v>
      </c>
    </row>
    <row r="70" spans="1:8" x14ac:dyDescent="0.25">
      <c r="A70" s="430"/>
      <c r="B70" s="429" t="s">
        <v>392</v>
      </c>
      <c r="C70" s="428"/>
      <c r="D70" s="428"/>
      <c r="E70" s="427">
        <f>C70+D70</f>
        <v>0</v>
      </c>
      <c r="F70" s="428"/>
      <c r="G70" s="428"/>
      <c r="H70" s="427">
        <f>+E70-F70</f>
        <v>0</v>
      </c>
    </row>
    <row r="71" spans="1:8" x14ac:dyDescent="0.25">
      <c r="A71" s="430"/>
      <c r="B71" s="429" t="s">
        <v>391</v>
      </c>
      <c r="C71" s="428"/>
      <c r="D71" s="428"/>
      <c r="E71" s="427">
        <f>C71+D71</f>
        <v>0</v>
      </c>
      <c r="F71" s="428"/>
      <c r="G71" s="428"/>
      <c r="H71" s="427">
        <f>+E71-F71</f>
        <v>0</v>
      </c>
    </row>
    <row r="72" spans="1:8" x14ac:dyDescent="0.25">
      <c r="A72" s="430"/>
      <c r="B72" s="429" t="s">
        <v>390</v>
      </c>
      <c r="C72" s="428"/>
      <c r="D72" s="428"/>
      <c r="E72" s="427">
        <f>C72+D72</f>
        <v>0</v>
      </c>
      <c r="F72" s="428"/>
      <c r="G72" s="428"/>
      <c r="H72" s="427">
        <f>+E72-F72</f>
        <v>0</v>
      </c>
    </row>
    <row r="73" spans="1:8" x14ac:dyDescent="0.25">
      <c r="A73" s="430"/>
      <c r="B73" s="429" t="s">
        <v>389</v>
      </c>
      <c r="C73" s="428"/>
      <c r="D73" s="428"/>
      <c r="E73" s="427">
        <f>C73+D73</f>
        <v>0</v>
      </c>
      <c r="F73" s="428"/>
      <c r="G73" s="428"/>
      <c r="H73" s="427">
        <f>+E73-F73</f>
        <v>0</v>
      </c>
    </row>
    <row r="74" spans="1:8" x14ac:dyDescent="0.25">
      <c r="A74" s="430"/>
      <c r="B74" s="429" t="s">
        <v>388</v>
      </c>
      <c r="C74" s="428"/>
      <c r="D74" s="428"/>
      <c r="E74" s="427">
        <f>C74+D74</f>
        <v>0</v>
      </c>
      <c r="F74" s="428"/>
      <c r="G74" s="428"/>
      <c r="H74" s="427">
        <f>+E74-F74</f>
        <v>0</v>
      </c>
    </row>
    <row r="75" spans="1:8" x14ac:dyDescent="0.25">
      <c r="A75" s="430"/>
      <c r="B75" s="429" t="s">
        <v>387</v>
      </c>
      <c r="C75" s="428"/>
      <c r="D75" s="428"/>
      <c r="E75" s="427">
        <f>C75+D75</f>
        <v>0</v>
      </c>
      <c r="F75" s="428"/>
      <c r="G75" s="428"/>
      <c r="H75" s="427">
        <f>+E75-F75</f>
        <v>0</v>
      </c>
    </row>
    <row r="76" spans="1:8" x14ac:dyDescent="0.25">
      <c r="A76" s="430"/>
      <c r="B76" s="429"/>
      <c r="C76" s="428"/>
      <c r="D76" s="428"/>
      <c r="E76" s="427"/>
      <c r="F76" s="428"/>
      <c r="G76" s="428"/>
      <c r="H76" s="427"/>
    </row>
    <row r="77" spans="1:8" x14ac:dyDescent="0.25">
      <c r="A77" s="430" t="s">
        <v>386</v>
      </c>
      <c r="B77" s="429"/>
      <c r="C77" s="427">
        <f>SUM(C78:C81)</f>
        <v>0</v>
      </c>
      <c r="D77" s="427">
        <f>SUM(D78:D81)</f>
        <v>0</v>
      </c>
      <c r="E77" s="427">
        <f>SUM(E78:E81)</f>
        <v>0</v>
      </c>
      <c r="F77" s="427">
        <f>SUM(F78:F81)</f>
        <v>0</v>
      </c>
      <c r="G77" s="427">
        <f>SUM(G78:G81)</f>
        <v>0</v>
      </c>
      <c r="H77" s="427">
        <f>SUM(H78:H81)</f>
        <v>0</v>
      </c>
    </row>
    <row r="78" spans="1:8" x14ac:dyDescent="0.25">
      <c r="A78" s="430"/>
      <c r="B78" s="429" t="s">
        <v>385</v>
      </c>
      <c r="C78" s="428">
        <v>0</v>
      </c>
      <c r="D78" s="428"/>
      <c r="E78" s="427">
        <f>C78+D78</f>
        <v>0</v>
      </c>
      <c r="F78" s="428"/>
      <c r="G78" s="428"/>
      <c r="H78" s="427">
        <f>+E78-F78</f>
        <v>0</v>
      </c>
    </row>
    <row r="79" spans="1:8" x14ac:dyDescent="0.25">
      <c r="A79" s="430"/>
      <c r="B79" s="429" t="s">
        <v>384</v>
      </c>
      <c r="C79" s="428">
        <v>0</v>
      </c>
      <c r="D79" s="428"/>
      <c r="E79" s="427">
        <f>C79+D79</f>
        <v>0</v>
      </c>
      <c r="F79" s="428"/>
      <c r="G79" s="428"/>
      <c r="H79" s="427">
        <f>+E79-F79</f>
        <v>0</v>
      </c>
    </row>
    <row r="80" spans="1:8" x14ac:dyDescent="0.25">
      <c r="A80" s="430"/>
      <c r="B80" s="429" t="s">
        <v>383</v>
      </c>
      <c r="C80" s="428">
        <v>0</v>
      </c>
      <c r="D80" s="428"/>
      <c r="E80" s="427">
        <f>C80+D80</f>
        <v>0</v>
      </c>
      <c r="F80" s="428"/>
      <c r="G80" s="428"/>
      <c r="H80" s="427">
        <f>+E80-F80</f>
        <v>0</v>
      </c>
    </row>
    <row r="81" spans="1:9" x14ac:dyDescent="0.25">
      <c r="A81" s="430"/>
      <c r="B81" s="429" t="s">
        <v>382</v>
      </c>
      <c r="C81" s="428"/>
      <c r="D81" s="428"/>
      <c r="E81" s="427">
        <f>C81+D81</f>
        <v>0</v>
      </c>
      <c r="F81" s="428"/>
      <c r="G81" s="428"/>
      <c r="H81" s="427">
        <f>+E81-F81</f>
        <v>0</v>
      </c>
    </row>
    <row r="82" spans="1:9" x14ac:dyDescent="0.25">
      <c r="A82" s="430"/>
      <c r="B82" s="429"/>
      <c r="C82" s="428"/>
      <c r="D82" s="428"/>
      <c r="E82" s="427"/>
      <c r="F82" s="428"/>
      <c r="G82" s="428"/>
      <c r="H82" s="427"/>
    </row>
    <row r="83" spans="1:9" ht="15.75" thickBot="1" x14ac:dyDescent="0.3">
      <c r="A83" s="426" t="s">
        <v>216</v>
      </c>
      <c r="B83" s="425"/>
      <c r="C83" s="424">
        <f>+C10+C47</f>
        <v>623563231.93999994</v>
      </c>
      <c r="D83" s="424">
        <f>+D10+D47</f>
        <v>98076621.339999989</v>
      </c>
      <c r="E83" s="424">
        <f>+E10+E47</f>
        <v>721639853.27999997</v>
      </c>
      <c r="F83" s="424">
        <f>+F10+F47</f>
        <v>155474969.89000002</v>
      </c>
      <c r="G83" s="424">
        <f>+G10+G47</f>
        <v>137282655.09</v>
      </c>
      <c r="H83" s="424">
        <f>+H10+H47</f>
        <v>566164883.38999999</v>
      </c>
      <c r="I83" s="107" t="str">
        <f>IF((C83-'ETCA-II-11'!B45)&gt;0.9,"ERROR!!!!! EL MONTO NO COINCIDE CON LO REPORTADO EN EL FORMATO ETCA-II-11 EN EL TOTAL DEL GASTO","")</f>
        <v/>
      </c>
    </row>
    <row r="84" spans="1:9" x14ac:dyDescent="0.25">
      <c r="A84" s="423"/>
      <c r="B84" s="423"/>
      <c r="C84" s="422"/>
      <c r="D84" s="422"/>
      <c r="E84" s="421"/>
      <c r="F84" s="422"/>
      <c r="G84" s="422"/>
      <c r="H84" s="421"/>
      <c r="I84" s="107" t="str">
        <f>IF((D83-'ETCA-II-11'!C45)&gt;0.9,"ERROR!!!!! EL MONTO NO COINCIDE CON LO REPORTADO EN EL FORMATO ETCA-II-11 EN EL TOTAL DEL GASTO","")</f>
        <v/>
      </c>
    </row>
    <row r="85" spans="1:9" x14ac:dyDescent="0.25">
      <c r="A85" s="423"/>
      <c r="B85" s="423"/>
      <c r="C85" s="422"/>
      <c r="D85" s="422"/>
      <c r="E85" s="421"/>
      <c r="F85" s="422"/>
      <c r="G85" s="422"/>
      <c r="H85" s="421"/>
    </row>
    <row r="86" spans="1:9" x14ac:dyDescent="0.25">
      <c r="A86" s="423"/>
      <c r="B86" s="423"/>
      <c r="C86" s="422"/>
      <c r="D86" s="422"/>
      <c r="E86" s="421"/>
      <c r="F86" s="422"/>
      <c r="G86" s="422"/>
      <c r="H86" s="421"/>
      <c r="I86" t="str">
        <f>IF((F83-'ETCA-II-11'!E45)&gt;0.9,"ERROR!!!!! EL MONTO NO COINCIDE CON LO REPORTADO EN EL FORMATO ETCA-II-11 EN EL TOTAL DEL GASTO","")</f>
        <v/>
      </c>
    </row>
    <row r="87" spans="1:9" x14ac:dyDescent="0.25">
      <c r="A87" s="423"/>
      <c r="B87" s="423"/>
      <c r="C87" s="422"/>
      <c r="D87" s="422"/>
      <c r="E87" s="421"/>
      <c r="F87" s="422"/>
      <c r="G87" s="422"/>
      <c r="H87" s="421"/>
      <c r="I87" t="str">
        <f>IF((G83-'ETCA-II-11'!F45)&gt;0.9,"ERROR!!!!! EL MONTO NO COINCIDE CON LO REPORTADO EN EL FORMATO ETCA-II-11 EN EL TOTAL DEL GASTO","")</f>
        <v/>
      </c>
    </row>
    <row r="88" spans="1:9" x14ac:dyDescent="0.25">
      <c r="A88" s="423"/>
      <c r="B88" s="423"/>
      <c r="C88" s="422"/>
      <c r="D88" s="422"/>
      <c r="E88" s="421"/>
      <c r="F88" s="422"/>
      <c r="G88" s="422"/>
      <c r="H88" s="421"/>
      <c r="I88" t="str">
        <f>IF((H83-'ETCA-II-11'!G45)&gt;0.9,"ERROR!!!!! EL MONTO NO COINCIDE CON LO REPORTADO EN EL FORMATO ETCA-II-11 EN EL TOTAL DEL GASTO","")</f>
        <v/>
      </c>
    </row>
    <row r="89" spans="1:9" x14ac:dyDescent="0.25">
      <c r="A89" s="423"/>
      <c r="B89" s="423"/>
      <c r="C89" s="422"/>
      <c r="D89" s="422"/>
      <c r="E89" s="421"/>
      <c r="F89" s="422"/>
      <c r="G89" s="422"/>
      <c r="H89" s="421"/>
    </row>
  </sheetData>
  <sheetProtection formatColumns="0" formatRows="0" insertHyperlinks="0"/>
  <mergeCells count="14">
    <mergeCell ref="A9:B9"/>
    <mergeCell ref="A10:B10"/>
    <mergeCell ref="A11:B11"/>
    <mergeCell ref="A21:B21"/>
    <mergeCell ref="A30:B30"/>
    <mergeCell ref="A7:B8"/>
    <mergeCell ref="C7:G7"/>
    <mergeCell ref="H7:H8"/>
    <mergeCell ref="A1:H1"/>
    <mergeCell ref="A3:H3"/>
    <mergeCell ref="A4:H4"/>
    <mergeCell ref="A5:H5"/>
    <mergeCell ref="A6:H6"/>
    <mergeCell ref="A2:H2"/>
  </mergeCells>
  <pageMargins left="0.19685039370078741" right="0.31496062992125984" top="0.74803149606299213" bottom="0.74803149606299213" header="0.31496062992125984" footer="0.31496062992125984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56215-5310-4210-81F1-A768C4732CF5}">
  <sheetPr>
    <tabColor theme="0" tint="-0.249977111117893"/>
  </sheetPr>
  <dimension ref="A1:I33"/>
  <sheetViews>
    <sheetView view="pageBreakPreview" zoomScaleNormal="100" zoomScaleSheetLayoutView="100" workbookViewId="0">
      <selection activeCell="O24" sqref="O24"/>
    </sheetView>
  </sheetViews>
  <sheetFormatPr baseColWidth="10" defaultColWidth="11.42578125" defaultRowHeight="15" x14ac:dyDescent="0.25"/>
  <cols>
    <col min="1" max="1" width="32.140625" customWidth="1"/>
    <col min="2" max="2" width="12.42578125" customWidth="1"/>
    <col min="3" max="3" width="13" customWidth="1"/>
    <col min="4" max="4" width="12.85546875" bestFit="1" customWidth="1"/>
    <col min="5" max="7" width="12" bestFit="1" customWidth="1"/>
  </cols>
  <sheetData>
    <row r="1" spans="1:9" ht="15.75" x14ac:dyDescent="0.25">
      <c r="A1" s="174" t="s">
        <v>42</v>
      </c>
      <c r="B1" s="174"/>
      <c r="C1" s="174"/>
      <c r="D1" s="174"/>
      <c r="E1" s="174"/>
      <c r="F1" s="174"/>
      <c r="G1" s="174"/>
      <c r="H1" s="480"/>
      <c r="I1" s="480"/>
    </row>
    <row r="2" spans="1:9" ht="15.75" customHeight="1" x14ac:dyDescent="0.25">
      <c r="A2" s="173" t="s">
        <v>430</v>
      </c>
      <c r="B2" s="173"/>
      <c r="C2" s="173"/>
      <c r="D2" s="173"/>
      <c r="E2" s="173"/>
      <c r="F2" s="173"/>
      <c r="G2" s="173"/>
      <c r="H2" s="7"/>
      <c r="I2" s="7"/>
    </row>
    <row r="3" spans="1:9" ht="15.75" customHeight="1" x14ac:dyDescent="0.25">
      <c r="A3" s="173" t="s">
        <v>429</v>
      </c>
      <c r="B3" s="173"/>
      <c r="C3" s="173"/>
      <c r="D3" s="173"/>
      <c r="E3" s="173"/>
      <c r="F3" s="173"/>
      <c r="G3" s="173"/>
      <c r="H3" s="7"/>
      <c r="I3" s="7"/>
    </row>
    <row r="4" spans="1:9" ht="16.5" customHeight="1" x14ac:dyDescent="0.25">
      <c r="A4" s="173" t="str">
        <f>'[1]ETCA-I-01'!A3:G3</f>
        <v>Comision Estatal del Agua</v>
      </c>
      <c r="B4" s="173"/>
      <c r="C4" s="173"/>
      <c r="D4" s="173"/>
      <c r="E4" s="173"/>
      <c r="F4" s="173"/>
      <c r="G4" s="173"/>
      <c r="H4" s="7"/>
      <c r="I4" s="7"/>
    </row>
    <row r="5" spans="1:9" ht="15.75" customHeight="1" x14ac:dyDescent="0.25">
      <c r="A5" s="479" t="str">
        <f>'[1]ETCA-I-03'!A4:D4</f>
        <v>Del 01 de Enero al 31 de Marzo de 2019</v>
      </c>
      <c r="B5" s="479"/>
      <c r="C5" s="479"/>
      <c r="D5" s="479"/>
      <c r="E5" s="479"/>
      <c r="F5" s="479"/>
      <c r="G5" s="479"/>
      <c r="H5" s="478"/>
      <c r="I5" s="478"/>
    </row>
    <row r="6" spans="1:9" ht="15.75" customHeight="1" thickBot="1" x14ac:dyDescent="0.3">
      <c r="A6" s="171" t="s">
        <v>40</v>
      </c>
      <c r="B6" s="171"/>
      <c r="C6" s="171"/>
      <c r="D6" s="171"/>
      <c r="E6" s="171"/>
      <c r="F6" s="171"/>
      <c r="G6" s="171"/>
      <c r="H6" s="477"/>
      <c r="I6" s="477"/>
    </row>
    <row r="7" spans="1:9" ht="15.75" thickBot="1" x14ac:dyDescent="0.3">
      <c r="A7" s="476" t="s">
        <v>298</v>
      </c>
      <c r="B7" s="475" t="s">
        <v>297</v>
      </c>
      <c r="C7" s="474"/>
      <c r="D7" s="474"/>
      <c r="E7" s="474"/>
      <c r="F7" s="473"/>
      <c r="G7" s="472" t="s">
        <v>296</v>
      </c>
    </row>
    <row r="8" spans="1:9" ht="20.25" thickBot="1" x14ac:dyDescent="0.3">
      <c r="A8" s="471"/>
      <c r="B8" s="470" t="s">
        <v>295</v>
      </c>
      <c r="C8" s="470" t="s">
        <v>294</v>
      </c>
      <c r="D8" s="470" t="s">
        <v>293</v>
      </c>
      <c r="E8" s="470" t="s">
        <v>29</v>
      </c>
      <c r="F8" s="470" t="s">
        <v>333</v>
      </c>
      <c r="G8" s="469"/>
    </row>
    <row r="9" spans="1:9" ht="19.5" x14ac:dyDescent="0.25">
      <c r="A9" s="459" t="s">
        <v>428</v>
      </c>
      <c r="B9" s="458">
        <f>B10+B11+B12+B13+B14+B15+B16+B19</f>
        <v>205993811.70999998</v>
      </c>
      <c r="C9" s="458">
        <f>C10+C11+C12+C13+C14+C15+C16+C19</f>
        <v>-604721.11000000034</v>
      </c>
      <c r="D9" s="458">
        <f>D10+D11+D12+D13+D14+D15+D16+D19</f>
        <v>205389090.59999996</v>
      </c>
      <c r="E9" s="458">
        <f>E10+E11+E12+E13+E14+E15+E16+E19</f>
        <v>52755960.460000001</v>
      </c>
      <c r="F9" s="458">
        <f>F10+F11+F12+F13+F14+F15+F16+F19</f>
        <v>46456428.769999988</v>
      </c>
      <c r="G9" s="458">
        <f>G10+G11+G12+G13+G14+G15+G16+G19</f>
        <v>152633130.13999996</v>
      </c>
    </row>
    <row r="10" spans="1:9" ht="19.5" x14ac:dyDescent="0.25">
      <c r="A10" s="463" t="s">
        <v>426</v>
      </c>
      <c r="B10" s="468">
        <v>205993811.70999998</v>
      </c>
      <c r="C10" s="467">
        <v>-604721.11000000034</v>
      </c>
      <c r="D10" s="466">
        <f>B10+C10</f>
        <v>205389090.59999996</v>
      </c>
      <c r="E10" s="467">
        <v>52755960.460000001</v>
      </c>
      <c r="F10" s="467">
        <v>46456428.769999988</v>
      </c>
      <c r="G10" s="466">
        <f>D10-E10</f>
        <v>152633130.13999996</v>
      </c>
    </row>
    <row r="11" spans="1:9" x14ac:dyDescent="0.25">
      <c r="A11" s="463" t="s">
        <v>425</v>
      </c>
      <c r="B11" s="462"/>
      <c r="C11" s="461"/>
      <c r="D11" s="460">
        <f>B11+C11</f>
        <v>0</v>
      </c>
      <c r="E11" s="461"/>
      <c r="F11" s="461"/>
      <c r="G11" s="460">
        <f>D11-E11</f>
        <v>0</v>
      </c>
    </row>
    <row r="12" spans="1:9" x14ac:dyDescent="0.25">
      <c r="A12" s="463" t="s">
        <v>424</v>
      </c>
      <c r="B12" s="462"/>
      <c r="C12" s="461"/>
      <c r="D12" s="460">
        <f>B12+C12</f>
        <v>0</v>
      </c>
      <c r="E12" s="461"/>
      <c r="F12" s="461"/>
      <c r="G12" s="460">
        <f>D12-E12</f>
        <v>0</v>
      </c>
    </row>
    <row r="13" spans="1:9" x14ac:dyDescent="0.25">
      <c r="A13" s="463" t="s">
        <v>423</v>
      </c>
      <c r="B13" s="462"/>
      <c r="C13" s="461"/>
      <c r="D13" s="460">
        <f>B13+C13</f>
        <v>0</v>
      </c>
      <c r="E13" s="461"/>
      <c r="F13" s="461"/>
      <c r="G13" s="460">
        <f>D13-E13</f>
        <v>0</v>
      </c>
    </row>
    <row r="14" spans="1:9" x14ac:dyDescent="0.25">
      <c r="A14" s="463" t="s">
        <v>422</v>
      </c>
      <c r="B14" s="462"/>
      <c r="C14" s="461"/>
      <c r="D14" s="460">
        <f>B14+C14</f>
        <v>0</v>
      </c>
      <c r="E14" s="461"/>
      <c r="F14" s="461"/>
      <c r="G14" s="460">
        <f>D14-E14</f>
        <v>0</v>
      </c>
    </row>
    <row r="15" spans="1:9" x14ac:dyDescent="0.25">
      <c r="A15" s="463" t="s">
        <v>421</v>
      </c>
      <c r="B15" s="462"/>
      <c r="C15" s="461"/>
      <c r="D15" s="460">
        <f>B15+C15</f>
        <v>0</v>
      </c>
      <c r="E15" s="461"/>
      <c r="F15" s="461"/>
      <c r="G15" s="460">
        <f>D15-E15</f>
        <v>0</v>
      </c>
    </row>
    <row r="16" spans="1:9" ht="29.25" x14ac:dyDescent="0.25">
      <c r="A16" s="463" t="s">
        <v>420</v>
      </c>
      <c r="B16" s="465">
        <f>B17+B18</f>
        <v>0</v>
      </c>
      <c r="C16" s="465">
        <f>C17+C18</f>
        <v>0</v>
      </c>
      <c r="D16" s="465">
        <f>D17+D18</f>
        <v>0</v>
      </c>
      <c r="E16" s="465">
        <f>E17+E18</f>
        <v>0</v>
      </c>
      <c r="F16" s="465">
        <f>F17+F18</f>
        <v>0</v>
      </c>
      <c r="G16" s="465">
        <f>G17+G18</f>
        <v>0</v>
      </c>
    </row>
    <row r="17" spans="1:7" x14ac:dyDescent="0.25">
      <c r="A17" s="464" t="s">
        <v>419</v>
      </c>
      <c r="B17" s="462"/>
      <c r="C17" s="461"/>
      <c r="D17" s="460">
        <f>B17+C17</f>
        <v>0</v>
      </c>
      <c r="E17" s="461"/>
      <c r="F17" s="461"/>
      <c r="G17" s="460">
        <f>D17-E17</f>
        <v>0</v>
      </c>
    </row>
    <row r="18" spans="1:7" x14ac:dyDescent="0.25">
      <c r="A18" s="464" t="s">
        <v>418</v>
      </c>
      <c r="B18" s="462"/>
      <c r="C18" s="461"/>
      <c r="D18" s="460">
        <f>B18+C18</f>
        <v>0</v>
      </c>
      <c r="E18" s="461"/>
      <c r="F18" s="461"/>
      <c r="G18" s="460">
        <f>D18-E18</f>
        <v>0</v>
      </c>
    </row>
    <row r="19" spans="1:7" x14ac:dyDescent="0.25">
      <c r="A19" s="463" t="s">
        <v>417</v>
      </c>
      <c r="B19" s="462"/>
      <c r="C19" s="461"/>
      <c r="D19" s="460">
        <f>B19+C19</f>
        <v>0</v>
      </c>
      <c r="E19" s="461"/>
      <c r="F19" s="461"/>
      <c r="G19" s="460">
        <f>D19-E19</f>
        <v>0</v>
      </c>
    </row>
    <row r="20" spans="1:7" x14ac:dyDescent="0.25">
      <c r="A20" s="463"/>
      <c r="B20" s="465"/>
      <c r="C20" s="460"/>
      <c r="D20" s="460"/>
      <c r="E20" s="460"/>
      <c r="F20" s="460"/>
      <c r="G20" s="460"/>
    </row>
    <row r="21" spans="1:7" ht="19.5" x14ac:dyDescent="0.25">
      <c r="A21" s="459" t="s">
        <v>427</v>
      </c>
      <c r="B21" s="465">
        <f>B22+B23+B24+B25+B26+B27+B28+B31</f>
        <v>0</v>
      </c>
      <c r="C21" s="465">
        <f>C22+C23+C24+C25+C26+C27+C28+C31</f>
        <v>0</v>
      </c>
      <c r="D21" s="465">
        <f>D22+D23+D24+D25+D26+D27+D28+D31</f>
        <v>0</v>
      </c>
      <c r="E21" s="465">
        <f>E22+E23+E24+E25+E26+E27+E28+E31</f>
        <v>0</v>
      </c>
      <c r="F21" s="465">
        <f>F22+F23+F24+F25+F26+F27+F28+F31</f>
        <v>0</v>
      </c>
      <c r="G21" s="465">
        <f>G22+G23+G24+G25+G26+G27+G28+G31</f>
        <v>0</v>
      </c>
    </row>
    <row r="22" spans="1:7" ht="19.5" x14ac:dyDescent="0.25">
      <c r="A22" s="463" t="s">
        <v>426</v>
      </c>
      <c r="B22" s="462"/>
      <c r="C22" s="461"/>
      <c r="D22" s="460">
        <f>B22+C22</f>
        <v>0</v>
      </c>
      <c r="E22" s="461"/>
      <c r="F22" s="461"/>
      <c r="G22" s="460">
        <f>D22-E22</f>
        <v>0</v>
      </c>
    </row>
    <row r="23" spans="1:7" x14ac:dyDescent="0.25">
      <c r="A23" s="463" t="s">
        <v>425</v>
      </c>
      <c r="B23" s="462"/>
      <c r="C23" s="461"/>
      <c r="D23" s="460">
        <f>B23+C23</f>
        <v>0</v>
      </c>
      <c r="E23" s="461"/>
      <c r="F23" s="461"/>
      <c r="G23" s="460">
        <f>D23-E23</f>
        <v>0</v>
      </c>
    </row>
    <row r="24" spans="1:7" x14ac:dyDescent="0.25">
      <c r="A24" s="463" t="s">
        <v>424</v>
      </c>
      <c r="B24" s="462"/>
      <c r="C24" s="461"/>
      <c r="D24" s="460">
        <f>B24+C24</f>
        <v>0</v>
      </c>
      <c r="E24" s="461"/>
      <c r="F24" s="461"/>
      <c r="G24" s="460">
        <f>D24-E24</f>
        <v>0</v>
      </c>
    </row>
    <row r="25" spans="1:7" x14ac:dyDescent="0.25">
      <c r="A25" s="463" t="s">
        <v>423</v>
      </c>
      <c r="B25" s="462"/>
      <c r="C25" s="461"/>
      <c r="D25" s="460">
        <f>B25+C25</f>
        <v>0</v>
      </c>
      <c r="E25" s="461"/>
      <c r="F25" s="461"/>
      <c r="G25" s="460">
        <f>D25-E25</f>
        <v>0</v>
      </c>
    </row>
    <row r="26" spans="1:7" x14ac:dyDescent="0.25">
      <c r="A26" s="463" t="s">
        <v>422</v>
      </c>
      <c r="B26" s="462"/>
      <c r="C26" s="461"/>
      <c r="D26" s="460">
        <f>B26+C26</f>
        <v>0</v>
      </c>
      <c r="E26" s="461"/>
      <c r="F26" s="461"/>
      <c r="G26" s="460">
        <f>D26-E26</f>
        <v>0</v>
      </c>
    </row>
    <row r="27" spans="1:7" x14ac:dyDescent="0.25">
      <c r="A27" s="463" t="s">
        <v>421</v>
      </c>
      <c r="B27" s="462"/>
      <c r="C27" s="461"/>
      <c r="D27" s="460">
        <f>B27+C27</f>
        <v>0</v>
      </c>
      <c r="E27" s="461"/>
      <c r="F27" s="461"/>
      <c r="G27" s="460">
        <f>D27-E27</f>
        <v>0</v>
      </c>
    </row>
    <row r="28" spans="1:7" ht="29.25" x14ac:dyDescent="0.25">
      <c r="A28" s="463" t="s">
        <v>420</v>
      </c>
      <c r="B28" s="465">
        <f>B29+B30</f>
        <v>0</v>
      </c>
      <c r="C28" s="465">
        <f>C29+C30</f>
        <v>0</v>
      </c>
      <c r="D28" s="465">
        <f>D29+D30</f>
        <v>0</v>
      </c>
      <c r="E28" s="465">
        <f>E29+E30</f>
        <v>0</v>
      </c>
      <c r="F28" s="465">
        <f>F29+F30</f>
        <v>0</v>
      </c>
      <c r="G28" s="465">
        <f>G29+G30</f>
        <v>0</v>
      </c>
    </row>
    <row r="29" spans="1:7" x14ac:dyDescent="0.25">
      <c r="A29" s="464" t="s">
        <v>419</v>
      </c>
      <c r="B29" s="462"/>
      <c r="C29" s="461"/>
      <c r="D29" s="460">
        <f>B29+C29</f>
        <v>0</v>
      </c>
      <c r="E29" s="461"/>
      <c r="F29" s="461"/>
      <c r="G29" s="460">
        <f>D29-E29</f>
        <v>0</v>
      </c>
    </row>
    <row r="30" spans="1:7" x14ac:dyDescent="0.25">
      <c r="A30" s="464" t="s">
        <v>418</v>
      </c>
      <c r="B30" s="462"/>
      <c r="C30" s="461"/>
      <c r="D30" s="460">
        <f>B30+C30</f>
        <v>0</v>
      </c>
      <c r="E30" s="461"/>
      <c r="F30" s="461"/>
      <c r="G30" s="460">
        <f>D30-E30</f>
        <v>0</v>
      </c>
    </row>
    <row r="31" spans="1:7" x14ac:dyDescent="0.25">
      <c r="A31" s="463" t="s">
        <v>417</v>
      </c>
      <c r="B31" s="462"/>
      <c r="C31" s="461"/>
      <c r="D31" s="460">
        <f>B31+C31</f>
        <v>0</v>
      </c>
      <c r="E31" s="461"/>
      <c r="F31" s="461"/>
      <c r="G31" s="460">
        <f>D31-E31</f>
        <v>0</v>
      </c>
    </row>
    <row r="32" spans="1:7" ht="19.5" x14ac:dyDescent="0.25">
      <c r="A32" s="459" t="s">
        <v>416</v>
      </c>
      <c r="B32" s="458">
        <f>B9+B21</f>
        <v>205993811.70999998</v>
      </c>
      <c r="C32" s="458">
        <f>C9+C21</f>
        <v>-604721.11000000034</v>
      </c>
      <c r="D32" s="458">
        <f>D9+D21</f>
        <v>205389090.59999996</v>
      </c>
      <c r="E32" s="458">
        <f>E9+E21</f>
        <v>52755960.460000001</v>
      </c>
      <c r="F32" s="458">
        <f>F9+F21</f>
        <v>46456428.769999988</v>
      </c>
      <c r="G32" s="458">
        <f>G9+G21</f>
        <v>152633130.13999996</v>
      </c>
    </row>
    <row r="33" spans="1:7" ht="15.75" thickBot="1" x14ac:dyDescent="0.3">
      <c r="A33" s="457"/>
      <c r="B33" s="456"/>
      <c r="C33" s="455"/>
      <c r="D33" s="455"/>
      <c r="E33" s="455"/>
      <c r="F33" s="455"/>
      <c r="G33" s="455"/>
    </row>
  </sheetData>
  <sheetProtection insertHyperlinks="0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E879-E311-4B4D-8100-8743770EFEF6}">
  <sheetPr>
    <tabColor theme="0" tint="-0.249977111117893"/>
    <pageSetUpPr fitToPage="1"/>
  </sheetPr>
  <dimension ref="A1:D49"/>
  <sheetViews>
    <sheetView view="pageBreakPreview" topLeftCell="A28" zoomScale="110" zoomScaleNormal="100" zoomScaleSheetLayoutView="110" workbookViewId="0">
      <selection activeCell="O24" sqref="O24"/>
    </sheetView>
  </sheetViews>
  <sheetFormatPr baseColWidth="10" defaultColWidth="11.28515625" defaultRowHeight="16.5" x14ac:dyDescent="0.25"/>
  <cols>
    <col min="1" max="1" width="64.5703125" style="1" customWidth="1"/>
    <col min="2" max="2" width="25.7109375" style="1" customWidth="1"/>
    <col min="3" max="3" width="25.7109375" style="481" customWidth="1"/>
    <col min="4" max="4" width="89.140625" style="1" customWidth="1"/>
    <col min="5" max="16384" width="11.28515625" style="1"/>
  </cols>
  <sheetData>
    <row r="1" spans="1:4" x14ac:dyDescent="0.25">
      <c r="A1" s="106" t="s">
        <v>42</v>
      </c>
      <c r="B1" s="106"/>
      <c r="C1" s="106"/>
      <c r="D1" s="513"/>
    </row>
    <row r="2" spans="1:4" s="103" customFormat="1" ht="15.75" x14ac:dyDescent="0.25">
      <c r="A2" s="106" t="s">
        <v>448</v>
      </c>
      <c r="B2" s="106"/>
      <c r="C2" s="106"/>
    </row>
    <row r="3" spans="1:4" s="103" customFormat="1" ht="15.75" x14ac:dyDescent="0.25">
      <c r="A3" s="105" t="str">
        <f>'[1]ETCA-I-01'!A3:G3</f>
        <v>Comision Estatal del Agua</v>
      </c>
      <c r="B3" s="105"/>
      <c r="C3" s="105"/>
    </row>
    <row r="4" spans="1:4" s="103" customFormat="1" x14ac:dyDescent="0.25">
      <c r="A4" s="104" t="str">
        <f>'[1]ETCA-I-01'!A4:G4</f>
        <v>Al 31 de Marzo de 2019</v>
      </c>
      <c r="B4" s="104"/>
      <c r="C4" s="104"/>
    </row>
    <row r="5" spans="1:4" s="26" customFormat="1" ht="17.25" thickBot="1" x14ac:dyDescent="0.3">
      <c r="A5" s="512"/>
      <c r="B5" s="511"/>
      <c r="C5" s="510"/>
    </row>
    <row r="6" spans="1:4" s="221" customFormat="1" ht="27" customHeight="1" thickBot="1" x14ac:dyDescent="0.3">
      <c r="A6" s="509" t="s">
        <v>447</v>
      </c>
      <c r="B6" s="508"/>
      <c r="C6" s="179">
        <f>'ETCA II-04'!E81</f>
        <v>155474969.88999999</v>
      </c>
      <c r="D6" s="503" t="str">
        <f>IF((C6-'ETCA II-04'!E81)&gt;0.9,"ERROR!!!!! EL MONTO NO COINCIDE CON LO REPORTADO EN EL FORMATO ETCA-II-04, EN EL TOTAL DE EGRESOS DEVENGADO ANUAL","")</f>
        <v/>
      </c>
    </row>
    <row r="7" spans="1:4" s="221" customFormat="1" ht="9.75" customHeight="1" x14ac:dyDescent="0.25">
      <c r="A7" s="507"/>
      <c r="B7" s="202"/>
      <c r="C7" s="506"/>
      <c r="D7" s="503"/>
    </row>
    <row r="8" spans="1:4" s="221" customFormat="1" ht="17.25" customHeight="1" thickBot="1" x14ac:dyDescent="0.3">
      <c r="A8" s="505"/>
      <c r="B8" s="198"/>
      <c r="C8" s="504"/>
      <c r="D8" s="503"/>
    </row>
    <row r="9" spans="1:4" ht="20.100000000000001" customHeight="1" x14ac:dyDescent="0.25">
      <c r="A9" s="496" t="s">
        <v>446</v>
      </c>
      <c r="B9" s="502"/>
      <c r="C9" s="494">
        <f>SUM(B10:B30)</f>
        <v>32601852.75</v>
      </c>
      <c r="D9" s="77"/>
    </row>
    <row r="10" spans="1:4" ht="20.100000000000001" customHeight="1" x14ac:dyDescent="0.25">
      <c r="A10" s="493" t="s">
        <v>445</v>
      </c>
      <c r="B10" s="492"/>
      <c r="C10" s="491"/>
      <c r="D10" s="77"/>
    </row>
    <row r="11" spans="1:4" ht="20.100000000000001" customHeight="1" x14ac:dyDescent="0.25">
      <c r="A11" s="493" t="s">
        <v>444</v>
      </c>
      <c r="B11" s="492"/>
      <c r="C11" s="491"/>
      <c r="D11" s="77"/>
    </row>
    <row r="12" spans="1:4" ht="20.100000000000001" customHeight="1" x14ac:dyDescent="0.25">
      <c r="A12" s="493" t="s">
        <v>165</v>
      </c>
      <c r="B12" s="492"/>
      <c r="C12" s="491"/>
      <c r="D12" s="77"/>
    </row>
    <row r="13" spans="1:4" x14ac:dyDescent="0.25">
      <c r="A13" s="493" t="s">
        <v>164</v>
      </c>
      <c r="B13" s="492"/>
      <c r="C13" s="491"/>
      <c r="D13" s="77"/>
    </row>
    <row r="14" spans="1:4" ht="20.100000000000001" customHeight="1" x14ac:dyDescent="0.25">
      <c r="A14" s="493" t="s">
        <v>163</v>
      </c>
      <c r="B14" s="492"/>
      <c r="C14" s="491"/>
      <c r="D14" s="77"/>
    </row>
    <row r="15" spans="1:4" ht="20.100000000000001" customHeight="1" x14ac:dyDescent="0.25">
      <c r="A15" s="493" t="s">
        <v>162</v>
      </c>
      <c r="B15" s="492"/>
      <c r="C15" s="491"/>
      <c r="D15" s="77"/>
    </row>
    <row r="16" spans="1:4" ht="20.100000000000001" customHeight="1" x14ac:dyDescent="0.25">
      <c r="A16" s="493" t="s">
        <v>161</v>
      </c>
      <c r="B16" s="492"/>
      <c r="C16" s="491"/>
      <c r="D16" s="77"/>
    </row>
    <row r="17" spans="1:4" ht="20.100000000000001" customHeight="1" x14ac:dyDescent="0.25">
      <c r="A17" s="493" t="s">
        <v>160</v>
      </c>
      <c r="B17" s="492">
        <v>37908.800000000003</v>
      </c>
      <c r="C17" s="491"/>
      <c r="D17" s="77"/>
    </row>
    <row r="18" spans="1:4" ht="20.100000000000001" customHeight="1" x14ac:dyDescent="0.25">
      <c r="A18" s="493" t="s">
        <v>443</v>
      </c>
      <c r="B18" s="492"/>
      <c r="C18" s="491"/>
      <c r="D18" s="77"/>
    </row>
    <row r="19" spans="1:4" ht="20.100000000000001" customHeight="1" x14ac:dyDescent="0.25">
      <c r="A19" s="493" t="s">
        <v>158</v>
      </c>
      <c r="B19" s="492"/>
      <c r="C19" s="491"/>
      <c r="D19" s="77"/>
    </row>
    <row r="20" spans="1:4" ht="20.100000000000001" customHeight="1" x14ac:dyDescent="0.25">
      <c r="A20" s="493" t="s">
        <v>157</v>
      </c>
      <c r="B20" s="492"/>
      <c r="C20" s="491"/>
      <c r="D20" s="77"/>
    </row>
    <row r="21" spans="1:4" ht="20.100000000000001" customHeight="1" x14ac:dyDescent="0.25">
      <c r="A21" s="493" t="s">
        <v>155</v>
      </c>
      <c r="B21" s="492"/>
      <c r="C21" s="491"/>
      <c r="D21" s="77"/>
    </row>
    <row r="22" spans="1:4" ht="20.100000000000001" customHeight="1" x14ac:dyDescent="0.25">
      <c r="A22" s="493" t="s">
        <v>154</v>
      </c>
      <c r="B22" s="492"/>
      <c r="C22" s="491"/>
      <c r="D22" s="77"/>
    </row>
    <row r="23" spans="1:4" ht="20.100000000000001" customHeight="1" x14ac:dyDescent="0.25">
      <c r="A23" s="493" t="s">
        <v>150</v>
      </c>
      <c r="B23" s="492"/>
      <c r="C23" s="491"/>
      <c r="D23" s="77"/>
    </row>
    <row r="24" spans="1:4" ht="20.100000000000001" customHeight="1" x14ac:dyDescent="0.25">
      <c r="A24" s="493" t="s">
        <v>149</v>
      </c>
      <c r="B24" s="492"/>
      <c r="C24" s="491"/>
      <c r="D24" s="77"/>
    </row>
    <row r="25" spans="1:4" ht="20.100000000000001" customHeight="1" x14ac:dyDescent="0.25">
      <c r="A25" s="493" t="s">
        <v>148</v>
      </c>
      <c r="B25" s="492"/>
      <c r="C25" s="491"/>
      <c r="D25" s="77"/>
    </row>
    <row r="26" spans="1:4" ht="20.100000000000001" customHeight="1" x14ac:dyDescent="0.25">
      <c r="A26" s="493" t="s">
        <v>147</v>
      </c>
      <c r="B26" s="492"/>
      <c r="C26" s="491"/>
      <c r="D26" s="77"/>
    </row>
    <row r="27" spans="1:4" ht="20.100000000000001" customHeight="1" x14ac:dyDescent="0.25">
      <c r="A27" s="493" t="s">
        <v>145</v>
      </c>
      <c r="B27" s="492"/>
      <c r="C27" s="491"/>
      <c r="D27" s="77"/>
    </row>
    <row r="28" spans="1:4" ht="20.100000000000001" customHeight="1" x14ac:dyDescent="0.25">
      <c r="A28" s="493" t="s">
        <v>442</v>
      </c>
      <c r="B28" s="492">
        <v>4010257</v>
      </c>
      <c r="C28" s="491"/>
      <c r="D28" s="77"/>
    </row>
    <row r="29" spans="1:4" ht="20.100000000000001" customHeight="1" x14ac:dyDescent="0.25">
      <c r="A29" s="493" t="s">
        <v>441</v>
      </c>
      <c r="B29" s="492">
        <v>22580536.140000001</v>
      </c>
      <c r="C29" s="491"/>
      <c r="D29" s="77"/>
    </row>
    <row r="30" spans="1:4" ht="20.100000000000001" customHeight="1" thickBot="1" x14ac:dyDescent="0.3">
      <c r="A30" s="493" t="s">
        <v>440</v>
      </c>
      <c r="B30" s="501">
        <v>5973150.8100000005</v>
      </c>
      <c r="C30" s="488"/>
      <c r="D30" s="77"/>
    </row>
    <row r="31" spans="1:4" ht="7.5" customHeight="1" x14ac:dyDescent="0.25">
      <c r="A31" s="500"/>
      <c r="B31" s="202"/>
      <c r="C31" s="499"/>
      <c r="D31" s="77"/>
    </row>
    <row r="32" spans="1:4" ht="20.100000000000001" customHeight="1" thickBot="1" x14ac:dyDescent="0.3">
      <c r="A32" s="498"/>
      <c r="B32" s="198"/>
      <c r="C32" s="497"/>
      <c r="D32" s="77"/>
    </row>
    <row r="33" spans="1:4" ht="20.100000000000001" customHeight="1" x14ac:dyDescent="0.25">
      <c r="A33" s="496" t="s">
        <v>439</v>
      </c>
      <c r="B33" s="495"/>
      <c r="C33" s="494">
        <f>SUM(B34:B40)</f>
        <v>8619284.9900000021</v>
      </c>
      <c r="D33" s="77"/>
    </row>
    <row r="34" spans="1:4" x14ac:dyDescent="0.25">
      <c r="A34" s="493" t="s">
        <v>438</v>
      </c>
      <c r="B34" s="492">
        <v>1947735.9</v>
      </c>
      <c r="C34" s="491"/>
      <c r="D34" s="77"/>
    </row>
    <row r="35" spans="1:4" ht="20.100000000000001" customHeight="1" x14ac:dyDescent="0.25">
      <c r="A35" s="493" t="s">
        <v>437</v>
      </c>
      <c r="B35" s="492"/>
      <c r="C35" s="491"/>
      <c r="D35" s="178" t="str">
        <f>IF(B34&lt;&gt;'[1]ETCA-I-03'!C53,"ERROR!!!!! EL MONTO NO COINCIDE CON LO REPORTADO EN EL FORMATO ETCA-I-02 POR CONCEPTO DE ESTIMACIONES, DEPRECIACIONES, ETC..","")</f>
        <v/>
      </c>
    </row>
    <row r="36" spans="1:4" ht="20.100000000000001" customHeight="1" x14ac:dyDescent="0.25">
      <c r="A36" s="493" t="s">
        <v>436</v>
      </c>
      <c r="B36" s="492"/>
      <c r="C36" s="491"/>
      <c r="D36" s="77"/>
    </row>
    <row r="37" spans="1:4" ht="25.5" customHeight="1" x14ac:dyDescent="0.25">
      <c r="A37" s="493" t="s">
        <v>435</v>
      </c>
      <c r="B37" s="492"/>
      <c r="C37" s="491"/>
      <c r="D37" s="77"/>
    </row>
    <row r="38" spans="1:4" ht="20.100000000000001" customHeight="1" x14ac:dyDescent="0.25">
      <c r="A38" s="493" t="s">
        <v>434</v>
      </c>
      <c r="B38" s="492">
        <v>5914652.5700000003</v>
      </c>
      <c r="C38" s="491"/>
      <c r="D38" s="77"/>
    </row>
    <row r="39" spans="1:4" ht="20.100000000000001" customHeight="1" x14ac:dyDescent="0.25">
      <c r="A39" s="493" t="s">
        <v>433</v>
      </c>
      <c r="B39" s="492"/>
      <c r="C39" s="491"/>
      <c r="D39" s="77"/>
    </row>
    <row r="40" spans="1:4" ht="20.100000000000001" customHeight="1" x14ac:dyDescent="0.25">
      <c r="A40" s="493" t="s">
        <v>432</v>
      </c>
      <c r="B40" s="492">
        <v>756896.52000000142</v>
      </c>
      <c r="C40" s="491"/>
      <c r="D40" s="77"/>
    </row>
    <row r="41" spans="1:4" ht="20.100000000000001" customHeight="1" thickBot="1" x14ac:dyDescent="0.3">
      <c r="A41" s="490"/>
      <c r="B41" s="489"/>
      <c r="C41" s="488"/>
      <c r="D41" s="77"/>
    </row>
    <row r="42" spans="1:4" ht="20.100000000000001" customHeight="1" thickBot="1" x14ac:dyDescent="0.3">
      <c r="A42" s="487" t="s">
        <v>431</v>
      </c>
      <c r="B42" s="486"/>
      <c r="C42" s="179">
        <f>C6-C9+C33</f>
        <v>131492402.13</v>
      </c>
      <c r="D42" s="77"/>
    </row>
    <row r="43" spans="1:4" ht="20.100000000000001" customHeight="1" x14ac:dyDescent="0.25">
      <c r="A43" s="484"/>
      <c r="B43" s="483"/>
      <c r="C43" s="482"/>
      <c r="D43" s="77" t="str">
        <f>IF((C42-'[1]ETCA-I-03'!C62)&gt;0.9,"ERROR!!!!! EL MONTO NO COINCIDE CON LO REPORTADO EN EL FORMATO ETCA-I-03, EN EL MISMO RUBRO","")</f>
        <v/>
      </c>
    </row>
    <row r="44" spans="1:4" ht="20.100000000000001" customHeight="1" x14ac:dyDescent="0.25">
      <c r="A44" s="485"/>
      <c r="B44" s="483"/>
      <c r="C44" s="482"/>
      <c r="D44" s="77"/>
    </row>
    <row r="45" spans="1:4" ht="20.100000000000001" customHeight="1" x14ac:dyDescent="0.25">
      <c r="A45" s="485"/>
      <c r="B45" s="483"/>
      <c r="C45" s="482"/>
      <c r="D45" s="77"/>
    </row>
    <row r="46" spans="1:4" ht="20.100000000000001" customHeight="1" x14ac:dyDescent="0.25">
      <c r="A46" s="485"/>
      <c r="B46" s="483"/>
      <c r="C46" s="482"/>
      <c r="D46" s="77"/>
    </row>
    <row r="47" spans="1:4" ht="20.100000000000001" customHeight="1" x14ac:dyDescent="0.25">
      <c r="A47" s="485"/>
      <c r="B47" s="483"/>
      <c r="C47" s="482"/>
      <c r="D47" s="77"/>
    </row>
    <row r="48" spans="1:4" ht="26.25" customHeight="1" x14ac:dyDescent="0.25">
      <c r="A48" s="484"/>
      <c r="B48" s="483"/>
      <c r="C48" s="482"/>
      <c r="D48" s="77"/>
    </row>
    <row r="49" spans="4:4" x14ac:dyDescent="0.25">
      <c r="D49" s="77"/>
    </row>
  </sheetData>
  <sheetProtection formatColumns="0" formatRows="0" insertHyperlinks="0"/>
  <mergeCells count="4">
    <mergeCell ref="A1:C1"/>
    <mergeCell ref="A2:C2"/>
    <mergeCell ref="A3:C3"/>
    <mergeCell ref="A4:C4"/>
  </mergeCells>
  <printOptions horizontalCentered="1"/>
  <pageMargins left="0.39370078740157483" right="0.39370078740157483" top="0.74803149606299213" bottom="0.74803149606299213" header="0.31496062992125984" footer="0.31496062992125984"/>
  <pageSetup scale="78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D66E0-6F0D-427A-9B58-E036B4249C8D}">
  <sheetPr>
    <tabColor theme="0" tint="-0.249977111117893"/>
  </sheetPr>
  <dimension ref="A1:P388"/>
  <sheetViews>
    <sheetView topLeftCell="A351" zoomScaleNormal="100" workbookViewId="0">
      <selection activeCell="O24" sqref="O24"/>
    </sheetView>
  </sheetViews>
  <sheetFormatPr baseColWidth="10" defaultRowHeight="15" x14ac:dyDescent="0.25"/>
  <cols>
    <col min="1" max="1" width="14.28515625" customWidth="1"/>
    <col min="2" max="2" width="41" customWidth="1"/>
    <col min="3" max="3" width="14.28515625" style="518" customWidth="1"/>
    <col min="4" max="4" width="13.85546875" style="517" customWidth="1"/>
    <col min="5" max="5" width="13.140625" style="517" customWidth="1"/>
    <col min="6" max="6" width="14.42578125" style="517" customWidth="1"/>
    <col min="7" max="7" width="13.5703125" style="517" customWidth="1"/>
    <col min="8" max="8" width="17.140625" style="516" customWidth="1"/>
    <col min="9" max="9" width="6.85546875" customWidth="1"/>
    <col min="10" max="10" width="12.85546875" style="514" bestFit="1" customWidth="1"/>
    <col min="11" max="11" width="12" style="514" bestFit="1" customWidth="1"/>
    <col min="12" max="12" width="11.42578125" style="514"/>
    <col min="13" max="13" width="12.85546875" style="515" bestFit="1" customWidth="1"/>
    <col min="14" max="14" width="11.42578125" style="515"/>
    <col min="15" max="16" width="11.42578125" style="514"/>
  </cols>
  <sheetData>
    <row r="1" spans="1:14" x14ac:dyDescent="0.25">
      <c r="A1" s="585" t="s">
        <v>727</v>
      </c>
      <c r="B1" s="585"/>
      <c r="C1" s="585"/>
      <c r="D1" s="585"/>
      <c r="E1" s="585"/>
      <c r="F1" s="585"/>
      <c r="G1" s="585"/>
      <c r="H1" s="585"/>
      <c r="I1" s="585"/>
      <c r="M1" s="567"/>
      <c r="N1" s="567"/>
    </row>
    <row r="2" spans="1:14" x14ac:dyDescent="0.25">
      <c r="A2" s="584" t="s">
        <v>215</v>
      </c>
      <c r="B2" s="584"/>
      <c r="C2" s="584"/>
      <c r="D2" s="584"/>
      <c r="E2" s="584"/>
      <c r="F2" s="584"/>
      <c r="G2" s="584"/>
      <c r="H2" s="584"/>
      <c r="I2" s="584"/>
      <c r="M2" s="567"/>
      <c r="N2" s="567"/>
    </row>
    <row r="3" spans="1:14" x14ac:dyDescent="0.25">
      <c r="A3" s="584" t="s">
        <v>726</v>
      </c>
      <c r="B3" s="584"/>
      <c r="C3" s="584"/>
      <c r="D3" s="584"/>
      <c r="E3" s="584"/>
      <c r="F3" s="584"/>
      <c r="G3" s="584"/>
      <c r="H3" s="584"/>
      <c r="I3" s="584"/>
      <c r="M3" s="567"/>
      <c r="N3" s="567"/>
    </row>
    <row r="4" spans="1:14" x14ac:dyDescent="0.25">
      <c r="A4" s="584" t="s">
        <v>725</v>
      </c>
      <c r="B4" s="584"/>
      <c r="C4" s="584"/>
      <c r="D4" s="584"/>
      <c r="E4" s="584"/>
      <c r="F4" s="584"/>
      <c r="G4" s="584"/>
      <c r="H4" s="584"/>
      <c r="I4" s="584"/>
      <c r="M4" s="567"/>
      <c r="N4" s="567"/>
    </row>
    <row r="5" spans="1:14" x14ac:dyDescent="0.25">
      <c r="A5" s="584" t="s">
        <v>724</v>
      </c>
      <c r="B5" s="584"/>
      <c r="C5" s="584"/>
      <c r="D5" s="584"/>
      <c r="E5" s="584"/>
      <c r="F5" s="584"/>
      <c r="G5" s="584"/>
      <c r="H5" s="584"/>
      <c r="I5" s="584"/>
      <c r="M5" s="567"/>
      <c r="N5" s="567"/>
    </row>
    <row r="6" spans="1:14" ht="15.75" customHeight="1" thickBot="1" x14ac:dyDescent="0.3">
      <c r="D6" s="517" t="s">
        <v>40</v>
      </c>
      <c r="H6" s="583"/>
      <c r="I6" s="583"/>
      <c r="M6" s="567"/>
      <c r="N6" s="567"/>
    </row>
    <row r="7" spans="1:14" ht="15.75" thickTop="1" x14ac:dyDescent="0.25">
      <c r="A7" s="582" t="s">
        <v>723</v>
      </c>
      <c r="B7" s="581" t="s">
        <v>722</v>
      </c>
      <c r="C7" s="580" t="s">
        <v>721</v>
      </c>
      <c r="D7" s="578" t="s">
        <v>720</v>
      </c>
      <c r="E7" s="579" t="s">
        <v>719</v>
      </c>
      <c r="F7" s="578" t="s">
        <v>718</v>
      </c>
      <c r="G7" s="578" t="s">
        <v>717</v>
      </c>
      <c r="H7" s="577" t="s">
        <v>716</v>
      </c>
      <c r="I7" s="576" t="s">
        <v>715</v>
      </c>
      <c r="M7" s="567"/>
      <c r="N7" s="567"/>
    </row>
    <row r="8" spans="1:14" ht="36" customHeight="1" x14ac:dyDescent="0.25">
      <c r="A8" s="575"/>
      <c r="B8" s="574"/>
      <c r="C8" s="573"/>
      <c r="D8" s="570"/>
      <c r="E8" s="572"/>
      <c r="F8" s="571"/>
      <c r="G8" s="570"/>
      <c r="H8" s="569"/>
      <c r="I8" s="568"/>
      <c r="M8" s="567"/>
      <c r="N8" s="567"/>
    </row>
    <row r="9" spans="1:14" x14ac:dyDescent="0.25">
      <c r="A9" s="554">
        <v>1000</v>
      </c>
      <c r="B9" s="565" t="s">
        <v>714</v>
      </c>
      <c r="C9" s="544">
        <f>C10+C19+C22+C34+C44+C55</f>
        <v>205993811.70999998</v>
      </c>
      <c r="D9" s="544">
        <f>D10+D19+D22+D34+D44+D55</f>
        <v>-604721.11000000034</v>
      </c>
      <c r="E9" s="544">
        <f>+C9+D9</f>
        <v>205389090.59999996</v>
      </c>
      <c r="F9" s="544">
        <v>52755960.460000001</v>
      </c>
      <c r="G9" s="544">
        <v>46456428.769999988</v>
      </c>
      <c r="H9" s="544">
        <f>+E9-F9</f>
        <v>152633130.13999996</v>
      </c>
      <c r="I9" s="543">
        <f>+F9/E9</f>
        <v>0.25685863015355309</v>
      </c>
    </row>
    <row r="10" spans="1:14" ht="22.5" x14ac:dyDescent="0.25">
      <c r="A10" s="562">
        <v>1100</v>
      </c>
      <c r="B10" s="565" t="s">
        <v>713</v>
      </c>
      <c r="C10" s="544">
        <f>C11</f>
        <v>116272081.35999997</v>
      </c>
      <c r="D10" s="544">
        <f>D11</f>
        <v>-604721.11000000034</v>
      </c>
      <c r="E10" s="544">
        <f>+C10+D10</f>
        <v>115667360.24999997</v>
      </c>
      <c r="F10" s="544">
        <v>28230754.18</v>
      </c>
      <c r="G10" s="544">
        <v>24436362.960000001</v>
      </c>
      <c r="H10" s="544">
        <f>+E10-F10</f>
        <v>87436606.069999963</v>
      </c>
      <c r="I10" s="543">
        <f>+F10/E10</f>
        <v>0.24406845733301852</v>
      </c>
    </row>
    <row r="11" spans="1:14" x14ac:dyDescent="0.25">
      <c r="A11" s="561">
        <v>113</v>
      </c>
      <c r="B11" s="565" t="s">
        <v>712</v>
      </c>
      <c r="C11" s="544">
        <f>SUM(C12:C18)</f>
        <v>116272081.35999997</v>
      </c>
      <c r="D11" s="544">
        <f>SUM(D12:D18)</f>
        <v>-604721.11000000034</v>
      </c>
      <c r="E11" s="544">
        <f>+C11+D11</f>
        <v>115667360.24999997</v>
      </c>
      <c r="F11" s="544">
        <v>28230754.18</v>
      </c>
      <c r="G11" s="544">
        <v>24436362.960000001</v>
      </c>
      <c r="H11" s="544">
        <f>+E11-F11</f>
        <v>87436606.069999963</v>
      </c>
      <c r="I11" s="543">
        <f>+F11/E11</f>
        <v>0.24406845733301852</v>
      </c>
    </row>
    <row r="12" spans="1:14" x14ac:dyDescent="0.25">
      <c r="A12" s="558">
        <v>11301</v>
      </c>
      <c r="B12" s="557" t="s">
        <v>711</v>
      </c>
      <c r="C12" s="545">
        <v>53574196.29999999</v>
      </c>
      <c r="D12" s="545">
        <v>0</v>
      </c>
      <c r="E12" s="545">
        <f>+C12+D12</f>
        <v>53574196.29999999</v>
      </c>
      <c r="F12" s="545">
        <v>12564326.68</v>
      </c>
      <c r="G12" s="545">
        <v>12475646.73</v>
      </c>
      <c r="H12" s="544">
        <f>+E12-F12</f>
        <v>41009869.61999999</v>
      </c>
      <c r="I12" s="543">
        <f>+F12/E12</f>
        <v>0.23452198162046908</v>
      </c>
    </row>
    <row r="13" spans="1:14" x14ac:dyDescent="0.25">
      <c r="A13" s="558">
        <v>11303</v>
      </c>
      <c r="B13" s="557" t="s">
        <v>710</v>
      </c>
      <c r="C13" s="545">
        <v>1215186.44</v>
      </c>
      <c r="D13" s="545">
        <v>0</v>
      </c>
      <c r="E13" s="545">
        <f>+C13+D13</f>
        <v>1215186.44</v>
      </c>
      <c r="F13" s="545">
        <v>232140.60000000003</v>
      </c>
      <c r="G13" s="545">
        <v>232140.60000000003</v>
      </c>
      <c r="H13" s="544">
        <f>+E13-F13</f>
        <v>983045.83999999985</v>
      </c>
      <c r="I13" s="543">
        <f>+F13/E13</f>
        <v>0.19103290849756357</v>
      </c>
    </row>
    <row r="14" spans="1:14" x14ac:dyDescent="0.25">
      <c r="A14" s="558">
        <v>11304</v>
      </c>
      <c r="B14" s="557" t="s">
        <v>709</v>
      </c>
      <c r="C14" s="545">
        <v>7449545</v>
      </c>
      <c r="D14" s="545">
        <v>-7449545</v>
      </c>
      <c r="E14" s="545">
        <f>+C14+D14</f>
        <v>0</v>
      </c>
      <c r="F14" s="545">
        <v>0</v>
      </c>
      <c r="G14" s="545">
        <v>0</v>
      </c>
      <c r="H14" s="544">
        <f>+E14-F14</f>
        <v>0</v>
      </c>
      <c r="I14" s="543"/>
    </row>
    <row r="15" spans="1:14" x14ac:dyDescent="0.25">
      <c r="A15" s="558">
        <v>11306</v>
      </c>
      <c r="B15" s="557" t="s">
        <v>708</v>
      </c>
      <c r="C15" s="545">
        <v>34807382.090000004</v>
      </c>
      <c r="D15" s="545">
        <v>4895186.8899999997</v>
      </c>
      <c r="E15" s="545">
        <f>+C15+D15</f>
        <v>39702568.980000004</v>
      </c>
      <c r="F15" s="545">
        <v>10395407.309999999</v>
      </c>
      <c r="G15" s="545">
        <v>6689696.04</v>
      </c>
      <c r="H15" s="544">
        <f>+E15-F15</f>
        <v>29307161.670000006</v>
      </c>
      <c r="I15" s="543">
        <f>+F15/E15</f>
        <v>0.26183210752021208</v>
      </c>
    </row>
    <row r="16" spans="1:14" x14ac:dyDescent="0.25">
      <c r="A16" s="558">
        <v>11307</v>
      </c>
      <c r="B16" s="557" t="s">
        <v>707</v>
      </c>
      <c r="C16" s="545">
        <v>12365314.959999999</v>
      </c>
      <c r="D16" s="545">
        <v>67299</v>
      </c>
      <c r="E16" s="545">
        <f>+C16+D16</f>
        <v>12432613.959999999</v>
      </c>
      <c r="F16" s="545">
        <v>2943460.9699999997</v>
      </c>
      <c r="G16" s="545">
        <v>2943460.9699999997</v>
      </c>
      <c r="H16" s="544">
        <f>+E16-F16</f>
        <v>9489152.9899999984</v>
      </c>
      <c r="I16" s="543">
        <f>+F16/E16</f>
        <v>0.23675318637497533</v>
      </c>
    </row>
    <row r="17" spans="1:9" x14ac:dyDescent="0.25">
      <c r="A17" s="558">
        <v>11308</v>
      </c>
      <c r="B17" s="557" t="s">
        <v>706</v>
      </c>
      <c r="C17" s="545">
        <v>16135.11</v>
      </c>
      <c r="D17" s="545">
        <v>0</v>
      </c>
      <c r="E17" s="545">
        <f>+C17+D17</f>
        <v>16135.11</v>
      </c>
      <c r="F17" s="545">
        <v>3390</v>
      </c>
      <c r="G17" s="545">
        <v>3390</v>
      </c>
      <c r="H17" s="544">
        <f>+E17-F17</f>
        <v>12745.11</v>
      </c>
      <c r="I17" s="543">
        <f>+F17/E17</f>
        <v>0.21010082980531275</v>
      </c>
    </row>
    <row r="18" spans="1:9" x14ac:dyDescent="0.25">
      <c r="A18" s="558">
        <v>11310</v>
      </c>
      <c r="B18" s="557" t="s">
        <v>705</v>
      </c>
      <c r="C18" s="545">
        <v>6844321.459999999</v>
      </c>
      <c r="D18" s="545">
        <v>1882338</v>
      </c>
      <c r="E18" s="545">
        <f>+C18+D18</f>
        <v>8726659.459999999</v>
      </c>
      <c r="F18" s="545">
        <v>2092028.62</v>
      </c>
      <c r="G18" s="545">
        <v>2092028.62</v>
      </c>
      <c r="H18" s="544">
        <f>+E18-F18</f>
        <v>6634630.8399999989</v>
      </c>
      <c r="I18" s="543">
        <f>+F18/E18</f>
        <v>0.23972845847705399</v>
      </c>
    </row>
    <row r="19" spans="1:9" ht="22.5" x14ac:dyDescent="0.25">
      <c r="A19" s="562">
        <v>1200</v>
      </c>
      <c r="B19" s="565" t="s">
        <v>704</v>
      </c>
      <c r="C19" s="544">
        <f>C20</f>
        <v>2501479.84</v>
      </c>
      <c r="D19" s="544">
        <f>D20</f>
        <v>-693905.25</v>
      </c>
      <c r="E19" s="544">
        <f>+C19+D19</f>
        <v>1807574.5899999999</v>
      </c>
      <c r="F19" s="544">
        <v>353985.30000000005</v>
      </c>
      <c r="G19" s="544">
        <v>353985.30000000005</v>
      </c>
      <c r="H19" s="544">
        <f>+E19-F19</f>
        <v>1453589.2899999998</v>
      </c>
      <c r="I19" s="543">
        <f>+F19/E19</f>
        <v>0.1958344081391408</v>
      </c>
    </row>
    <row r="20" spans="1:9" x14ac:dyDescent="0.25">
      <c r="A20" s="561">
        <v>121</v>
      </c>
      <c r="B20" s="565" t="s">
        <v>703</v>
      </c>
      <c r="C20" s="544">
        <f>C21</f>
        <v>2501479.84</v>
      </c>
      <c r="D20" s="544">
        <f>D21</f>
        <v>-693905.25</v>
      </c>
      <c r="E20" s="544">
        <f>+C20+D20</f>
        <v>1807574.5899999999</v>
      </c>
      <c r="F20" s="544">
        <v>353985.30000000005</v>
      </c>
      <c r="G20" s="544">
        <v>353985.30000000005</v>
      </c>
      <c r="H20" s="544">
        <f>+E20-F20</f>
        <v>1453589.2899999998</v>
      </c>
      <c r="I20" s="543">
        <f>+F20/E20</f>
        <v>0.1958344081391408</v>
      </c>
    </row>
    <row r="21" spans="1:9" x14ac:dyDescent="0.25">
      <c r="A21" s="558">
        <v>12101</v>
      </c>
      <c r="B21" s="557" t="s">
        <v>702</v>
      </c>
      <c r="C21" s="545">
        <v>2501479.84</v>
      </c>
      <c r="D21" s="545">
        <v>-693905.25</v>
      </c>
      <c r="E21" s="545">
        <f>+C21+D21</f>
        <v>1807574.5899999999</v>
      </c>
      <c r="F21" s="545">
        <v>353985.30000000005</v>
      </c>
      <c r="G21" s="545">
        <v>353985.30000000005</v>
      </c>
      <c r="H21" s="544">
        <f>+E21-F21</f>
        <v>1453589.2899999998</v>
      </c>
      <c r="I21" s="543">
        <f>+F21/E21</f>
        <v>0.1958344081391408</v>
      </c>
    </row>
    <row r="22" spans="1:9" x14ac:dyDescent="0.25">
      <c r="A22" s="562">
        <v>1300</v>
      </c>
      <c r="B22" s="565" t="s">
        <v>701</v>
      </c>
      <c r="C22" s="544">
        <f>C23+C25+C30+C32</f>
        <v>10186764.629999999</v>
      </c>
      <c r="D22" s="544">
        <f>D23+D25+D30+D32</f>
        <v>748905.25</v>
      </c>
      <c r="E22" s="544">
        <f>+C22+D22</f>
        <v>10935669.879999999</v>
      </c>
      <c r="F22" s="544">
        <v>2398191.66</v>
      </c>
      <c r="G22" s="544">
        <v>2177751.2200000002</v>
      </c>
      <c r="H22" s="544">
        <f>+E22-F22</f>
        <v>8537478.2199999988</v>
      </c>
      <c r="I22" s="543">
        <f>+F22/E22</f>
        <v>0.21929993190321143</v>
      </c>
    </row>
    <row r="23" spans="1:9" ht="22.5" x14ac:dyDescent="0.25">
      <c r="A23" s="561">
        <v>131</v>
      </c>
      <c r="B23" s="565" t="s">
        <v>700</v>
      </c>
      <c r="C23" s="544">
        <f>C24</f>
        <v>2408713.2200000002</v>
      </c>
      <c r="D23" s="544">
        <f>D24</f>
        <v>561448.05000000005</v>
      </c>
      <c r="E23" s="544">
        <f>+C23+D23</f>
        <v>2970161.2700000005</v>
      </c>
      <c r="F23" s="544">
        <v>698329.55</v>
      </c>
      <c r="G23" s="544">
        <v>735344.99000000011</v>
      </c>
      <c r="H23" s="544">
        <f>+E23-F23</f>
        <v>2271831.7200000007</v>
      </c>
      <c r="I23" s="543">
        <f>+F23/E23</f>
        <v>0.23511502794594044</v>
      </c>
    </row>
    <row r="24" spans="1:9" x14ac:dyDescent="0.25">
      <c r="A24" s="558">
        <v>13101</v>
      </c>
      <c r="B24" s="557" t="s">
        <v>700</v>
      </c>
      <c r="C24" s="545">
        <v>2408713.2200000002</v>
      </c>
      <c r="D24" s="545">
        <v>561448.05000000005</v>
      </c>
      <c r="E24" s="545">
        <f>+C24+D24</f>
        <v>2970161.2700000005</v>
      </c>
      <c r="F24" s="545">
        <v>698329.55</v>
      </c>
      <c r="G24" s="545">
        <v>735344.99000000011</v>
      </c>
      <c r="H24" s="544">
        <f>+E24-F24</f>
        <v>2271831.7200000007</v>
      </c>
      <c r="I24" s="543">
        <f>+F24/E24</f>
        <v>0.23511502794594044</v>
      </c>
    </row>
    <row r="25" spans="1:9" ht="22.5" x14ac:dyDescent="0.25">
      <c r="A25" s="561">
        <v>132</v>
      </c>
      <c r="B25" s="565" t="s">
        <v>699</v>
      </c>
      <c r="C25" s="544">
        <f>SUM(C26:C29)</f>
        <v>6396452.4099999992</v>
      </c>
      <c r="D25" s="544">
        <f>SUM(D26:D29)</f>
        <v>132457.20000000001</v>
      </c>
      <c r="E25" s="544">
        <f>+C25+D25</f>
        <v>6528909.6099999994</v>
      </c>
      <c r="F25" s="544">
        <v>616160.28</v>
      </c>
      <c r="G25" s="544">
        <v>358704.4</v>
      </c>
      <c r="H25" s="544">
        <f>+E25-F25</f>
        <v>5912749.3299999991</v>
      </c>
      <c r="I25" s="543">
        <f>+F25/E25</f>
        <v>9.4374147722348395E-2</v>
      </c>
    </row>
    <row r="26" spans="1:9" x14ac:dyDescent="0.25">
      <c r="A26" s="558">
        <v>13201</v>
      </c>
      <c r="B26" s="557" t="s">
        <v>698</v>
      </c>
      <c r="C26" s="545">
        <v>4775540.4099999992</v>
      </c>
      <c r="D26" s="545">
        <v>-132457.20000000001</v>
      </c>
      <c r="E26" s="545">
        <f>+C26+D26</f>
        <v>4643083.209999999</v>
      </c>
      <c r="F26" s="545">
        <v>443239.99</v>
      </c>
      <c r="G26" s="545">
        <v>358704.4</v>
      </c>
      <c r="H26" s="544">
        <f>+E26-F26</f>
        <v>4199843.2199999988</v>
      </c>
      <c r="I26" s="543">
        <f>+F26/E26</f>
        <v>9.5462426571502279E-2</v>
      </c>
    </row>
    <row r="27" spans="1:9" x14ac:dyDescent="0.25">
      <c r="A27" s="558">
        <v>13202</v>
      </c>
      <c r="B27" s="557" t="s">
        <v>697</v>
      </c>
      <c r="C27" s="545">
        <v>1461537</v>
      </c>
      <c r="D27" s="545">
        <v>264914.40000000002</v>
      </c>
      <c r="E27" s="545">
        <f>+C27+D27</f>
        <v>1726451.4</v>
      </c>
      <c r="F27" s="545">
        <v>153706.92000000001</v>
      </c>
      <c r="G27" s="545">
        <v>0</v>
      </c>
      <c r="H27" s="544">
        <f>+E27-F27</f>
        <v>1572744.48</v>
      </c>
      <c r="I27" s="543">
        <f>+F27/E27</f>
        <v>8.9030551337848277E-2</v>
      </c>
    </row>
    <row r="28" spans="1:9" x14ac:dyDescent="0.25">
      <c r="A28" s="558">
        <v>13203</v>
      </c>
      <c r="B28" s="557" t="s">
        <v>696</v>
      </c>
      <c r="C28" s="545">
        <v>81720</v>
      </c>
      <c r="D28" s="545">
        <v>0</v>
      </c>
      <c r="E28" s="545">
        <f>+C28+D28</f>
        <v>81720</v>
      </c>
      <c r="F28" s="545">
        <v>0</v>
      </c>
      <c r="G28" s="545">
        <v>0</v>
      </c>
      <c r="H28" s="544">
        <f>+E28-F28</f>
        <v>81720</v>
      </c>
      <c r="I28" s="543">
        <f>+F28/E28</f>
        <v>0</v>
      </c>
    </row>
    <row r="29" spans="1:9" x14ac:dyDescent="0.25">
      <c r="A29" s="558">
        <v>13204</v>
      </c>
      <c r="B29" s="557" t="s">
        <v>695</v>
      </c>
      <c r="C29" s="545">
        <v>77655</v>
      </c>
      <c r="D29" s="545">
        <v>0</v>
      </c>
      <c r="E29" s="545">
        <f>+C29+D29</f>
        <v>77655</v>
      </c>
      <c r="F29" s="545">
        <v>19213.37</v>
      </c>
      <c r="G29" s="545">
        <v>0</v>
      </c>
      <c r="H29" s="544">
        <f>+E29-F29</f>
        <v>58441.630000000005</v>
      </c>
      <c r="I29" s="543">
        <f>+F29/E29</f>
        <v>0.24741961238812696</v>
      </c>
    </row>
    <row r="30" spans="1:9" x14ac:dyDescent="0.25">
      <c r="A30" s="561">
        <v>133</v>
      </c>
      <c r="B30" s="565" t="s">
        <v>694</v>
      </c>
      <c r="C30" s="544">
        <f>C31</f>
        <v>1000000</v>
      </c>
      <c r="D30" s="544">
        <f>D31</f>
        <v>55000</v>
      </c>
      <c r="E30" s="544">
        <f>+C30+D30</f>
        <v>1055000</v>
      </c>
      <c r="F30" s="544">
        <v>1054301.83</v>
      </c>
      <c r="G30" s="544">
        <v>1054301.83</v>
      </c>
      <c r="H30" s="544">
        <f>+E30-F30</f>
        <v>698.16999999992549</v>
      </c>
      <c r="I30" s="543">
        <f>+F30/E30</f>
        <v>0.99933822748815171</v>
      </c>
    </row>
    <row r="31" spans="1:9" x14ac:dyDescent="0.25">
      <c r="A31" s="558">
        <v>13301</v>
      </c>
      <c r="B31" s="557" t="s">
        <v>693</v>
      </c>
      <c r="C31" s="545">
        <v>1000000</v>
      </c>
      <c r="D31" s="545">
        <v>55000</v>
      </c>
      <c r="E31" s="545">
        <f>+C31+D31</f>
        <v>1055000</v>
      </c>
      <c r="F31" s="545">
        <v>1054301.83</v>
      </c>
      <c r="G31" s="545">
        <v>1054301.83</v>
      </c>
      <c r="H31" s="544">
        <f>+E31-F31</f>
        <v>698.16999999992549</v>
      </c>
      <c r="I31" s="543">
        <f>+F31/E31</f>
        <v>0.99933822748815171</v>
      </c>
    </row>
    <row r="32" spans="1:9" x14ac:dyDescent="0.25">
      <c r="A32" s="561">
        <v>134</v>
      </c>
      <c r="B32" s="565" t="s">
        <v>692</v>
      </c>
      <c r="C32" s="544">
        <f>C33</f>
        <v>381599</v>
      </c>
      <c r="D32" s="544">
        <f>D33</f>
        <v>0</v>
      </c>
      <c r="E32" s="544">
        <f>+C32+D32</f>
        <v>381599</v>
      </c>
      <c r="F32" s="544">
        <v>29400</v>
      </c>
      <c r="G32" s="544">
        <v>29400</v>
      </c>
      <c r="H32" s="544">
        <f>+E32-F32</f>
        <v>352199</v>
      </c>
      <c r="I32" s="543">
        <f>+F32/E32</f>
        <v>7.7044227055102346E-2</v>
      </c>
    </row>
    <row r="33" spans="1:9" x14ac:dyDescent="0.25">
      <c r="A33" s="558">
        <v>13403</v>
      </c>
      <c r="B33" s="557" t="s">
        <v>691</v>
      </c>
      <c r="C33" s="545">
        <v>381599</v>
      </c>
      <c r="D33" s="545">
        <v>0</v>
      </c>
      <c r="E33" s="545">
        <f>+C33+D33</f>
        <v>381599</v>
      </c>
      <c r="F33" s="545">
        <v>29400</v>
      </c>
      <c r="G33" s="545">
        <v>29400</v>
      </c>
      <c r="H33" s="544">
        <f>+E33-F33</f>
        <v>352199</v>
      </c>
      <c r="I33" s="543">
        <f>+F33/E33</f>
        <v>7.7044227055102346E-2</v>
      </c>
    </row>
    <row r="34" spans="1:9" x14ac:dyDescent="0.25">
      <c r="A34" s="562">
        <v>1400</v>
      </c>
      <c r="B34" s="565" t="s">
        <v>200</v>
      </c>
      <c r="C34" s="544">
        <f>C35+C38+C40</f>
        <v>39996929.230000004</v>
      </c>
      <c r="D34" s="544">
        <f>D35+D38+D40</f>
        <v>43400</v>
      </c>
      <c r="E34" s="544">
        <f>+C34+D34</f>
        <v>40040329.230000004</v>
      </c>
      <c r="F34" s="544">
        <v>11237247.85</v>
      </c>
      <c r="G34" s="544">
        <v>9881112.1999999993</v>
      </c>
      <c r="H34" s="544">
        <f>+E34-F34</f>
        <v>28803081.380000003</v>
      </c>
      <c r="I34" s="543">
        <f>+F34/E34</f>
        <v>0.28064823806644806</v>
      </c>
    </row>
    <row r="35" spans="1:9" x14ac:dyDescent="0.25">
      <c r="A35" s="561">
        <v>141</v>
      </c>
      <c r="B35" s="565" t="s">
        <v>690</v>
      </c>
      <c r="C35" s="544">
        <f>SUM(C36:C37)</f>
        <v>36621782.430000007</v>
      </c>
      <c r="D35" s="544">
        <f>SUM(D36:D37)</f>
        <v>0</v>
      </c>
      <c r="E35" s="544">
        <f>+C35+D35</f>
        <v>36621782.430000007</v>
      </c>
      <c r="F35" s="544">
        <v>8216179.9999999991</v>
      </c>
      <c r="G35" s="544">
        <v>6879948.5499999989</v>
      </c>
      <c r="H35" s="544">
        <f>+E35-F35</f>
        <v>28405602.430000007</v>
      </c>
      <c r="I35" s="543">
        <f>+F35/E35</f>
        <v>0.22435226946434561</v>
      </c>
    </row>
    <row r="36" spans="1:9" x14ac:dyDescent="0.25">
      <c r="A36" s="558">
        <v>14106</v>
      </c>
      <c r="B36" s="557" t="s">
        <v>689</v>
      </c>
      <c r="C36" s="545">
        <v>23005820.520000003</v>
      </c>
      <c r="D36" s="545">
        <v>0</v>
      </c>
      <c r="E36" s="545">
        <f>+C36+D36</f>
        <v>23005820.520000003</v>
      </c>
      <c r="F36" s="545">
        <v>4962154.0999999996</v>
      </c>
      <c r="G36" s="545">
        <v>4172146.4400000004</v>
      </c>
      <c r="H36" s="544">
        <f>+E36-F36</f>
        <v>18043666.420000002</v>
      </c>
      <c r="I36" s="543">
        <f>+F36/E36</f>
        <v>0.2156912462950919</v>
      </c>
    </row>
    <row r="37" spans="1:9" x14ac:dyDescent="0.25">
      <c r="A37" s="558">
        <v>14109</v>
      </c>
      <c r="B37" s="557" t="s">
        <v>688</v>
      </c>
      <c r="C37" s="545">
        <v>13615961.91</v>
      </c>
      <c r="D37" s="545">
        <v>0</v>
      </c>
      <c r="E37" s="545">
        <f>+C37+D37</f>
        <v>13615961.91</v>
      </c>
      <c r="F37" s="545">
        <v>3254025.9000000004</v>
      </c>
      <c r="G37" s="545">
        <v>2707802.11</v>
      </c>
      <c r="H37" s="544">
        <f>+E37-F37</f>
        <v>10361936.01</v>
      </c>
      <c r="I37" s="543">
        <f>+F37/E37</f>
        <v>0.23898611949040038</v>
      </c>
    </row>
    <row r="38" spans="1:9" x14ac:dyDescent="0.25">
      <c r="A38" s="561">
        <v>143</v>
      </c>
      <c r="B38" s="565" t="s">
        <v>687</v>
      </c>
      <c r="C38" s="544">
        <f>C39</f>
        <v>406000</v>
      </c>
      <c r="D38" s="544">
        <f>D39</f>
        <v>0</v>
      </c>
      <c r="E38" s="544">
        <f>+C38+D38</f>
        <v>406000</v>
      </c>
      <c r="F38" s="544">
        <v>108204.15</v>
      </c>
      <c r="G38" s="544">
        <v>108204.15</v>
      </c>
      <c r="H38" s="544">
        <f>+E38-F38</f>
        <v>297795.84999999998</v>
      </c>
      <c r="I38" s="543">
        <f>+F38/E38</f>
        <v>0.26651268472906403</v>
      </c>
    </row>
    <row r="39" spans="1:9" x14ac:dyDescent="0.25">
      <c r="A39" s="558">
        <v>14303</v>
      </c>
      <c r="B39" s="557" t="s">
        <v>686</v>
      </c>
      <c r="C39" s="545">
        <v>406000</v>
      </c>
      <c r="D39" s="545">
        <v>0</v>
      </c>
      <c r="E39" s="545">
        <f>+C39+D39</f>
        <v>406000</v>
      </c>
      <c r="F39" s="545">
        <v>108204.15</v>
      </c>
      <c r="G39" s="545">
        <v>108204.15</v>
      </c>
      <c r="H39" s="544">
        <f>+E39-F39</f>
        <v>297795.84999999998</v>
      </c>
      <c r="I39" s="543">
        <f>+F39/E39</f>
        <v>0.26651268472906403</v>
      </c>
    </row>
    <row r="40" spans="1:9" x14ac:dyDescent="0.25">
      <c r="A40" s="561">
        <v>144</v>
      </c>
      <c r="B40" s="565" t="s">
        <v>685</v>
      </c>
      <c r="C40" s="544">
        <f>SUM(C41:C43)</f>
        <v>2969146.8</v>
      </c>
      <c r="D40" s="544">
        <f>SUM(D41:D43)</f>
        <v>43400</v>
      </c>
      <c r="E40" s="544">
        <f>+C40+D40</f>
        <v>3012546.8</v>
      </c>
      <c r="F40" s="544">
        <v>2912863.7</v>
      </c>
      <c r="G40" s="544">
        <v>2892959.5</v>
      </c>
      <c r="H40" s="544">
        <f>+E40-F40</f>
        <v>99683.099999999627</v>
      </c>
      <c r="I40" s="543">
        <f>+F40/E40</f>
        <v>0.96691068832524041</v>
      </c>
    </row>
    <row r="41" spans="1:9" x14ac:dyDescent="0.25">
      <c r="A41" s="558">
        <v>14402</v>
      </c>
      <c r="B41" s="557" t="s">
        <v>684</v>
      </c>
      <c r="C41" s="545">
        <v>21120</v>
      </c>
      <c r="D41" s="545">
        <v>0</v>
      </c>
      <c r="E41" s="545">
        <f>+C41+D41</f>
        <v>21120</v>
      </c>
      <c r="F41" s="545">
        <v>5192</v>
      </c>
      <c r="G41" s="545">
        <v>5192</v>
      </c>
      <c r="H41" s="544">
        <f>+E41-F41</f>
        <v>15928</v>
      </c>
      <c r="I41" s="543">
        <f>+F41/E41</f>
        <v>0.24583333333333332</v>
      </c>
    </row>
    <row r="42" spans="1:9" x14ac:dyDescent="0.25">
      <c r="A42" s="558">
        <v>14403</v>
      </c>
      <c r="B42" s="557" t="s">
        <v>683</v>
      </c>
      <c r="C42" s="545">
        <v>2943490.8</v>
      </c>
      <c r="D42" s="545">
        <v>43400</v>
      </c>
      <c r="E42" s="545">
        <f>+C42+D42</f>
        <v>2986890.8</v>
      </c>
      <c r="F42" s="545">
        <v>2906578.2</v>
      </c>
      <c r="G42" s="545">
        <v>2886674</v>
      </c>
      <c r="H42" s="544">
        <f>+E42-F42</f>
        <v>80312.599999999627</v>
      </c>
      <c r="I42" s="543">
        <f>+F42/E42</f>
        <v>0.97311163836321046</v>
      </c>
    </row>
    <row r="43" spans="1:9" x14ac:dyDescent="0.25">
      <c r="A43" s="558">
        <v>14406</v>
      </c>
      <c r="B43" s="557" t="s">
        <v>682</v>
      </c>
      <c r="C43" s="545">
        <v>4536</v>
      </c>
      <c r="D43" s="545">
        <v>0</v>
      </c>
      <c r="E43" s="545">
        <f>+C43+D43</f>
        <v>4536</v>
      </c>
      <c r="F43" s="545">
        <v>1093.5</v>
      </c>
      <c r="G43" s="545">
        <v>1093.5</v>
      </c>
      <c r="H43" s="544">
        <f>+E43-F43</f>
        <v>3442.5</v>
      </c>
      <c r="I43" s="543">
        <f>+F43/E43</f>
        <v>0.24107142857142858</v>
      </c>
    </row>
    <row r="44" spans="1:9" x14ac:dyDescent="0.25">
      <c r="A44" s="562">
        <v>1500</v>
      </c>
      <c r="B44" s="565" t="s">
        <v>673</v>
      </c>
      <c r="C44" s="544">
        <f>C45+C47+C50+C53</f>
        <v>36222358.650000006</v>
      </c>
      <c r="D44" s="544">
        <f>D45+D47+D50+D53</f>
        <v>-98400</v>
      </c>
      <c r="E44" s="544">
        <f>+C44+D44</f>
        <v>36123958.650000006</v>
      </c>
      <c r="F44" s="544">
        <v>10366015.149999999</v>
      </c>
      <c r="G44" s="544">
        <v>9437450.7699999996</v>
      </c>
      <c r="H44" s="544">
        <f>+E44-F44</f>
        <v>25757943.500000007</v>
      </c>
      <c r="I44" s="543">
        <f>+F44/E44</f>
        <v>0.28695678816474329</v>
      </c>
    </row>
    <row r="45" spans="1:9" ht="22.5" x14ac:dyDescent="0.25">
      <c r="A45" s="561">
        <v>151</v>
      </c>
      <c r="B45" s="565" t="s">
        <v>681</v>
      </c>
      <c r="C45" s="544">
        <f>C46</f>
        <v>5942534.7800000003</v>
      </c>
      <c r="D45" s="544">
        <f>D46</f>
        <v>0</v>
      </c>
      <c r="E45" s="544">
        <f>+C45+D45</f>
        <v>5942534.7800000003</v>
      </c>
      <c r="F45" s="544">
        <v>1488706.84</v>
      </c>
      <c r="G45" s="544">
        <v>1353910.73</v>
      </c>
      <c r="H45" s="544">
        <f>+E45-F45</f>
        <v>4453827.9400000004</v>
      </c>
      <c r="I45" s="543">
        <f>+F45/E45</f>
        <v>0.25051714379701118</v>
      </c>
    </row>
    <row r="46" spans="1:9" x14ac:dyDescent="0.25">
      <c r="A46" s="558">
        <v>15101</v>
      </c>
      <c r="B46" s="557" t="s">
        <v>680</v>
      </c>
      <c r="C46" s="545">
        <v>5942534.7800000003</v>
      </c>
      <c r="D46" s="545">
        <v>0</v>
      </c>
      <c r="E46" s="545">
        <f>+C46+D46</f>
        <v>5942534.7800000003</v>
      </c>
      <c r="F46" s="545">
        <v>1488706.84</v>
      </c>
      <c r="G46" s="545">
        <v>1353910.73</v>
      </c>
      <c r="H46" s="544">
        <f>+E46-F46</f>
        <v>4453827.9400000004</v>
      </c>
      <c r="I46" s="543">
        <f>+F46/E46</f>
        <v>0.25051714379701118</v>
      </c>
    </row>
    <row r="47" spans="1:9" x14ac:dyDescent="0.25">
      <c r="A47" s="561">
        <v>152</v>
      </c>
      <c r="B47" s="565" t="s">
        <v>679</v>
      </c>
      <c r="C47" s="544">
        <f>SUM(C48:C49)</f>
        <v>644802</v>
      </c>
      <c r="D47" s="544">
        <f>SUM(D48:D49)</f>
        <v>1220000</v>
      </c>
      <c r="E47" s="544">
        <f>+C47+D47</f>
        <v>1864802</v>
      </c>
      <c r="F47" s="544">
        <v>1326312.1299999999</v>
      </c>
      <c r="G47" s="544">
        <v>532543.86</v>
      </c>
      <c r="H47" s="544">
        <f>+E47-F47</f>
        <v>538489.87000000011</v>
      </c>
      <c r="I47" s="543">
        <f>+F47/E47</f>
        <v>0.7112348281479749</v>
      </c>
    </row>
    <row r="48" spans="1:9" x14ac:dyDescent="0.25">
      <c r="A48" s="558">
        <v>15201</v>
      </c>
      <c r="B48" s="557" t="s">
        <v>678</v>
      </c>
      <c r="C48" s="545">
        <v>95891</v>
      </c>
      <c r="D48" s="545">
        <v>0</v>
      </c>
      <c r="E48" s="545">
        <f>+C48+D48</f>
        <v>95891</v>
      </c>
      <c r="F48" s="545">
        <v>0</v>
      </c>
      <c r="G48" s="545">
        <v>0</v>
      </c>
      <c r="H48" s="544">
        <f>+E48-F48</f>
        <v>95891</v>
      </c>
      <c r="I48" s="543">
        <f>+F48/E48</f>
        <v>0</v>
      </c>
    </row>
    <row r="49" spans="1:9" x14ac:dyDescent="0.25">
      <c r="A49" s="558">
        <v>15202</v>
      </c>
      <c r="B49" s="557" t="s">
        <v>677</v>
      </c>
      <c r="C49" s="545">
        <v>548911</v>
      </c>
      <c r="D49" s="545">
        <v>1220000</v>
      </c>
      <c r="E49" s="545">
        <f>+C49+D49</f>
        <v>1768911</v>
      </c>
      <c r="F49" s="545">
        <v>1326312.1299999999</v>
      </c>
      <c r="G49" s="545">
        <v>532543.86</v>
      </c>
      <c r="H49" s="544">
        <f>+E49-F49</f>
        <v>442598.87000000011</v>
      </c>
      <c r="I49" s="543">
        <f>+F49/E49</f>
        <v>0.74979019860241691</v>
      </c>
    </row>
    <row r="50" spans="1:9" x14ac:dyDescent="0.25">
      <c r="A50" s="561">
        <v>154</v>
      </c>
      <c r="B50" s="565" t="s">
        <v>676</v>
      </c>
      <c r="C50" s="544">
        <f>SUM(C51:C52)</f>
        <v>2802335</v>
      </c>
      <c r="D50" s="544">
        <f>SUM(D51:D52)</f>
        <v>0</v>
      </c>
      <c r="E50" s="544">
        <f>+C50+D50</f>
        <v>2802335</v>
      </c>
      <c r="F50" s="544">
        <v>810407.97</v>
      </c>
      <c r="G50" s="544">
        <v>810407.97</v>
      </c>
      <c r="H50" s="544">
        <f>+E50-F50</f>
        <v>1991927.03</v>
      </c>
      <c r="I50" s="543">
        <f>+F50/E50</f>
        <v>0.2891902538418854</v>
      </c>
    </row>
    <row r="51" spans="1:9" x14ac:dyDescent="0.25">
      <c r="A51" s="558">
        <v>15409</v>
      </c>
      <c r="B51" s="557" t="s">
        <v>675</v>
      </c>
      <c r="C51" s="545">
        <v>2387702</v>
      </c>
      <c r="D51" s="545">
        <v>0</v>
      </c>
      <c r="E51" s="545">
        <f>+C51+D51</f>
        <v>2387702</v>
      </c>
      <c r="F51" s="545">
        <v>600343.97</v>
      </c>
      <c r="G51" s="545">
        <v>600343.97</v>
      </c>
      <c r="H51" s="544">
        <f>+E51-F51</f>
        <v>1787358.03</v>
      </c>
      <c r="I51" s="543">
        <f>+F51/E51</f>
        <v>0.25143169876307847</v>
      </c>
    </row>
    <row r="52" spans="1:9" x14ac:dyDescent="0.25">
      <c r="A52" s="558">
        <v>15419</v>
      </c>
      <c r="B52" s="557" t="s">
        <v>674</v>
      </c>
      <c r="C52" s="545">
        <v>414633</v>
      </c>
      <c r="D52" s="545">
        <v>0</v>
      </c>
      <c r="E52" s="545">
        <f>+C52+D52</f>
        <v>414633</v>
      </c>
      <c r="F52" s="545">
        <v>210064</v>
      </c>
      <c r="G52" s="545">
        <v>210064</v>
      </c>
      <c r="H52" s="544">
        <f>+E52-F52</f>
        <v>204569</v>
      </c>
      <c r="I52" s="543">
        <f>+F52/E52</f>
        <v>0.506626341849298</v>
      </c>
    </row>
    <row r="53" spans="1:9" x14ac:dyDescent="0.25">
      <c r="A53" s="561">
        <v>159</v>
      </c>
      <c r="B53" s="565" t="s">
        <v>673</v>
      </c>
      <c r="C53" s="544">
        <f>C54</f>
        <v>26832686.870000001</v>
      </c>
      <c r="D53" s="544">
        <f>D54</f>
        <v>-1318400</v>
      </c>
      <c r="E53" s="544">
        <f>+C53+D53</f>
        <v>25514286.870000001</v>
      </c>
      <c r="F53" s="544">
        <v>6740588.2100000009</v>
      </c>
      <c r="G53" s="544">
        <v>6740588.2100000009</v>
      </c>
      <c r="H53" s="544">
        <f>+E53-F53</f>
        <v>18773698.66</v>
      </c>
      <c r="I53" s="543">
        <f>+F53/E53</f>
        <v>0.26418877565908627</v>
      </c>
    </row>
    <row r="54" spans="1:9" x14ac:dyDescent="0.25">
      <c r="A54" s="558">
        <v>15901</v>
      </c>
      <c r="B54" s="557" t="s">
        <v>672</v>
      </c>
      <c r="C54" s="545">
        <v>26832686.870000001</v>
      </c>
      <c r="D54" s="545">
        <v>-1318400</v>
      </c>
      <c r="E54" s="545">
        <f>+C54+D54</f>
        <v>25514286.870000001</v>
      </c>
      <c r="F54" s="545">
        <v>6740588.2100000009</v>
      </c>
      <c r="G54" s="545">
        <v>6740588.2100000009</v>
      </c>
      <c r="H54" s="544">
        <f>+E54-F54</f>
        <v>18773698.66</v>
      </c>
      <c r="I54" s="543">
        <f>+F54/E54</f>
        <v>0.26418877565908627</v>
      </c>
    </row>
    <row r="55" spans="1:9" x14ac:dyDescent="0.25">
      <c r="A55" s="554">
        <v>1700</v>
      </c>
      <c r="B55" s="565" t="s">
        <v>671</v>
      </c>
      <c r="C55" s="544">
        <f>C56</f>
        <v>814198</v>
      </c>
      <c r="D55" s="544">
        <f>D56</f>
        <v>0</v>
      </c>
      <c r="E55" s="544">
        <f>+C55+D55</f>
        <v>814198</v>
      </c>
      <c r="F55" s="544">
        <v>169766.32</v>
      </c>
      <c r="G55" s="544">
        <v>169766.32</v>
      </c>
      <c r="H55" s="544">
        <f>+E55-F55</f>
        <v>644431.67999999993</v>
      </c>
      <c r="I55" s="543">
        <f>+F55/E55</f>
        <v>0.20850741465835093</v>
      </c>
    </row>
    <row r="56" spans="1:9" x14ac:dyDescent="0.25">
      <c r="A56" s="564">
        <v>171</v>
      </c>
      <c r="B56" s="565" t="s">
        <v>670</v>
      </c>
      <c r="C56" s="544">
        <f>SUM(C57:C58)</f>
        <v>814198</v>
      </c>
      <c r="D56" s="544">
        <f>SUM(D57:D58)</f>
        <v>0</v>
      </c>
      <c r="E56" s="544">
        <f>+C56+D56</f>
        <v>814198</v>
      </c>
      <c r="F56" s="544">
        <v>169766.32</v>
      </c>
      <c r="G56" s="544">
        <v>169766.32</v>
      </c>
      <c r="H56" s="544">
        <f>+E56-F56</f>
        <v>644431.67999999993</v>
      </c>
      <c r="I56" s="543">
        <f>+F56/E56</f>
        <v>0.20850741465835093</v>
      </c>
    </row>
    <row r="57" spans="1:9" x14ac:dyDescent="0.25">
      <c r="A57" s="558">
        <v>17102</v>
      </c>
      <c r="B57" s="557" t="s">
        <v>669</v>
      </c>
      <c r="C57" s="545">
        <v>416795</v>
      </c>
      <c r="D57" s="545">
        <v>0</v>
      </c>
      <c r="E57" s="545">
        <f>+C57+D57</f>
        <v>416795</v>
      </c>
      <c r="F57" s="545">
        <v>89323.76</v>
      </c>
      <c r="G57" s="545">
        <v>89323.76</v>
      </c>
      <c r="H57" s="544">
        <f>+E57-F57</f>
        <v>327471.24</v>
      </c>
      <c r="I57" s="543">
        <f>+F57/E57</f>
        <v>0.21431101620700824</v>
      </c>
    </row>
    <row r="58" spans="1:9" x14ac:dyDescent="0.25">
      <c r="A58" s="566">
        <v>17104</v>
      </c>
      <c r="B58" s="566" t="s">
        <v>668</v>
      </c>
      <c r="C58" s="545">
        <v>397403</v>
      </c>
      <c r="D58" s="545">
        <v>0</v>
      </c>
      <c r="E58" s="545">
        <f>+C58+D58</f>
        <v>397403</v>
      </c>
      <c r="F58" s="545">
        <v>80442.559999999998</v>
      </c>
      <c r="G58" s="545">
        <v>80442.559999999998</v>
      </c>
      <c r="H58" s="544">
        <f>+E58-F58</f>
        <v>316960.44</v>
      </c>
      <c r="I58" s="543">
        <f>+F58/E58</f>
        <v>0.20242061584839571</v>
      </c>
    </row>
    <row r="59" spans="1:9" x14ac:dyDescent="0.25">
      <c r="A59" s="558"/>
      <c r="B59" s="557"/>
      <c r="C59" s="545">
        <v>0</v>
      </c>
      <c r="D59" s="545">
        <v>0</v>
      </c>
      <c r="E59" s="544">
        <f>+C59+D59</f>
        <v>0</v>
      </c>
      <c r="F59" s="545">
        <v>0</v>
      </c>
      <c r="G59" s="545">
        <v>0</v>
      </c>
      <c r="H59" s="544">
        <f>+E59-F59</f>
        <v>0</v>
      </c>
      <c r="I59" s="543"/>
    </row>
    <row r="60" spans="1:9" x14ac:dyDescent="0.25">
      <c r="A60" s="554">
        <v>2000</v>
      </c>
      <c r="B60" s="565" t="s">
        <v>667</v>
      </c>
      <c r="C60" s="544">
        <f>C61+C77+C83+C86+C100+C111+C115+C120</f>
        <v>29616487.420000006</v>
      </c>
      <c r="D60" s="544">
        <f>D61+D77+D83+D86+D100+D111+D115+D120</f>
        <v>-2095.8300000000017</v>
      </c>
      <c r="E60" s="544">
        <f>+C60+D60</f>
        <v>29614391.590000007</v>
      </c>
      <c r="F60" s="544">
        <v>4805363.9399999995</v>
      </c>
      <c r="G60" s="544">
        <v>4112425.27</v>
      </c>
      <c r="H60" s="544">
        <f>+E60-F60</f>
        <v>24809027.650000006</v>
      </c>
      <c r="I60" s="543">
        <f>+F60/E60</f>
        <v>0.1622644829759948</v>
      </c>
    </row>
    <row r="61" spans="1:9" ht="22.5" x14ac:dyDescent="0.25">
      <c r="A61" s="562">
        <v>2100</v>
      </c>
      <c r="B61" s="565" t="s">
        <v>666</v>
      </c>
      <c r="C61" s="544">
        <f>C62+C64+C66+C68+C70+C74</f>
        <v>2140406.7799999998</v>
      </c>
      <c r="D61" s="544">
        <f>D62+D64+D66+D68+D70+D74</f>
        <v>59999.17</v>
      </c>
      <c r="E61" s="544">
        <f>+C61+D61</f>
        <v>2200405.9499999997</v>
      </c>
      <c r="F61" s="544">
        <v>290000.84000000003</v>
      </c>
      <c r="G61" s="544">
        <v>280480.49</v>
      </c>
      <c r="H61" s="544">
        <f>+E61-F61</f>
        <v>1910405.1099999996</v>
      </c>
      <c r="I61" s="543">
        <f>+F61/E61</f>
        <v>0.1317942446029107</v>
      </c>
    </row>
    <row r="62" spans="1:9" x14ac:dyDescent="0.25">
      <c r="A62" s="561">
        <v>211</v>
      </c>
      <c r="B62" s="565" t="s">
        <v>665</v>
      </c>
      <c r="C62" s="544">
        <f>C63</f>
        <v>1070533.22</v>
      </c>
      <c r="D62" s="544">
        <f>D63</f>
        <v>40000</v>
      </c>
      <c r="E62" s="544">
        <f>+C62+D62</f>
        <v>1110533.22</v>
      </c>
      <c r="F62" s="544">
        <v>70580.13</v>
      </c>
      <c r="G62" s="544">
        <v>63573.06</v>
      </c>
      <c r="H62" s="544">
        <f>+E62-F62</f>
        <v>1039953.09</v>
      </c>
      <c r="I62" s="543">
        <f>+F62/E62</f>
        <v>6.3555172172157087E-2</v>
      </c>
    </row>
    <row r="63" spans="1:9" x14ac:dyDescent="0.25">
      <c r="A63" s="558">
        <v>21101</v>
      </c>
      <c r="B63" s="557" t="s">
        <v>665</v>
      </c>
      <c r="C63" s="545">
        <v>1070533.22</v>
      </c>
      <c r="D63" s="545">
        <v>40000</v>
      </c>
      <c r="E63" s="545">
        <f>+C63+D63</f>
        <v>1110533.22</v>
      </c>
      <c r="F63" s="545">
        <v>70580.13</v>
      </c>
      <c r="G63" s="545">
        <v>63573.06</v>
      </c>
      <c r="H63" s="544">
        <f>+E63-F63</f>
        <v>1039953.09</v>
      </c>
      <c r="I63" s="543">
        <f>+F63/E63</f>
        <v>6.3555172172157087E-2</v>
      </c>
    </row>
    <row r="64" spans="1:9" x14ac:dyDescent="0.25">
      <c r="A64" s="561">
        <v>212</v>
      </c>
      <c r="B64" s="565" t="s">
        <v>664</v>
      </c>
      <c r="C64" s="544">
        <f>C65</f>
        <v>232099.47</v>
      </c>
      <c r="D64" s="544">
        <f>D65</f>
        <v>-0.8300000000011778</v>
      </c>
      <c r="E64" s="544">
        <f>+C64+D64</f>
        <v>232098.64</v>
      </c>
      <c r="F64" s="544">
        <v>10629.99</v>
      </c>
      <c r="G64" s="544">
        <v>8217.4699999999993</v>
      </c>
      <c r="H64" s="544">
        <f>+E64-F64</f>
        <v>221468.65000000002</v>
      </c>
      <c r="I64" s="543">
        <f>+F64/E64</f>
        <v>4.579944975119199E-2</v>
      </c>
    </row>
    <row r="65" spans="1:9" x14ac:dyDescent="0.25">
      <c r="A65" s="558">
        <v>21201</v>
      </c>
      <c r="B65" s="557" t="s">
        <v>664</v>
      </c>
      <c r="C65" s="545">
        <v>232099.47</v>
      </c>
      <c r="D65" s="545">
        <v>-0.8300000000011778</v>
      </c>
      <c r="E65" s="545">
        <f>+C65+D65</f>
        <v>232098.64</v>
      </c>
      <c r="F65" s="545">
        <v>10629.99</v>
      </c>
      <c r="G65" s="545">
        <v>8217.4699999999993</v>
      </c>
      <c r="H65" s="544">
        <f>+E65-F65</f>
        <v>221468.65000000002</v>
      </c>
      <c r="I65" s="543">
        <f>+F65/E65</f>
        <v>4.579944975119199E-2</v>
      </c>
    </row>
    <row r="66" spans="1:9" ht="22.5" x14ac:dyDescent="0.25">
      <c r="A66" s="561">
        <v>214</v>
      </c>
      <c r="B66" s="565" t="s">
        <v>663</v>
      </c>
      <c r="C66" s="544">
        <f>C67</f>
        <v>395542.63</v>
      </c>
      <c r="D66" s="544">
        <f>D67</f>
        <v>20000</v>
      </c>
      <c r="E66" s="544">
        <f>+C66+D66</f>
        <v>415542.63</v>
      </c>
      <c r="F66" s="544">
        <v>30019.360000000001</v>
      </c>
      <c r="G66" s="544">
        <v>29918.6</v>
      </c>
      <c r="H66" s="544">
        <f>+E66-F66</f>
        <v>385523.27</v>
      </c>
      <c r="I66" s="543">
        <f>+F66/E66</f>
        <v>7.2241348619274032E-2</v>
      </c>
    </row>
    <row r="67" spans="1:9" ht="22.5" x14ac:dyDescent="0.25">
      <c r="A67" s="558">
        <v>21401</v>
      </c>
      <c r="B67" s="557" t="s">
        <v>662</v>
      </c>
      <c r="C67" s="545">
        <v>395542.63</v>
      </c>
      <c r="D67" s="545">
        <v>20000</v>
      </c>
      <c r="E67" s="545">
        <f>+C67+D67</f>
        <v>415542.63</v>
      </c>
      <c r="F67" s="545">
        <v>30019.360000000001</v>
      </c>
      <c r="G67" s="545">
        <v>29918.6</v>
      </c>
      <c r="H67" s="544">
        <f>+E67-F67</f>
        <v>385523.27</v>
      </c>
      <c r="I67" s="543">
        <f>+F67/E67</f>
        <v>7.2241348619274032E-2</v>
      </c>
    </row>
    <row r="68" spans="1:9" x14ac:dyDescent="0.25">
      <c r="A68" s="561">
        <v>215</v>
      </c>
      <c r="B68" s="565" t="s">
        <v>661</v>
      </c>
      <c r="C68" s="544">
        <f>C69</f>
        <v>4126</v>
      </c>
      <c r="D68" s="544">
        <f>D69</f>
        <v>0</v>
      </c>
      <c r="E68" s="544">
        <f>+C68+D68</f>
        <v>4126</v>
      </c>
      <c r="F68" s="544">
        <v>2350</v>
      </c>
      <c r="G68" s="544">
        <v>2350</v>
      </c>
      <c r="H68" s="544">
        <f>+E68-F68</f>
        <v>1776</v>
      </c>
      <c r="I68" s="543">
        <f>+F68/E68</f>
        <v>0.56955889481337862</v>
      </c>
    </row>
    <row r="69" spans="1:9" x14ac:dyDescent="0.25">
      <c r="A69" s="558">
        <v>21501</v>
      </c>
      <c r="B69" s="557" t="s">
        <v>660</v>
      </c>
      <c r="C69" s="545">
        <v>4126</v>
      </c>
      <c r="D69" s="545">
        <v>0</v>
      </c>
      <c r="E69" s="545">
        <f>+C69+D69</f>
        <v>4126</v>
      </c>
      <c r="F69" s="545">
        <v>2350</v>
      </c>
      <c r="G69" s="545">
        <v>2350</v>
      </c>
      <c r="H69" s="544">
        <f>+E69-F69</f>
        <v>1776</v>
      </c>
      <c r="I69" s="543">
        <f>+F69/E69</f>
        <v>0.56955889481337862</v>
      </c>
    </row>
    <row r="70" spans="1:9" x14ac:dyDescent="0.25">
      <c r="A70" s="561">
        <v>216</v>
      </c>
      <c r="B70" s="565" t="s">
        <v>659</v>
      </c>
      <c r="C70" s="544">
        <f>C71</f>
        <v>194015.69</v>
      </c>
      <c r="D70" s="544">
        <f>D71</f>
        <v>0</v>
      </c>
      <c r="E70" s="544">
        <f>+C70+D70</f>
        <v>194015.69</v>
      </c>
      <c r="F70" s="544">
        <v>2978.3599999999997</v>
      </c>
      <c r="G70" s="544">
        <v>2978.3599999999997</v>
      </c>
      <c r="H70" s="544">
        <f>+E70-F70</f>
        <v>191037.33000000002</v>
      </c>
      <c r="I70" s="543">
        <f>+F70/E70</f>
        <v>1.535112959163251E-2</v>
      </c>
    </row>
    <row r="71" spans="1:9" x14ac:dyDescent="0.25">
      <c r="A71" s="558">
        <v>21601</v>
      </c>
      <c r="B71" s="557" t="s">
        <v>659</v>
      </c>
      <c r="C71" s="545">
        <v>194015.69</v>
      </c>
      <c r="D71" s="545">
        <v>0</v>
      </c>
      <c r="E71" s="545">
        <f>+C71+D71</f>
        <v>194015.69</v>
      </c>
      <c r="F71" s="545">
        <v>2978.3599999999997</v>
      </c>
      <c r="G71" s="545">
        <v>2978.3599999999997</v>
      </c>
      <c r="H71" s="544">
        <f>+E71-F71</f>
        <v>191037.33000000002</v>
      </c>
      <c r="I71" s="543">
        <f>+F71/E71</f>
        <v>1.535112959163251E-2</v>
      </c>
    </row>
    <row r="72" spans="1:9" hidden="1" x14ac:dyDescent="0.25">
      <c r="A72" s="561">
        <v>217</v>
      </c>
      <c r="B72" s="565" t="s">
        <v>658</v>
      </c>
      <c r="C72" s="544">
        <v>0</v>
      </c>
      <c r="D72" s="544">
        <v>0</v>
      </c>
      <c r="E72" s="544">
        <f>+C72+D72</f>
        <v>0</v>
      </c>
      <c r="F72" s="544">
        <v>0</v>
      </c>
      <c r="G72" s="544">
        <v>0</v>
      </c>
      <c r="H72" s="544">
        <f>+E72-F72</f>
        <v>0</v>
      </c>
      <c r="I72" s="543"/>
    </row>
    <row r="73" spans="1:9" hidden="1" x14ac:dyDescent="0.25">
      <c r="A73" s="558">
        <v>21701</v>
      </c>
      <c r="B73" s="557" t="s">
        <v>657</v>
      </c>
      <c r="C73" s="545">
        <v>0</v>
      </c>
      <c r="D73" s="545">
        <v>0</v>
      </c>
      <c r="E73" s="544">
        <f>+C73+D73</f>
        <v>0</v>
      </c>
      <c r="F73" s="545">
        <v>0</v>
      </c>
      <c r="G73" s="545">
        <v>0</v>
      </c>
      <c r="H73" s="544">
        <f>+E73-F73</f>
        <v>0</v>
      </c>
      <c r="I73" s="543"/>
    </row>
    <row r="74" spans="1:9" ht="22.5" x14ac:dyDescent="0.25">
      <c r="A74" s="561">
        <v>218</v>
      </c>
      <c r="B74" s="565" t="s">
        <v>656</v>
      </c>
      <c r="C74" s="544">
        <f>C75</f>
        <v>244089.77</v>
      </c>
      <c r="D74" s="544">
        <f>D75</f>
        <v>0</v>
      </c>
      <c r="E74" s="544">
        <f>+C74+D74</f>
        <v>244089.77</v>
      </c>
      <c r="F74" s="544">
        <v>173443</v>
      </c>
      <c r="G74" s="544">
        <v>173443</v>
      </c>
      <c r="H74" s="544">
        <f>+E74-F74</f>
        <v>70646.76999999999</v>
      </c>
      <c r="I74" s="543">
        <f>+F74/E74</f>
        <v>0.71057054132174402</v>
      </c>
    </row>
    <row r="75" spans="1:9" x14ac:dyDescent="0.25">
      <c r="A75" s="558">
        <v>21801</v>
      </c>
      <c r="B75" s="557" t="s">
        <v>655</v>
      </c>
      <c r="C75" s="545">
        <v>244089.77</v>
      </c>
      <c r="D75" s="545">
        <v>0</v>
      </c>
      <c r="E75" s="545">
        <f>+C75+D75</f>
        <v>244089.77</v>
      </c>
      <c r="F75" s="545">
        <v>173443</v>
      </c>
      <c r="G75" s="545">
        <v>173443</v>
      </c>
      <c r="H75" s="544">
        <f>+E75-F75</f>
        <v>70646.76999999999</v>
      </c>
      <c r="I75" s="543">
        <f>+F75/E75</f>
        <v>0.71057054132174402</v>
      </c>
    </row>
    <row r="76" spans="1:9" hidden="1" x14ac:dyDescent="0.25">
      <c r="A76" s="558">
        <v>21802</v>
      </c>
      <c r="B76" s="557" t="s">
        <v>654</v>
      </c>
      <c r="C76" s="545">
        <v>0</v>
      </c>
      <c r="D76" s="545">
        <v>0</v>
      </c>
      <c r="E76" s="544">
        <f>+C76+D76</f>
        <v>0</v>
      </c>
      <c r="F76" s="545">
        <v>0</v>
      </c>
      <c r="G76" s="545">
        <v>0</v>
      </c>
      <c r="H76" s="544">
        <f>+E76-F76</f>
        <v>0</v>
      </c>
      <c r="I76" s="543"/>
    </row>
    <row r="77" spans="1:9" x14ac:dyDescent="0.25">
      <c r="A77" s="562">
        <v>2200</v>
      </c>
      <c r="B77" s="565" t="s">
        <v>653</v>
      </c>
      <c r="C77" s="544">
        <f>C78+C81</f>
        <v>481582</v>
      </c>
      <c r="D77" s="544">
        <f>D78+D81</f>
        <v>0</v>
      </c>
      <c r="E77" s="544">
        <f>+C77+D77</f>
        <v>481582</v>
      </c>
      <c r="F77" s="544">
        <v>117915.12</v>
      </c>
      <c r="G77" s="544">
        <v>99322.63</v>
      </c>
      <c r="H77" s="544">
        <f>+E77-F77</f>
        <v>363666.88</v>
      </c>
      <c r="I77" s="543">
        <f>+F77/E77</f>
        <v>0.2448495168008771</v>
      </c>
    </row>
    <row r="78" spans="1:9" x14ac:dyDescent="0.25">
      <c r="A78" s="561">
        <v>221</v>
      </c>
      <c r="B78" s="565" t="s">
        <v>652</v>
      </c>
      <c r="C78" s="544">
        <f>C79+C80</f>
        <v>476274</v>
      </c>
      <c r="D78" s="544">
        <f>D79+D80</f>
        <v>-500</v>
      </c>
      <c r="E78" s="544">
        <f>+C78+D78</f>
        <v>475774</v>
      </c>
      <c r="F78" s="544">
        <v>117120.54999999999</v>
      </c>
      <c r="G78" s="544">
        <v>98528.060000000012</v>
      </c>
      <c r="H78" s="544">
        <f>+E78-F78</f>
        <v>358653.45</v>
      </c>
      <c r="I78" s="543">
        <f>+F78/E78</f>
        <v>0.24616845392980699</v>
      </c>
    </row>
    <row r="79" spans="1:9" ht="22.5" x14ac:dyDescent="0.25">
      <c r="A79" s="558">
        <v>22101</v>
      </c>
      <c r="B79" s="557" t="s">
        <v>651</v>
      </c>
      <c r="C79" s="545">
        <v>281830</v>
      </c>
      <c r="D79" s="545">
        <v>-500</v>
      </c>
      <c r="E79" s="545">
        <f>+C79+D79</f>
        <v>281330</v>
      </c>
      <c r="F79" s="545">
        <v>87592.55</v>
      </c>
      <c r="G79" s="545">
        <v>84679.060000000012</v>
      </c>
      <c r="H79" s="544">
        <f>+E79-F79</f>
        <v>193737.45</v>
      </c>
      <c r="I79" s="543">
        <f>+F79/E79</f>
        <v>0.31135161554046847</v>
      </c>
    </row>
    <row r="80" spans="1:9" x14ac:dyDescent="0.25">
      <c r="A80" s="558">
        <v>22106</v>
      </c>
      <c r="B80" s="557" t="s">
        <v>650</v>
      </c>
      <c r="C80" s="545">
        <v>194444</v>
      </c>
      <c r="D80" s="545">
        <v>0</v>
      </c>
      <c r="E80" s="545">
        <f>+C80+D80</f>
        <v>194444</v>
      </c>
      <c r="F80" s="545">
        <v>29528</v>
      </c>
      <c r="G80" s="545">
        <v>13849</v>
      </c>
      <c r="H80" s="544">
        <f>+E80-F80</f>
        <v>164916</v>
      </c>
      <c r="I80" s="543">
        <f>+F80/E80</f>
        <v>0.15185863281973216</v>
      </c>
    </row>
    <row r="81" spans="1:9" x14ac:dyDescent="0.25">
      <c r="A81" s="561">
        <v>223</v>
      </c>
      <c r="B81" s="565" t="s">
        <v>649</v>
      </c>
      <c r="C81" s="544">
        <f>C82</f>
        <v>5308</v>
      </c>
      <c r="D81" s="544">
        <f>D82</f>
        <v>500</v>
      </c>
      <c r="E81" s="544">
        <f>+C81+D81</f>
        <v>5808</v>
      </c>
      <c r="F81" s="544">
        <v>794.56999999999994</v>
      </c>
      <c r="G81" s="544">
        <v>794.56999999999994</v>
      </c>
      <c r="H81" s="544">
        <f>+E81-F81</f>
        <v>5013.43</v>
      </c>
      <c r="I81" s="543">
        <f>+F81/E81</f>
        <v>0.13680612947658402</v>
      </c>
    </row>
    <row r="82" spans="1:9" x14ac:dyDescent="0.25">
      <c r="A82" s="558">
        <v>22301</v>
      </c>
      <c r="B82" s="557" t="s">
        <v>649</v>
      </c>
      <c r="C82" s="545">
        <v>5308</v>
      </c>
      <c r="D82" s="545">
        <v>500</v>
      </c>
      <c r="E82" s="545">
        <f>+C82+D82</f>
        <v>5808</v>
      </c>
      <c r="F82" s="545">
        <v>794.56999999999994</v>
      </c>
      <c r="G82" s="545">
        <v>794.56999999999994</v>
      </c>
      <c r="H82" s="544">
        <f>+E82-F82</f>
        <v>5013.43</v>
      </c>
      <c r="I82" s="543">
        <f>+F82/E82</f>
        <v>0.13680612947658402</v>
      </c>
    </row>
    <row r="83" spans="1:9" ht="22.5" x14ac:dyDescent="0.25">
      <c r="A83" s="562">
        <v>2300</v>
      </c>
      <c r="B83" s="565" t="s">
        <v>648</v>
      </c>
      <c r="C83" s="544">
        <f>C84</f>
        <v>6160974.3700000001</v>
      </c>
      <c r="D83" s="544">
        <f>D84</f>
        <v>0</v>
      </c>
      <c r="E83" s="544">
        <f>+C83+D83</f>
        <v>6160974.3700000001</v>
      </c>
      <c r="F83" s="544">
        <v>567609.59999999998</v>
      </c>
      <c r="G83" s="544">
        <v>595905.68999999994</v>
      </c>
      <c r="H83" s="544">
        <f>+E83-F83</f>
        <v>5593364.7700000005</v>
      </c>
      <c r="I83" s="543">
        <f>+F83/E83</f>
        <v>9.2129842767062181E-2</v>
      </c>
    </row>
    <row r="84" spans="1:9" x14ac:dyDescent="0.25">
      <c r="A84" s="561">
        <v>239</v>
      </c>
      <c r="B84" s="565" t="s">
        <v>647</v>
      </c>
      <c r="C84" s="544">
        <f>C85</f>
        <v>6160974.3700000001</v>
      </c>
      <c r="D84" s="544">
        <f>D85</f>
        <v>0</v>
      </c>
      <c r="E84" s="544">
        <f>+C84+D84</f>
        <v>6160974.3700000001</v>
      </c>
      <c r="F84" s="544">
        <v>567609.59999999998</v>
      </c>
      <c r="G84" s="544">
        <v>595905.68999999994</v>
      </c>
      <c r="H84" s="544">
        <f>+E84-F84</f>
        <v>5593364.7700000005</v>
      </c>
      <c r="I84" s="543">
        <f>+F84/E84</f>
        <v>9.2129842767062181E-2</v>
      </c>
    </row>
    <row r="85" spans="1:9" x14ac:dyDescent="0.25">
      <c r="A85" s="558">
        <v>23901</v>
      </c>
      <c r="B85" s="557" t="s">
        <v>647</v>
      </c>
      <c r="C85" s="545">
        <v>6160974.3700000001</v>
      </c>
      <c r="D85" s="545">
        <v>0</v>
      </c>
      <c r="E85" s="545">
        <f>+C85+D85</f>
        <v>6160974.3700000001</v>
      </c>
      <c r="F85" s="545">
        <v>567609.59999999998</v>
      </c>
      <c r="G85" s="545">
        <v>595905.68999999994</v>
      </c>
      <c r="H85" s="544">
        <f>+E85-F85</f>
        <v>5593364.7700000005</v>
      </c>
      <c r="I85" s="543">
        <f>+F85/E85</f>
        <v>9.2129842767062181E-2</v>
      </c>
    </row>
    <row r="86" spans="1:9" ht="22.5" x14ac:dyDescent="0.25">
      <c r="A86" s="562">
        <v>2400</v>
      </c>
      <c r="B86" s="565" t="s">
        <v>646</v>
      </c>
      <c r="C86" s="544">
        <f>C87+C95+C98</f>
        <v>667519</v>
      </c>
      <c r="D86" s="544">
        <f>D87+D95+D98</f>
        <v>0</v>
      </c>
      <c r="E86" s="544">
        <f>+C86+D86</f>
        <v>667519</v>
      </c>
      <c r="F86" s="544">
        <v>116706.32</v>
      </c>
      <c r="G86" s="544">
        <v>116706.32</v>
      </c>
      <c r="H86" s="544">
        <f>+E86-F86</f>
        <v>550812.67999999993</v>
      </c>
      <c r="I86" s="543">
        <f>+F86/E86</f>
        <v>0.17483595223506748</v>
      </c>
    </row>
    <row r="87" spans="1:9" x14ac:dyDescent="0.25">
      <c r="A87" s="561">
        <v>242</v>
      </c>
      <c r="B87" s="565" t="s">
        <v>645</v>
      </c>
      <c r="C87" s="544">
        <f>C88</f>
        <v>129292</v>
      </c>
      <c r="D87" s="544">
        <f>D88</f>
        <v>0</v>
      </c>
      <c r="E87" s="544">
        <f>+C87+D87</f>
        <v>129292</v>
      </c>
      <c r="F87" s="544">
        <v>18128.759999999998</v>
      </c>
      <c r="G87" s="544">
        <v>18128.759999999998</v>
      </c>
      <c r="H87" s="544">
        <f>+E87-F87</f>
        <v>111163.24</v>
      </c>
      <c r="I87" s="543">
        <f>+F87/E87</f>
        <v>0.1402156359248832</v>
      </c>
    </row>
    <row r="88" spans="1:9" x14ac:dyDescent="0.25">
      <c r="A88" s="558">
        <v>24201</v>
      </c>
      <c r="B88" s="557" t="s">
        <v>645</v>
      </c>
      <c r="C88" s="545">
        <v>129292</v>
      </c>
      <c r="D88" s="545">
        <v>0</v>
      </c>
      <c r="E88" s="545">
        <f>+C88+D88</f>
        <v>129292</v>
      </c>
      <c r="F88" s="545">
        <v>18128.759999999998</v>
      </c>
      <c r="G88" s="545">
        <v>18128.759999999998</v>
      </c>
      <c r="H88" s="544">
        <f>+E88-F88</f>
        <v>111163.24</v>
      </c>
      <c r="I88" s="543">
        <f>+F88/E88</f>
        <v>0.1402156359248832</v>
      </c>
    </row>
    <row r="89" spans="1:9" hidden="1" x14ac:dyDescent="0.25">
      <c r="A89" s="561"/>
      <c r="B89" s="565" t="s">
        <v>644</v>
      </c>
      <c r="C89" s="544">
        <v>0</v>
      </c>
      <c r="D89" s="544">
        <v>0</v>
      </c>
      <c r="E89" s="544">
        <f>+C89+D89</f>
        <v>0</v>
      </c>
      <c r="F89" s="544">
        <v>0</v>
      </c>
      <c r="G89" s="544">
        <v>0</v>
      </c>
      <c r="H89" s="544">
        <f>+E89-F89</f>
        <v>0</v>
      </c>
      <c r="I89" s="543"/>
    </row>
    <row r="90" spans="1:9" hidden="1" x14ac:dyDescent="0.25">
      <c r="A90" s="558">
        <v>24301</v>
      </c>
      <c r="B90" s="557" t="s">
        <v>643</v>
      </c>
      <c r="C90" s="545">
        <v>0</v>
      </c>
      <c r="D90" s="545">
        <v>0</v>
      </c>
      <c r="E90" s="544">
        <f>+C90+D90</f>
        <v>0</v>
      </c>
      <c r="F90" s="545">
        <v>0</v>
      </c>
      <c r="G90" s="545">
        <v>0</v>
      </c>
      <c r="H90" s="544">
        <f>+E90-F90</f>
        <v>0</v>
      </c>
      <c r="I90" s="543"/>
    </row>
    <row r="91" spans="1:9" hidden="1" x14ac:dyDescent="0.25">
      <c r="A91" s="561">
        <v>244</v>
      </c>
      <c r="B91" s="565" t="s">
        <v>642</v>
      </c>
      <c r="C91" s="544">
        <v>0</v>
      </c>
      <c r="D91" s="544">
        <v>0</v>
      </c>
      <c r="E91" s="544">
        <f>+C91+D91</f>
        <v>0</v>
      </c>
      <c r="F91" s="544">
        <v>0</v>
      </c>
      <c r="G91" s="544">
        <v>0</v>
      </c>
      <c r="H91" s="544">
        <f>+E91-F91</f>
        <v>0</v>
      </c>
      <c r="I91" s="543"/>
    </row>
    <row r="92" spans="1:9" hidden="1" x14ac:dyDescent="0.25">
      <c r="A92" s="558">
        <v>24401</v>
      </c>
      <c r="B92" s="557" t="s">
        <v>642</v>
      </c>
      <c r="C92" s="545">
        <v>0</v>
      </c>
      <c r="D92" s="545">
        <v>0</v>
      </c>
      <c r="E92" s="544">
        <f>+C92+D92</f>
        <v>0</v>
      </c>
      <c r="F92" s="545">
        <v>0</v>
      </c>
      <c r="G92" s="545">
        <v>0</v>
      </c>
      <c r="H92" s="544">
        <f>+E92-F92</f>
        <v>0</v>
      </c>
      <c r="I92" s="543"/>
    </row>
    <row r="93" spans="1:9" hidden="1" x14ac:dyDescent="0.25">
      <c r="A93" s="561">
        <v>245</v>
      </c>
      <c r="B93" s="565" t="s">
        <v>641</v>
      </c>
      <c r="C93" s="544">
        <v>0</v>
      </c>
      <c r="D93" s="544">
        <v>0</v>
      </c>
      <c r="E93" s="544">
        <f>+C93+D93</f>
        <v>0</v>
      </c>
      <c r="F93" s="544">
        <v>0</v>
      </c>
      <c r="G93" s="544">
        <v>0</v>
      </c>
      <c r="H93" s="544">
        <f>+E93-F93</f>
        <v>0</v>
      </c>
      <c r="I93" s="543"/>
    </row>
    <row r="94" spans="1:9" hidden="1" x14ac:dyDescent="0.25">
      <c r="A94" s="558">
        <v>24501</v>
      </c>
      <c r="B94" s="557" t="s">
        <v>641</v>
      </c>
      <c r="C94" s="545">
        <v>0</v>
      </c>
      <c r="D94" s="545">
        <v>0</v>
      </c>
      <c r="E94" s="544">
        <f>+C94+D94</f>
        <v>0</v>
      </c>
      <c r="F94" s="545">
        <v>0</v>
      </c>
      <c r="G94" s="545">
        <v>0</v>
      </c>
      <c r="H94" s="544">
        <f>+E94-F94</f>
        <v>0</v>
      </c>
      <c r="I94" s="543"/>
    </row>
    <row r="95" spans="1:9" x14ac:dyDescent="0.25">
      <c r="A95" s="561">
        <v>246</v>
      </c>
      <c r="B95" s="565" t="s">
        <v>640</v>
      </c>
      <c r="C95" s="544">
        <f>C96</f>
        <v>536532</v>
      </c>
      <c r="D95" s="544">
        <f>D96</f>
        <v>0</v>
      </c>
      <c r="E95" s="544">
        <f>+C95+D95</f>
        <v>536532</v>
      </c>
      <c r="F95" s="544">
        <v>98577.56</v>
      </c>
      <c r="G95" s="544">
        <v>98577.56</v>
      </c>
      <c r="H95" s="544">
        <f>+E95-F95</f>
        <v>437954.44</v>
      </c>
      <c r="I95" s="543">
        <f>+F95/E95</f>
        <v>0.183730998337471</v>
      </c>
    </row>
    <row r="96" spans="1:9" x14ac:dyDescent="0.25">
      <c r="A96" s="558">
        <v>24601</v>
      </c>
      <c r="B96" s="557" t="s">
        <v>640</v>
      </c>
      <c r="C96" s="545">
        <v>536532</v>
      </c>
      <c r="D96" s="545">
        <v>0</v>
      </c>
      <c r="E96" s="545">
        <f>+C96+D96</f>
        <v>536532</v>
      </c>
      <c r="F96" s="545">
        <v>98577.56</v>
      </c>
      <c r="G96" s="545">
        <v>98577.56</v>
      </c>
      <c r="H96" s="544">
        <f>+E96-F96</f>
        <v>437954.44</v>
      </c>
      <c r="I96" s="543">
        <f>+F96/E96</f>
        <v>0.183730998337471</v>
      </c>
    </row>
    <row r="97" spans="1:9" hidden="1" x14ac:dyDescent="0.25">
      <c r="A97" s="558">
        <v>24801</v>
      </c>
      <c r="B97" s="557" t="s">
        <v>639</v>
      </c>
      <c r="C97" s="545">
        <v>0</v>
      </c>
      <c r="D97" s="545">
        <v>0</v>
      </c>
      <c r="E97" s="544">
        <f>+C97+D97</f>
        <v>0</v>
      </c>
      <c r="F97" s="545">
        <v>0</v>
      </c>
      <c r="G97" s="545">
        <v>0</v>
      </c>
      <c r="H97" s="544">
        <f>+E97-F97</f>
        <v>0</v>
      </c>
      <c r="I97" s="543"/>
    </row>
    <row r="98" spans="1:9" ht="22.5" x14ac:dyDescent="0.25">
      <c r="A98" s="561">
        <v>249</v>
      </c>
      <c r="B98" s="565" t="s">
        <v>638</v>
      </c>
      <c r="C98" s="544">
        <f>C99</f>
        <v>1695</v>
      </c>
      <c r="D98" s="544">
        <f>D99</f>
        <v>0</v>
      </c>
      <c r="E98" s="544">
        <f>+C98+D98</f>
        <v>1695</v>
      </c>
      <c r="F98" s="544">
        <v>0</v>
      </c>
      <c r="G98" s="544">
        <v>0</v>
      </c>
      <c r="H98" s="544">
        <f>+E98-F98</f>
        <v>1695</v>
      </c>
      <c r="I98" s="543">
        <f>+F98/E98</f>
        <v>0</v>
      </c>
    </row>
    <row r="99" spans="1:9" ht="22.5" x14ac:dyDescent="0.25">
      <c r="A99" s="558">
        <v>24901</v>
      </c>
      <c r="B99" s="557" t="s">
        <v>638</v>
      </c>
      <c r="C99" s="545">
        <v>1695</v>
      </c>
      <c r="D99" s="545">
        <v>0</v>
      </c>
      <c r="E99" s="545">
        <f>+C99+D99</f>
        <v>1695</v>
      </c>
      <c r="F99" s="545">
        <v>0</v>
      </c>
      <c r="G99" s="545">
        <v>0</v>
      </c>
      <c r="H99" s="544">
        <f>+E99-F99</f>
        <v>1695</v>
      </c>
      <c r="I99" s="543">
        <f>+F99/E99</f>
        <v>0</v>
      </c>
    </row>
    <row r="100" spans="1:9" ht="22.5" x14ac:dyDescent="0.25">
      <c r="A100" s="562">
        <v>2500</v>
      </c>
      <c r="B100" s="565" t="s">
        <v>637</v>
      </c>
      <c r="C100" s="544">
        <f>C105+C109</f>
        <v>7650860.7300000004</v>
      </c>
      <c r="D100" s="544">
        <f>D105+D109</f>
        <v>25000</v>
      </c>
      <c r="E100" s="544">
        <f>+C100+D100</f>
        <v>7675860.7300000004</v>
      </c>
      <c r="F100" s="544">
        <v>350973.97</v>
      </c>
      <c r="G100" s="544">
        <v>362385.05</v>
      </c>
      <c r="H100" s="544">
        <f>+E100-F100</f>
        <v>7324886.7600000007</v>
      </c>
      <c r="I100" s="543">
        <f>+F100/E100</f>
        <v>4.5724379629279693E-2</v>
      </c>
    </row>
    <row r="101" spans="1:9" hidden="1" x14ac:dyDescent="0.25">
      <c r="A101" s="561">
        <v>251</v>
      </c>
      <c r="B101" s="565" t="s">
        <v>636</v>
      </c>
      <c r="C101" s="544">
        <v>0</v>
      </c>
      <c r="D101" s="544">
        <v>0</v>
      </c>
      <c r="E101" s="544">
        <f>+C101+D101</f>
        <v>0</v>
      </c>
      <c r="F101" s="544">
        <v>0</v>
      </c>
      <c r="G101" s="544">
        <v>0</v>
      </c>
      <c r="H101" s="544">
        <f>+E101-F101</f>
        <v>0</v>
      </c>
      <c r="I101" s="543"/>
    </row>
    <row r="102" spans="1:9" hidden="1" x14ac:dyDescent="0.25">
      <c r="A102" s="558">
        <v>25101</v>
      </c>
      <c r="B102" s="557" t="s">
        <v>636</v>
      </c>
      <c r="C102" s="544">
        <v>0</v>
      </c>
      <c r="D102" s="544">
        <v>0</v>
      </c>
      <c r="E102" s="544">
        <f>+C102+D102</f>
        <v>0</v>
      </c>
      <c r="F102" s="544">
        <v>0</v>
      </c>
      <c r="G102" s="544">
        <v>0</v>
      </c>
      <c r="H102" s="544">
        <f>+E102-F102</f>
        <v>0</v>
      </c>
      <c r="I102" s="543"/>
    </row>
    <row r="103" spans="1:9" hidden="1" x14ac:dyDescent="0.25">
      <c r="A103" s="561">
        <v>252</v>
      </c>
      <c r="B103" s="565" t="s">
        <v>635</v>
      </c>
      <c r="C103" s="544">
        <v>0</v>
      </c>
      <c r="D103" s="544">
        <v>0</v>
      </c>
      <c r="E103" s="544">
        <f>+C103+D103</f>
        <v>0</v>
      </c>
      <c r="F103" s="544">
        <v>0</v>
      </c>
      <c r="G103" s="544">
        <v>0</v>
      </c>
      <c r="H103" s="544">
        <f>+E103-F103</f>
        <v>0</v>
      </c>
      <c r="I103" s="543"/>
    </row>
    <row r="104" spans="1:9" hidden="1" x14ac:dyDescent="0.25">
      <c r="A104" s="558">
        <v>25201</v>
      </c>
      <c r="B104" s="557" t="s">
        <v>635</v>
      </c>
      <c r="C104" s="545">
        <v>0</v>
      </c>
      <c r="D104" s="545">
        <v>0</v>
      </c>
      <c r="E104" s="544">
        <f>+C104+D104</f>
        <v>0</v>
      </c>
      <c r="F104" s="545">
        <v>0</v>
      </c>
      <c r="G104" s="545">
        <v>0</v>
      </c>
      <c r="H104" s="544">
        <f>+E104-F104</f>
        <v>0</v>
      </c>
      <c r="I104" s="543"/>
    </row>
    <row r="105" spans="1:9" x14ac:dyDescent="0.25">
      <c r="A105" s="561">
        <v>253</v>
      </c>
      <c r="B105" s="565" t="s">
        <v>634</v>
      </c>
      <c r="C105" s="544">
        <f>C106</f>
        <v>16997</v>
      </c>
      <c r="D105" s="544">
        <f>D106</f>
        <v>0</v>
      </c>
      <c r="E105" s="544">
        <f>+C105+D105</f>
        <v>16997</v>
      </c>
      <c r="F105" s="544">
        <v>0</v>
      </c>
      <c r="G105" s="544">
        <v>0</v>
      </c>
      <c r="H105" s="544">
        <f>+E105-F105</f>
        <v>16997</v>
      </c>
      <c r="I105" s="543">
        <f>+F105/E105</f>
        <v>0</v>
      </c>
    </row>
    <row r="106" spans="1:9" x14ac:dyDescent="0.25">
      <c r="A106" s="558">
        <v>25301</v>
      </c>
      <c r="B106" s="557" t="s">
        <v>634</v>
      </c>
      <c r="C106" s="545">
        <v>16997</v>
      </c>
      <c r="D106" s="545">
        <v>0</v>
      </c>
      <c r="E106" s="545">
        <f>+C106+D106</f>
        <v>16997</v>
      </c>
      <c r="F106" s="545">
        <v>0</v>
      </c>
      <c r="G106" s="545">
        <v>0</v>
      </c>
      <c r="H106" s="544">
        <f>+E106-F106</f>
        <v>16997</v>
      </c>
      <c r="I106" s="543">
        <f>+F106/E106</f>
        <v>0</v>
      </c>
    </row>
    <row r="107" spans="1:9" ht="15.75" hidden="1" customHeight="1" x14ac:dyDescent="0.25">
      <c r="A107" s="561">
        <v>255</v>
      </c>
      <c r="B107" s="565" t="s">
        <v>633</v>
      </c>
      <c r="C107" s="544">
        <v>0</v>
      </c>
      <c r="D107" s="544">
        <v>0</v>
      </c>
      <c r="E107" s="544">
        <f>+C107+D107</f>
        <v>0</v>
      </c>
      <c r="F107" s="544">
        <v>0</v>
      </c>
      <c r="G107" s="544">
        <v>0</v>
      </c>
      <c r="H107" s="544">
        <f>+E107-F107</f>
        <v>0</v>
      </c>
      <c r="I107" s="543"/>
    </row>
    <row r="108" spans="1:9" hidden="1" x14ac:dyDescent="0.25">
      <c r="A108" s="558">
        <v>25501</v>
      </c>
      <c r="B108" s="557" t="s">
        <v>633</v>
      </c>
      <c r="C108" s="545">
        <v>0</v>
      </c>
      <c r="D108" s="545">
        <v>0</v>
      </c>
      <c r="E108" s="544">
        <f>+C108+D108</f>
        <v>0</v>
      </c>
      <c r="F108" s="545">
        <v>0</v>
      </c>
      <c r="G108" s="545">
        <v>0</v>
      </c>
      <c r="H108" s="544">
        <f>+E108-F108</f>
        <v>0</v>
      </c>
      <c r="I108" s="543"/>
    </row>
    <row r="109" spans="1:9" x14ac:dyDescent="0.25">
      <c r="A109" s="561">
        <v>259</v>
      </c>
      <c r="B109" s="565" t="s">
        <v>632</v>
      </c>
      <c r="C109" s="544">
        <f>C110</f>
        <v>7633863.7300000004</v>
      </c>
      <c r="D109" s="544">
        <f>D110</f>
        <v>25000</v>
      </c>
      <c r="E109" s="544">
        <f>+C109+D109</f>
        <v>7658863.7300000004</v>
      </c>
      <c r="F109" s="544">
        <v>350973.97</v>
      </c>
      <c r="G109" s="544">
        <v>362385.05</v>
      </c>
      <c r="H109" s="544">
        <f>+E109-F109</f>
        <v>7307889.7600000007</v>
      </c>
      <c r="I109" s="543">
        <f>+F109/E109</f>
        <v>4.5825853856783526E-2</v>
      </c>
    </row>
    <row r="110" spans="1:9" x14ac:dyDescent="0.25">
      <c r="A110" s="558">
        <v>25901</v>
      </c>
      <c r="B110" s="557" t="s">
        <v>632</v>
      </c>
      <c r="C110" s="545">
        <v>7633863.7300000004</v>
      </c>
      <c r="D110" s="545">
        <v>25000</v>
      </c>
      <c r="E110" s="545">
        <f>+C110+D110</f>
        <v>7658863.7300000004</v>
      </c>
      <c r="F110" s="545">
        <v>350973.97</v>
      </c>
      <c r="G110" s="545">
        <v>362385.05</v>
      </c>
      <c r="H110" s="544">
        <f>+E110-F110</f>
        <v>7307889.7600000007</v>
      </c>
      <c r="I110" s="543">
        <f>+F110/E110</f>
        <v>4.5825853856783526E-2</v>
      </c>
    </row>
    <row r="111" spans="1:9" x14ac:dyDescent="0.25">
      <c r="A111" s="562">
        <v>2600</v>
      </c>
      <c r="B111" s="565" t="s">
        <v>631</v>
      </c>
      <c r="C111" s="544">
        <f>C112</f>
        <v>8047205.2999999998</v>
      </c>
      <c r="D111" s="544">
        <f>D112</f>
        <v>-8800</v>
      </c>
      <c r="E111" s="544">
        <f>+C111+D111</f>
        <v>8038405.2999999998</v>
      </c>
      <c r="F111" s="544">
        <v>2657678.59</v>
      </c>
      <c r="G111" s="544">
        <v>2047560.67</v>
      </c>
      <c r="H111" s="544">
        <f>+E111-F111</f>
        <v>5380726.71</v>
      </c>
      <c r="I111" s="543">
        <f>+F111/E111</f>
        <v>0.3306226161549729</v>
      </c>
    </row>
    <row r="112" spans="1:9" x14ac:dyDescent="0.25">
      <c r="A112" s="561">
        <v>261</v>
      </c>
      <c r="B112" s="565" t="s">
        <v>631</v>
      </c>
      <c r="C112" s="544">
        <f>C113+C114</f>
        <v>8047205.2999999998</v>
      </c>
      <c r="D112" s="544">
        <f>D113+D114</f>
        <v>-8800</v>
      </c>
      <c r="E112" s="544">
        <f>+C112+D112</f>
        <v>8038405.2999999998</v>
      </c>
      <c r="F112" s="544">
        <v>2657678.59</v>
      </c>
      <c r="G112" s="544">
        <v>2047560.67</v>
      </c>
      <c r="H112" s="544">
        <f>+E112-F112</f>
        <v>5380726.71</v>
      </c>
      <c r="I112" s="543">
        <f>+F112/E112</f>
        <v>0.3306226161549729</v>
      </c>
    </row>
    <row r="113" spans="1:9" x14ac:dyDescent="0.25">
      <c r="A113" s="558">
        <v>26101</v>
      </c>
      <c r="B113" s="557" t="s">
        <v>630</v>
      </c>
      <c r="C113" s="545">
        <v>7621694.0499999998</v>
      </c>
      <c r="D113" s="545">
        <v>-8800</v>
      </c>
      <c r="E113" s="545">
        <f>+C113+D113</f>
        <v>7612894.0499999998</v>
      </c>
      <c r="F113" s="545">
        <v>2568706.75</v>
      </c>
      <c r="G113" s="545">
        <v>1987854.05</v>
      </c>
      <c r="H113" s="544">
        <f>+E113-F113</f>
        <v>5044187.3</v>
      </c>
      <c r="I113" s="543">
        <f>+F113/E113</f>
        <v>0.33741527638887869</v>
      </c>
    </row>
    <row r="114" spans="1:9" x14ac:dyDescent="0.25">
      <c r="A114" s="558">
        <v>26102</v>
      </c>
      <c r="B114" s="557" t="s">
        <v>629</v>
      </c>
      <c r="C114" s="545">
        <v>425511.25</v>
      </c>
      <c r="D114" s="545">
        <v>0</v>
      </c>
      <c r="E114" s="545">
        <f>+C114+D114</f>
        <v>425511.25</v>
      </c>
      <c r="F114" s="545">
        <v>88971.839999999997</v>
      </c>
      <c r="G114" s="545">
        <v>59706.619999999995</v>
      </c>
      <c r="H114" s="544">
        <f>+E114-F114</f>
        <v>336539.41000000003</v>
      </c>
      <c r="I114" s="543">
        <f>+F114/E114</f>
        <v>0.20909397812631275</v>
      </c>
    </row>
    <row r="115" spans="1:9" ht="22.5" x14ac:dyDescent="0.25">
      <c r="A115" s="562">
        <v>2700</v>
      </c>
      <c r="B115" s="565" t="s">
        <v>628</v>
      </c>
      <c r="C115" s="544">
        <f>C116+C118</f>
        <v>2071526.8</v>
      </c>
      <c r="D115" s="544">
        <f>D116+D118</f>
        <v>0</v>
      </c>
      <c r="E115" s="544">
        <f>+C115+D115</f>
        <v>2071526.8</v>
      </c>
      <c r="F115" s="544">
        <v>25063.33</v>
      </c>
      <c r="G115" s="544">
        <v>20155.32</v>
      </c>
      <c r="H115" s="544">
        <f>+E115-F115</f>
        <v>2046463.47</v>
      </c>
      <c r="I115" s="543">
        <f>+F115/E115</f>
        <v>1.2098964879430959E-2</v>
      </c>
    </row>
    <row r="116" spans="1:9" x14ac:dyDescent="0.25">
      <c r="A116" s="561">
        <v>271</v>
      </c>
      <c r="B116" s="565" t="s">
        <v>627</v>
      </c>
      <c r="C116" s="544">
        <f>C117</f>
        <v>1878855</v>
      </c>
      <c r="D116" s="544">
        <f>D117</f>
        <v>0</v>
      </c>
      <c r="E116" s="544">
        <f>+C116+D116</f>
        <v>1878855</v>
      </c>
      <c r="F116" s="544">
        <v>1580</v>
      </c>
      <c r="G116" s="544">
        <v>1580</v>
      </c>
      <c r="H116" s="544">
        <f>+E116-F116</f>
        <v>1877275</v>
      </c>
      <c r="I116" s="543">
        <f>+F116/E116</f>
        <v>8.4093769875802013E-4</v>
      </c>
    </row>
    <row r="117" spans="1:9" x14ac:dyDescent="0.25">
      <c r="A117" s="558">
        <v>27101</v>
      </c>
      <c r="B117" s="557" t="s">
        <v>627</v>
      </c>
      <c r="C117" s="545">
        <v>1878855</v>
      </c>
      <c r="D117" s="545">
        <v>0</v>
      </c>
      <c r="E117" s="545">
        <f>+C117+D117</f>
        <v>1878855</v>
      </c>
      <c r="F117" s="545">
        <v>1580</v>
      </c>
      <c r="G117" s="545">
        <v>1580</v>
      </c>
      <c r="H117" s="544">
        <f>+E117-F117</f>
        <v>1877275</v>
      </c>
      <c r="I117" s="543">
        <f>+F117/E117</f>
        <v>8.4093769875802013E-4</v>
      </c>
    </row>
    <row r="118" spans="1:9" x14ac:dyDescent="0.25">
      <c r="A118" s="561">
        <v>272</v>
      </c>
      <c r="B118" s="565" t="s">
        <v>626</v>
      </c>
      <c r="C118" s="544">
        <f>C119</f>
        <v>192671.8</v>
      </c>
      <c r="D118" s="544">
        <f>D119</f>
        <v>0</v>
      </c>
      <c r="E118" s="544">
        <f>+C118+D118</f>
        <v>192671.8</v>
      </c>
      <c r="F118" s="544">
        <v>23483.33</v>
      </c>
      <c r="G118" s="544">
        <v>18575.32</v>
      </c>
      <c r="H118" s="544">
        <f>+E118-F118</f>
        <v>169188.46999999997</v>
      </c>
      <c r="I118" s="543">
        <f>+F118/E118</f>
        <v>0.12188254845805148</v>
      </c>
    </row>
    <row r="119" spans="1:9" x14ac:dyDescent="0.25">
      <c r="A119" s="558">
        <v>27201</v>
      </c>
      <c r="B119" s="557" t="s">
        <v>626</v>
      </c>
      <c r="C119" s="545">
        <v>192671.8</v>
      </c>
      <c r="D119" s="545">
        <v>0</v>
      </c>
      <c r="E119" s="545">
        <f>+C119+D119</f>
        <v>192671.8</v>
      </c>
      <c r="F119" s="545">
        <v>23483.33</v>
      </c>
      <c r="G119" s="545">
        <v>18575.32</v>
      </c>
      <c r="H119" s="544">
        <f>+E119-F119</f>
        <v>169188.46999999997</v>
      </c>
      <c r="I119" s="543">
        <f>+F119/E119</f>
        <v>0.12188254845805148</v>
      </c>
    </row>
    <row r="120" spans="1:9" x14ac:dyDescent="0.25">
      <c r="A120" s="562">
        <v>2900</v>
      </c>
      <c r="B120" s="565" t="s">
        <v>625</v>
      </c>
      <c r="C120" s="544">
        <f>C121+C123+C125+C127+C129+C131</f>
        <v>2396412.44</v>
      </c>
      <c r="D120" s="544">
        <f>D121+D123+D125+D127+D129+D131</f>
        <v>-78295</v>
      </c>
      <c r="E120" s="544">
        <f>+C120+D120</f>
        <v>2318117.44</v>
      </c>
      <c r="F120" s="544">
        <v>679416.16999999993</v>
      </c>
      <c r="G120" s="544">
        <v>589909.1</v>
      </c>
      <c r="H120" s="544">
        <f>+E120-F120</f>
        <v>1638701.27</v>
      </c>
      <c r="I120" s="543">
        <f>+F120/E120</f>
        <v>0.29308962448425391</v>
      </c>
    </row>
    <row r="121" spans="1:9" x14ac:dyDescent="0.25">
      <c r="A121" s="561">
        <v>291</v>
      </c>
      <c r="B121" s="565" t="s">
        <v>624</v>
      </c>
      <c r="C121" s="544">
        <f>C122</f>
        <v>257444</v>
      </c>
      <c r="D121" s="544">
        <f>D122</f>
        <v>0</v>
      </c>
      <c r="E121" s="544">
        <f>+C121+D121</f>
        <v>257444</v>
      </c>
      <c r="F121" s="544">
        <v>26079.010000000002</v>
      </c>
      <c r="G121" s="544">
        <v>25732.65</v>
      </c>
      <c r="H121" s="544">
        <f>+E121-F121</f>
        <v>231364.99</v>
      </c>
      <c r="I121" s="543">
        <f>+F121/E121</f>
        <v>0.10129973897235904</v>
      </c>
    </row>
    <row r="122" spans="1:9" x14ac:dyDescent="0.25">
      <c r="A122" s="558">
        <v>29101</v>
      </c>
      <c r="B122" s="557" t="s">
        <v>624</v>
      </c>
      <c r="C122" s="545">
        <v>257444</v>
      </c>
      <c r="D122" s="545">
        <v>0</v>
      </c>
      <c r="E122" s="545">
        <f>+C122+D122</f>
        <v>257444</v>
      </c>
      <c r="F122" s="545">
        <v>26079.010000000002</v>
      </c>
      <c r="G122" s="545">
        <v>25732.65</v>
      </c>
      <c r="H122" s="544">
        <f>+E122-F122</f>
        <v>231364.99</v>
      </c>
      <c r="I122" s="543">
        <f>+F122/E122</f>
        <v>0.10129973897235904</v>
      </c>
    </row>
    <row r="123" spans="1:9" x14ac:dyDescent="0.25">
      <c r="A123" s="561">
        <v>292</v>
      </c>
      <c r="B123" s="565" t="s">
        <v>623</v>
      </c>
      <c r="C123" s="544">
        <f>C124</f>
        <v>60265</v>
      </c>
      <c r="D123" s="544">
        <f>D124</f>
        <v>0</v>
      </c>
      <c r="E123" s="544">
        <f>+C123+D123</f>
        <v>60265</v>
      </c>
      <c r="F123" s="544">
        <v>8180.53</v>
      </c>
      <c r="G123" s="544">
        <v>8180.53</v>
      </c>
      <c r="H123" s="544">
        <f>+E123-F123</f>
        <v>52084.47</v>
      </c>
      <c r="I123" s="543">
        <f>+F123/E123</f>
        <v>0.13574263668796149</v>
      </c>
    </row>
    <row r="124" spans="1:9" x14ac:dyDescent="0.25">
      <c r="A124" s="558">
        <v>29201</v>
      </c>
      <c r="B124" s="557" t="s">
        <v>623</v>
      </c>
      <c r="C124" s="545">
        <v>60265</v>
      </c>
      <c r="D124" s="545">
        <v>0</v>
      </c>
      <c r="E124" s="545">
        <f>+C124+D124</f>
        <v>60265</v>
      </c>
      <c r="F124" s="545">
        <v>8180.53</v>
      </c>
      <c r="G124" s="545">
        <v>8180.53</v>
      </c>
      <c r="H124" s="544">
        <f>+E124-F124</f>
        <v>52084.47</v>
      </c>
      <c r="I124" s="543">
        <f>+F124/E124</f>
        <v>0.13574263668796149</v>
      </c>
    </row>
    <row r="125" spans="1:9" ht="33.75" x14ac:dyDescent="0.25">
      <c r="A125" s="561">
        <v>293</v>
      </c>
      <c r="B125" s="565" t="s">
        <v>622</v>
      </c>
      <c r="C125" s="544">
        <f>C126</f>
        <v>1062</v>
      </c>
      <c r="D125" s="544">
        <f>D126</f>
        <v>8305</v>
      </c>
      <c r="E125" s="544">
        <f>+C125+D125</f>
        <v>9367</v>
      </c>
      <c r="F125" s="544">
        <v>9304.7999999999993</v>
      </c>
      <c r="G125" s="544">
        <v>2600</v>
      </c>
      <c r="H125" s="544">
        <f>+E125-F125</f>
        <v>62.200000000000728</v>
      </c>
      <c r="I125" s="543">
        <f>+F125/E125</f>
        <v>0.99335966691576805</v>
      </c>
    </row>
    <row r="126" spans="1:9" ht="22.5" x14ac:dyDescent="0.25">
      <c r="A126" s="558">
        <v>29301</v>
      </c>
      <c r="B126" s="557" t="s">
        <v>621</v>
      </c>
      <c r="C126" s="545">
        <v>1062</v>
      </c>
      <c r="D126" s="545">
        <f>6705+1600</f>
        <v>8305</v>
      </c>
      <c r="E126" s="545">
        <f>+C126+D126</f>
        <v>9367</v>
      </c>
      <c r="F126" s="545">
        <v>9304.7999999999993</v>
      </c>
      <c r="G126" s="545">
        <v>2600</v>
      </c>
      <c r="H126" s="544">
        <f>+E126-F126</f>
        <v>62.200000000000728</v>
      </c>
      <c r="I126" s="543">
        <f>+F126/E126</f>
        <v>0.99335966691576805</v>
      </c>
    </row>
    <row r="127" spans="1:9" ht="22.5" x14ac:dyDescent="0.25">
      <c r="A127" s="561">
        <v>294</v>
      </c>
      <c r="B127" s="565" t="s">
        <v>620</v>
      </c>
      <c r="C127" s="544">
        <f>C128</f>
        <v>72576.709999999992</v>
      </c>
      <c r="D127" s="544">
        <f>D128</f>
        <v>0</v>
      </c>
      <c r="E127" s="544">
        <f>+C127+D127</f>
        <v>72576.709999999992</v>
      </c>
      <c r="F127" s="544">
        <v>4650.7199999999993</v>
      </c>
      <c r="G127" s="544">
        <v>5211.0599999999995</v>
      </c>
      <c r="H127" s="544">
        <f>+E127-F127</f>
        <v>67925.989999999991</v>
      </c>
      <c r="I127" s="543">
        <f>+F127/E127</f>
        <v>6.4080060945170977E-2</v>
      </c>
    </row>
    <row r="128" spans="1:9" ht="22.5" x14ac:dyDescent="0.25">
      <c r="A128" s="558">
        <v>29401</v>
      </c>
      <c r="B128" s="557" t="s">
        <v>620</v>
      </c>
      <c r="C128" s="545">
        <v>72576.709999999992</v>
      </c>
      <c r="D128" s="545">
        <v>0</v>
      </c>
      <c r="E128" s="545">
        <f>+C128+D128</f>
        <v>72576.709999999992</v>
      </c>
      <c r="F128" s="545">
        <v>4650.7199999999993</v>
      </c>
      <c r="G128" s="545">
        <v>5211.0599999999995</v>
      </c>
      <c r="H128" s="544">
        <f>+E128-F128</f>
        <v>67925.989999999991</v>
      </c>
      <c r="I128" s="543">
        <f>+F128/E128</f>
        <v>6.4080060945170977E-2</v>
      </c>
    </row>
    <row r="129" spans="1:9" ht="22.5" x14ac:dyDescent="0.25">
      <c r="A129" s="561">
        <v>296</v>
      </c>
      <c r="B129" s="565" t="s">
        <v>619</v>
      </c>
      <c r="C129" s="544">
        <f>C130</f>
        <v>1226482</v>
      </c>
      <c r="D129" s="544">
        <f>D130</f>
        <v>-1600</v>
      </c>
      <c r="E129" s="544">
        <f>+C129+D129</f>
        <v>1224882</v>
      </c>
      <c r="F129" s="544">
        <v>264768.98000000004</v>
      </c>
      <c r="G129" s="544">
        <v>203198.55</v>
      </c>
      <c r="H129" s="544">
        <f>+E129-F129</f>
        <v>960113.02</v>
      </c>
      <c r="I129" s="543">
        <f>+F129/E129</f>
        <v>0.21615876468100603</v>
      </c>
    </row>
    <row r="130" spans="1:9" ht="22.5" x14ac:dyDescent="0.25">
      <c r="A130" s="558">
        <v>29601</v>
      </c>
      <c r="B130" s="557" t="s">
        <v>619</v>
      </c>
      <c r="C130" s="545">
        <v>1226482</v>
      </c>
      <c r="D130" s="545">
        <v>-1600</v>
      </c>
      <c r="E130" s="545">
        <f>+C130+D130</f>
        <v>1224882</v>
      </c>
      <c r="F130" s="545">
        <v>264768.98000000004</v>
      </c>
      <c r="G130" s="545">
        <v>203198.55</v>
      </c>
      <c r="H130" s="544">
        <f>+E130-F130</f>
        <v>960113.02</v>
      </c>
      <c r="I130" s="543">
        <f>+F130/E130</f>
        <v>0.21615876468100603</v>
      </c>
    </row>
    <row r="131" spans="1:9" ht="22.5" x14ac:dyDescent="0.25">
      <c r="A131" s="561">
        <v>298</v>
      </c>
      <c r="B131" s="565" t="s">
        <v>618</v>
      </c>
      <c r="C131" s="544">
        <f>C132</f>
        <v>778582.7300000001</v>
      </c>
      <c r="D131" s="544">
        <f>D132</f>
        <v>-85000</v>
      </c>
      <c r="E131" s="544">
        <f>+C131+D131</f>
        <v>693582.7300000001</v>
      </c>
      <c r="F131" s="544">
        <v>366432.13</v>
      </c>
      <c r="G131" s="544">
        <v>344986.31</v>
      </c>
      <c r="H131" s="544">
        <f>+E131-F131</f>
        <v>327150.60000000009</v>
      </c>
      <c r="I131" s="543">
        <f>+F131/E131</f>
        <v>0.52831784032454199</v>
      </c>
    </row>
    <row r="132" spans="1:9" ht="22.5" x14ac:dyDescent="0.25">
      <c r="A132" s="558">
        <v>29801</v>
      </c>
      <c r="B132" s="557" t="s">
        <v>618</v>
      </c>
      <c r="C132" s="545">
        <v>778582.7300000001</v>
      </c>
      <c r="D132" s="545">
        <v>-85000</v>
      </c>
      <c r="E132" s="545">
        <f>+C132+D132</f>
        <v>693582.7300000001</v>
      </c>
      <c r="F132" s="545">
        <v>366432.13</v>
      </c>
      <c r="G132" s="545">
        <v>344986.31</v>
      </c>
      <c r="H132" s="544">
        <f>+E132-F132</f>
        <v>327150.60000000009</v>
      </c>
      <c r="I132" s="543">
        <f>+F132/E132</f>
        <v>0.52831784032454199</v>
      </c>
    </row>
    <row r="133" spans="1:9" x14ac:dyDescent="0.25">
      <c r="A133" s="558"/>
      <c r="B133" s="557"/>
      <c r="C133" s="545">
        <v>0</v>
      </c>
      <c r="D133" s="545">
        <v>0</v>
      </c>
      <c r="E133" s="544">
        <f>+C133+D133</f>
        <v>0</v>
      </c>
      <c r="F133" s="545">
        <v>0</v>
      </c>
      <c r="G133" s="545">
        <v>0</v>
      </c>
      <c r="H133" s="544">
        <f>+E133-F133</f>
        <v>0</v>
      </c>
      <c r="I133" s="543"/>
    </row>
    <row r="134" spans="1:9" x14ac:dyDescent="0.25">
      <c r="A134" s="554">
        <v>3000</v>
      </c>
      <c r="B134" s="565" t="s">
        <v>617</v>
      </c>
      <c r="C134" s="544">
        <f>C135+C152+C166+C185+C194+C211+C220+C235+C244</f>
        <v>144642119.81999999</v>
      </c>
      <c r="D134" s="544">
        <f>D135+D152+D166+D185+D194+D211+D220+D235+D244</f>
        <v>33347138.609999999</v>
      </c>
      <c r="E134" s="544">
        <f>+C134+D134</f>
        <v>177989258.43000001</v>
      </c>
      <c r="F134" s="544">
        <v>45185609.170000002</v>
      </c>
      <c r="G134" s="544">
        <v>34940961.590000004</v>
      </c>
      <c r="H134" s="544">
        <f>+E134-F134</f>
        <v>132803649.26000001</v>
      </c>
      <c r="I134" s="543">
        <f>+F134/E134</f>
        <v>0.25386705674584681</v>
      </c>
    </row>
    <row r="135" spans="1:9" x14ac:dyDescent="0.25">
      <c r="A135" s="562">
        <v>3100</v>
      </c>
      <c r="B135" s="565" t="s">
        <v>616</v>
      </c>
      <c r="C135" s="544">
        <f>C136+C138+C140+C142+C144+C148+C150</f>
        <v>84741042.400000006</v>
      </c>
      <c r="D135" s="544">
        <f>D136+D138+D140+D142+D144+D148+D150</f>
        <v>3244046</v>
      </c>
      <c r="E135" s="544">
        <f>+C135+D135</f>
        <v>87985088.400000006</v>
      </c>
      <c r="F135" s="544">
        <v>25732230.439999998</v>
      </c>
      <c r="G135" s="544">
        <v>22604736.370000001</v>
      </c>
      <c r="H135" s="544">
        <f>+E135-F135</f>
        <v>62252857.960000008</v>
      </c>
      <c r="I135" s="543">
        <f>+F135/E135</f>
        <v>0.2924612671071658</v>
      </c>
    </row>
    <row r="136" spans="1:9" x14ac:dyDescent="0.25">
      <c r="A136" s="561">
        <v>311</v>
      </c>
      <c r="B136" s="565" t="s">
        <v>615</v>
      </c>
      <c r="C136" s="544">
        <f>C137</f>
        <v>83995501.400000006</v>
      </c>
      <c r="D136" s="544">
        <f>D137</f>
        <v>3244046</v>
      </c>
      <c r="E136" s="544">
        <f>+C136+D136</f>
        <v>87239547.400000006</v>
      </c>
      <c r="F136" s="544">
        <v>25557364</v>
      </c>
      <c r="G136" s="544">
        <v>22481991</v>
      </c>
      <c r="H136" s="544">
        <f>+E136-F136</f>
        <v>61682183.400000006</v>
      </c>
      <c r="I136" s="543">
        <f>+F136/E136</f>
        <v>0.29295617368138704</v>
      </c>
    </row>
    <row r="137" spans="1:9" x14ac:dyDescent="0.25">
      <c r="A137" s="558">
        <v>31101</v>
      </c>
      <c r="B137" s="557" t="s">
        <v>615</v>
      </c>
      <c r="C137" s="545">
        <v>83995501.400000006</v>
      </c>
      <c r="D137" s="545">
        <v>3244046</v>
      </c>
      <c r="E137" s="544">
        <f>+C137+D137</f>
        <v>87239547.400000006</v>
      </c>
      <c r="F137" s="545">
        <v>25557364</v>
      </c>
      <c r="G137" s="545">
        <v>22481991</v>
      </c>
      <c r="H137" s="544">
        <f>+E137-F137</f>
        <v>61682183.400000006</v>
      </c>
      <c r="I137" s="543">
        <f>+F137/E137</f>
        <v>0.29295617368138704</v>
      </c>
    </row>
    <row r="138" spans="1:9" x14ac:dyDescent="0.25">
      <c r="A138" s="561">
        <v>312</v>
      </c>
      <c r="B138" s="565" t="s">
        <v>614</v>
      </c>
      <c r="C138" s="544">
        <f>C139</f>
        <v>4500</v>
      </c>
      <c r="D138" s="544">
        <f>D139</f>
        <v>0</v>
      </c>
      <c r="E138" s="544">
        <f>+C138+D138</f>
        <v>4500</v>
      </c>
      <c r="F138" s="544">
        <v>900.37</v>
      </c>
      <c r="G138" s="544">
        <v>400</v>
      </c>
      <c r="H138" s="544">
        <f>+E138-F138</f>
        <v>3599.63</v>
      </c>
      <c r="I138" s="543">
        <f>+F138/E138</f>
        <v>0.20008222222222222</v>
      </c>
    </row>
    <row r="139" spans="1:9" x14ac:dyDescent="0.25">
      <c r="A139" s="558">
        <v>31201</v>
      </c>
      <c r="B139" s="557" t="s">
        <v>614</v>
      </c>
      <c r="C139" s="545">
        <v>4500</v>
      </c>
      <c r="D139" s="545">
        <v>0</v>
      </c>
      <c r="E139" s="544">
        <f>+C139+D139</f>
        <v>4500</v>
      </c>
      <c r="F139" s="545">
        <v>900.37</v>
      </c>
      <c r="G139" s="545">
        <v>400</v>
      </c>
      <c r="H139" s="544">
        <f>+E139-F139</f>
        <v>3599.63</v>
      </c>
      <c r="I139" s="543">
        <f>+F139/E139</f>
        <v>0.20008222222222222</v>
      </c>
    </row>
    <row r="140" spans="1:9" x14ac:dyDescent="0.25">
      <c r="A140" s="561">
        <v>313</v>
      </c>
      <c r="B140" s="565" t="s">
        <v>613</v>
      </c>
      <c r="C140" s="544">
        <f>C141</f>
        <v>49495.4</v>
      </c>
      <c r="D140" s="544">
        <f>D141</f>
        <v>0</v>
      </c>
      <c r="E140" s="544">
        <f>+C140+D140</f>
        <v>49495.4</v>
      </c>
      <c r="F140" s="544">
        <v>10827.45</v>
      </c>
      <c r="G140" s="544">
        <v>10827.45</v>
      </c>
      <c r="H140" s="544">
        <f>+E140-F140</f>
        <v>38667.949999999997</v>
      </c>
      <c r="I140" s="543">
        <f>+F140/E140</f>
        <v>0.21875669254112504</v>
      </c>
    </row>
    <row r="141" spans="1:9" x14ac:dyDescent="0.25">
      <c r="A141" s="558">
        <v>31301</v>
      </c>
      <c r="B141" s="557" t="s">
        <v>612</v>
      </c>
      <c r="C141" s="545">
        <v>49495.4</v>
      </c>
      <c r="D141" s="545">
        <v>0</v>
      </c>
      <c r="E141" s="544">
        <f>+C141+D141</f>
        <v>49495.4</v>
      </c>
      <c r="F141" s="545">
        <v>10827.45</v>
      </c>
      <c r="G141" s="545">
        <v>10827.45</v>
      </c>
      <c r="H141" s="544">
        <f>+E141-F141</f>
        <v>38667.949999999997</v>
      </c>
      <c r="I141" s="543">
        <f>+F141/E141</f>
        <v>0.21875669254112504</v>
      </c>
    </row>
    <row r="142" spans="1:9" x14ac:dyDescent="0.25">
      <c r="A142" s="561">
        <v>314</v>
      </c>
      <c r="B142" s="565" t="s">
        <v>611</v>
      </c>
      <c r="C142" s="544">
        <f>C143</f>
        <v>425058.99</v>
      </c>
      <c r="D142" s="544">
        <f>D143</f>
        <v>-1520</v>
      </c>
      <c r="E142" s="544">
        <f>+C142+D142</f>
        <v>423538.99</v>
      </c>
      <c r="F142" s="544">
        <v>105554.33</v>
      </c>
      <c r="G142" s="544">
        <v>67793.31</v>
      </c>
      <c r="H142" s="544">
        <f>+E142-F142</f>
        <v>317984.65999999997</v>
      </c>
      <c r="I142" s="543">
        <f>+F142/E142</f>
        <v>0.24921986521240938</v>
      </c>
    </row>
    <row r="143" spans="1:9" x14ac:dyDescent="0.25">
      <c r="A143" s="558">
        <v>31401</v>
      </c>
      <c r="B143" s="557" t="s">
        <v>611</v>
      </c>
      <c r="C143" s="545">
        <v>425058.99</v>
      </c>
      <c r="D143" s="545">
        <v>-1520</v>
      </c>
      <c r="E143" s="544">
        <f>+C143+D143</f>
        <v>423538.99</v>
      </c>
      <c r="F143" s="545">
        <v>105554.33</v>
      </c>
      <c r="G143" s="545">
        <v>67793.31</v>
      </c>
      <c r="H143" s="544">
        <f>+E143-F143</f>
        <v>317984.65999999997</v>
      </c>
      <c r="I143" s="543">
        <f>+F143/E143</f>
        <v>0.24921986521240938</v>
      </c>
    </row>
    <row r="144" spans="1:9" x14ac:dyDescent="0.25">
      <c r="A144" s="561">
        <v>315</v>
      </c>
      <c r="B144" s="565" t="s">
        <v>610</v>
      </c>
      <c r="C144" s="544">
        <f>C145</f>
        <v>2555.6999999999998</v>
      </c>
      <c r="D144" s="544">
        <f>D145</f>
        <v>1520</v>
      </c>
      <c r="E144" s="544">
        <f>+C144+D144</f>
        <v>4075.7</v>
      </c>
      <c r="F144" s="544">
        <v>3310.75</v>
      </c>
      <c r="G144" s="544">
        <v>3310.75</v>
      </c>
      <c r="H144" s="544">
        <f>+E144-F144</f>
        <v>764.94999999999982</v>
      </c>
      <c r="I144" s="543">
        <f>+F144/E144</f>
        <v>0.8123144490516967</v>
      </c>
    </row>
    <row r="145" spans="1:9" x14ac:dyDescent="0.25">
      <c r="A145" s="558">
        <v>31501</v>
      </c>
      <c r="B145" s="557" t="s">
        <v>610</v>
      </c>
      <c r="C145" s="545">
        <v>2555.6999999999998</v>
      </c>
      <c r="D145" s="545">
        <v>1520</v>
      </c>
      <c r="E145" s="544">
        <f>+C145+D145</f>
        <v>4075.7</v>
      </c>
      <c r="F145" s="545">
        <v>3310.75</v>
      </c>
      <c r="G145" s="545">
        <v>3310.75</v>
      </c>
      <c r="H145" s="544">
        <f>+E145-F145</f>
        <v>764.94999999999982</v>
      </c>
      <c r="I145" s="543">
        <f>+F145/E145</f>
        <v>0.8123144490516967</v>
      </c>
    </row>
    <row r="146" spans="1:9" hidden="1" x14ac:dyDescent="0.25">
      <c r="A146" s="561">
        <v>316</v>
      </c>
      <c r="B146" s="565" t="s">
        <v>609</v>
      </c>
      <c r="C146" s="544">
        <v>0</v>
      </c>
      <c r="D146" s="544">
        <v>0</v>
      </c>
      <c r="E146" s="544">
        <f>+C146+D146</f>
        <v>0</v>
      </c>
      <c r="F146" s="544">
        <v>0</v>
      </c>
      <c r="G146" s="544">
        <v>0</v>
      </c>
      <c r="H146" s="544">
        <f>+E146-F146</f>
        <v>0</v>
      </c>
      <c r="I146" s="543"/>
    </row>
    <row r="147" spans="1:9" hidden="1" x14ac:dyDescent="0.25">
      <c r="A147" s="558">
        <v>31601</v>
      </c>
      <c r="B147" s="557" t="s">
        <v>609</v>
      </c>
      <c r="C147" s="545">
        <v>0</v>
      </c>
      <c r="D147" s="545">
        <v>0</v>
      </c>
      <c r="E147" s="544">
        <f>+C147+D147</f>
        <v>0</v>
      </c>
      <c r="F147" s="545">
        <v>0</v>
      </c>
      <c r="G147" s="545">
        <v>0</v>
      </c>
      <c r="H147" s="544">
        <f>+E147-F147</f>
        <v>0</v>
      </c>
      <c r="I147" s="543"/>
    </row>
    <row r="148" spans="1:9" ht="22.5" x14ac:dyDescent="0.25">
      <c r="A148" s="561">
        <v>317</v>
      </c>
      <c r="B148" s="565" t="s">
        <v>608</v>
      </c>
      <c r="C148" s="544">
        <f>C149</f>
        <v>237386.2</v>
      </c>
      <c r="D148" s="544">
        <f>D149</f>
        <v>0</v>
      </c>
      <c r="E148" s="544">
        <f>+C148+D148</f>
        <v>237386.2</v>
      </c>
      <c r="F148" s="544">
        <v>51637.740000000005</v>
      </c>
      <c r="G148" s="544">
        <v>37778.06</v>
      </c>
      <c r="H148" s="544">
        <f>+E148-F148</f>
        <v>185748.46000000002</v>
      </c>
      <c r="I148" s="543">
        <f>+F148/E148</f>
        <v>0.21752629259830605</v>
      </c>
    </row>
    <row r="149" spans="1:9" ht="22.5" x14ac:dyDescent="0.25">
      <c r="A149" s="558">
        <v>31701</v>
      </c>
      <c r="B149" s="557" t="s">
        <v>608</v>
      </c>
      <c r="C149" s="545">
        <v>237386.2</v>
      </c>
      <c r="D149" s="545">
        <v>0</v>
      </c>
      <c r="E149" s="544">
        <f>+C149+D149</f>
        <v>237386.2</v>
      </c>
      <c r="F149" s="545">
        <v>51637.740000000005</v>
      </c>
      <c r="G149" s="545">
        <v>37778.06</v>
      </c>
      <c r="H149" s="544">
        <f>+E149-F149</f>
        <v>185748.46000000002</v>
      </c>
      <c r="I149" s="543">
        <f>+F149/E149</f>
        <v>0.21752629259830605</v>
      </c>
    </row>
    <row r="150" spans="1:9" x14ac:dyDescent="0.25">
      <c r="A150" s="561">
        <v>318</v>
      </c>
      <c r="B150" s="565" t="s">
        <v>607</v>
      </c>
      <c r="C150" s="544">
        <f>C151</f>
        <v>26544.710000000003</v>
      </c>
      <c r="D150" s="544">
        <f>D151</f>
        <v>0</v>
      </c>
      <c r="E150" s="544">
        <f>+C150+D150</f>
        <v>26544.710000000003</v>
      </c>
      <c r="F150" s="544">
        <v>2635.8</v>
      </c>
      <c r="G150" s="544">
        <v>2635.8</v>
      </c>
      <c r="H150" s="544">
        <f>+E150-F150</f>
        <v>23908.910000000003</v>
      </c>
      <c r="I150" s="543">
        <f>+F150/E150</f>
        <v>9.9296620682614342E-2</v>
      </c>
    </row>
    <row r="151" spans="1:9" x14ac:dyDescent="0.25">
      <c r="A151" s="558">
        <v>31801</v>
      </c>
      <c r="B151" s="557" t="s">
        <v>606</v>
      </c>
      <c r="C151" s="545">
        <v>26544.710000000003</v>
      </c>
      <c r="D151" s="545">
        <v>0</v>
      </c>
      <c r="E151" s="544">
        <f>+C151+D151</f>
        <v>26544.710000000003</v>
      </c>
      <c r="F151" s="545">
        <v>2635.8</v>
      </c>
      <c r="G151" s="545">
        <v>2635.8</v>
      </c>
      <c r="H151" s="544">
        <f>+E151-F151</f>
        <v>23908.910000000003</v>
      </c>
      <c r="I151" s="543">
        <f>+F151/E151</f>
        <v>9.9296620682614342E-2</v>
      </c>
    </row>
    <row r="152" spans="1:9" x14ac:dyDescent="0.25">
      <c r="A152" s="562">
        <v>3200</v>
      </c>
      <c r="B152" s="565" t="s">
        <v>605</v>
      </c>
      <c r="C152" s="544">
        <f>C153+C155+C157+C160+C162+C164</f>
        <v>5447594.5</v>
      </c>
      <c r="D152" s="544">
        <f>D153+D155+D157+D160+D162+D164</f>
        <v>2700</v>
      </c>
      <c r="E152" s="544">
        <f>+C152+D152</f>
        <v>5450294.5</v>
      </c>
      <c r="F152" s="544">
        <v>1278452.0200000003</v>
      </c>
      <c r="G152" s="544">
        <v>952432.38</v>
      </c>
      <c r="H152" s="544">
        <f>+E152-F152</f>
        <v>4171842.4799999995</v>
      </c>
      <c r="I152" s="543">
        <f>+F152/E152</f>
        <v>0.23456567713909776</v>
      </c>
    </row>
    <row r="153" spans="1:9" x14ac:dyDescent="0.25">
      <c r="A153" s="561">
        <v>321</v>
      </c>
      <c r="B153" s="565" t="s">
        <v>604</v>
      </c>
      <c r="C153" s="544">
        <f>C154</f>
        <v>657700.85</v>
      </c>
      <c r="D153" s="544">
        <f>D154</f>
        <v>0</v>
      </c>
      <c r="E153" s="544">
        <f>+C153+D153</f>
        <v>657700.85</v>
      </c>
      <c r="F153" s="544">
        <v>148324.38</v>
      </c>
      <c r="G153" s="544">
        <v>74149.459999999992</v>
      </c>
      <c r="H153" s="544">
        <f>+E153-F153</f>
        <v>509376.47</v>
      </c>
      <c r="I153" s="543">
        <f>+F153/E153</f>
        <v>0.22551952000670214</v>
      </c>
    </row>
    <row r="154" spans="1:9" x14ac:dyDescent="0.25">
      <c r="A154" s="558">
        <v>32101</v>
      </c>
      <c r="B154" s="557" t="s">
        <v>604</v>
      </c>
      <c r="C154" s="545">
        <v>657700.85</v>
      </c>
      <c r="D154" s="545">
        <v>0</v>
      </c>
      <c r="E154" s="544">
        <f>+C154+D154</f>
        <v>657700.85</v>
      </c>
      <c r="F154" s="545">
        <v>148324.38</v>
      </c>
      <c r="G154" s="545">
        <v>74149.459999999992</v>
      </c>
      <c r="H154" s="544">
        <f>+E154-F154</f>
        <v>509376.47</v>
      </c>
      <c r="I154" s="543">
        <f>+F154/E154</f>
        <v>0.22551952000670214</v>
      </c>
    </row>
    <row r="155" spans="1:9" x14ac:dyDescent="0.25">
      <c r="A155" s="561">
        <v>322</v>
      </c>
      <c r="B155" s="565" t="s">
        <v>603</v>
      </c>
      <c r="C155" s="544">
        <f>C156</f>
        <v>2798955.95</v>
      </c>
      <c r="D155" s="544">
        <f>D156</f>
        <v>-18100</v>
      </c>
      <c r="E155" s="544">
        <f>+C155+D155</f>
        <v>2780855.95</v>
      </c>
      <c r="F155" s="544">
        <v>507919.99</v>
      </c>
      <c r="G155" s="544">
        <v>292998.70999999996</v>
      </c>
      <c r="H155" s="544">
        <f>+E155-F155</f>
        <v>2272935.96</v>
      </c>
      <c r="I155" s="543">
        <f>+F155/E155</f>
        <v>0.18264879559834804</v>
      </c>
    </row>
    <row r="156" spans="1:9" x14ac:dyDescent="0.25">
      <c r="A156" s="558">
        <v>32201</v>
      </c>
      <c r="B156" s="557" t="s">
        <v>603</v>
      </c>
      <c r="C156" s="545">
        <v>2798955.95</v>
      </c>
      <c r="D156" s="545">
        <v>-18100</v>
      </c>
      <c r="E156" s="544">
        <f>+C156+D156</f>
        <v>2780855.95</v>
      </c>
      <c r="F156" s="545">
        <v>507919.99</v>
      </c>
      <c r="G156" s="545">
        <v>292998.70999999996</v>
      </c>
      <c r="H156" s="544">
        <f>+E156-F156</f>
        <v>2272935.96</v>
      </c>
      <c r="I156" s="543">
        <f>+F156/E156</f>
        <v>0.18264879559834804</v>
      </c>
    </row>
    <row r="157" spans="1:9" ht="22.5" x14ac:dyDescent="0.25">
      <c r="A157" s="561">
        <v>323</v>
      </c>
      <c r="B157" s="565" t="s">
        <v>602</v>
      </c>
      <c r="C157" s="544">
        <f>C158+C159</f>
        <v>553654.96</v>
      </c>
      <c r="D157" s="544">
        <f>D158+D159</f>
        <v>122100</v>
      </c>
      <c r="E157" s="544">
        <f>+C157+D157</f>
        <v>675754.96</v>
      </c>
      <c r="F157" s="544">
        <v>354683.92</v>
      </c>
      <c r="G157" s="544">
        <v>307107.68</v>
      </c>
      <c r="H157" s="544">
        <f>+E157-F157</f>
        <v>321071.03999999998</v>
      </c>
      <c r="I157" s="543">
        <f>+F157/E157</f>
        <v>0.52487061286239023</v>
      </c>
    </row>
    <row r="158" spans="1:9" x14ac:dyDescent="0.25">
      <c r="A158" s="558">
        <v>32301</v>
      </c>
      <c r="B158" s="557" t="s">
        <v>601</v>
      </c>
      <c r="C158" s="545">
        <v>76886</v>
      </c>
      <c r="D158" s="545">
        <v>104000</v>
      </c>
      <c r="E158" s="544">
        <f>+C158+D158</f>
        <v>180886</v>
      </c>
      <c r="F158" s="545">
        <v>137622.39999999999</v>
      </c>
      <c r="G158" s="545">
        <v>137622.39999999999</v>
      </c>
      <c r="H158" s="544">
        <f>+E158-F158</f>
        <v>43263.600000000006</v>
      </c>
      <c r="I158" s="543">
        <f>+F158/E158</f>
        <v>0.76082394436274781</v>
      </c>
    </row>
    <row r="159" spans="1:9" x14ac:dyDescent="0.25">
      <c r="A159" s="558">
        <v>32302</v>
      </c>
      <c r="B159" s="557" t="s">
        <v>600</v>
      </c>
      <c r="C159" s="545">
        <v>476768.95999999996</v>
      </c>
      <c r="D159" s="545">
        <v>18100</v>
      </c>
      <c r="E159" s="544">
        <f>+C159+D159</f>
        <v>494868.95999999996</v>
      </c>
      <c r="F159" s="545">
        <v>217061.52000000002</v>
      </c>
      <c r="G159" s="545">
        <v>169485.28</v>
      </c>
      <c r="H159" s="544">
        <f>+E159-F159</f>
        <v>277807.43999999994</v>
      </c>
      <c r="I159" s="543">
        <f>+F159/E159</f>
        <v>0.43862423701013703</v>
      </c>
    </row>
    <row r="160" spans="1:9" x14ac:dyDescent="0.25">
      <c r="A160" s="561">
        <v>325</v>
      </c>
      <c r="B160" s="565" t="s">
        <v>599</v>
      </c>
      <c r="C160" s="544">
        <f>C161</f>
        <v>3913.4</v>
      </c>
      <c r="D160" s="544">
        <f>D161</f>
        <v>0</v>
      </c>
      <c r="E160" s="544">
        <f>+C160+D160</f>
        <v>3913.4</v>
      </c>
      <c r="F160" s="544">
        <v>1957.13</v>
      </c>
      <c r="G160" s="544">
        <v>1957.13</v>
      </c>
      <c r="H160" s="544">
        <f>+E160-F160</f>
        <v>1956.27</v>
      </c>
      <c r="I160" s="543">
        <f>+F160/E160</f>
        <v>0.50010987887770231</v>
      </c>
    </row>
    <row r="161" spans="1:9" x14ac:dyDescent="0.25">
      <c r="A161" s="558">
        <v>32501</v>
      </c>
      <c r="B161" s="557" t="s">
        <v>599</v>
      </c>
      <c r="C161" s="545">
        <v>3913.4</v>
      </c>
      <c r="D161" s="545">
        <v>0</v>
      </c>
      <c r="E161" s="544">
        <f>+C161+D161</f>
        <v>3913.4</v>
      </c>
      <c r="F161" s="545">
        <v>1957.13</v>
      </c>
      <c r="G161" s="545">
        <v>1957.13</v>
      </c>
      <c r="H161" s="544">
        <f>+E161-F161</f>
        <v>1956.27</v>
      </c>
      <c r="I161" s="543">
        <f>+F161/E161</f>
        <v>0.50010987887770231</v>
      </c>
    </row>
    <row r="162" spans="1:9" ht="22.5" x14ac:dyDescent="0.25">
      <c r="A162" s="561">
        <v>326</v>
      </c>
      <c r="B162" s="565" t="s">
        <v>598</v>
      </c>
      <c r="C162" s="544">
        <f>C163</f>
        <v>1425713.3399999999</v>
      </c>
      <c r="D162" s="544">
        <f>D163</f>
        <v>-101300</v>
      </c>
      <c r="E162" s="544">
        <f>+C162+D162</f>
        <v>1324413.3399999999</v>
      </c>
      <c r="F162" s="544">
        <v>265566.59999999998</v>
      </c>
      <c r="G162" s="544">
        <v>276219.40000000002</v>
      </c>
      <c r="H162" s="544">
        <f>+E162-F162</f>
        <v>1058846.7399999998</v>
      </c>
      <c r="I162" s="543">
        <f>+F162/E162</f>
        <v>0.20051640373842808</v>
      </c>
    </row>
    <row r="163" spans="1:9" x14ac:dyDescent="0.25">
      <c r="A163" s="558">
        <v>32601</v>
      </c>
      <c r="B163" s="557" t="s">
        <v>598</v>
      </c>
      <c r="C163" s="545">
        <v>1425713.3399999999</v>
      </c>
      <c r="D163" s="545">
        <v>-101300</v>
      </c>
      <c r="E163" s="544">
        <f>+C163+D163</f>
        <v>1324413.3399999999</v>
      </c>
      <c r="F163" s="545">
        <v>265566.59999999998</v>
      </c>
      <c r="G163" s="545">
        <v>276219.40000000002</v>
      </c>
      <c r="H163" s="544">
        <f>+E163-F163</f>
        <v>1058846.7399999998</v>
      </c>
      <c r="I163" s="543">
        <f>+F163/E163</f>
        <v>0.20051640373842808</v>
      </c>
    </row>
    <row r="164" spans="1:9" x14ac:dyDescent="0.25">
      <c r="A164" s="561">
        <v>329</v>
      </c>
      <c r="B164" s="565" t="s">
        <v>597</v>
      </c>
      <c r="C164" s="544">
        <f>C165</f>
        <v>7656</v>
      </c>
      <c r="D164" s="544">
        <f>D165</f>
        <v>0</v>
      </c>
      <c r="E164" s="544">
        <f>+C164+D164</f>
        <v>7656</v>
      </c>
      <c r="F164" s="544">
        <v>0</v>
      </c>
      <c r="G164" s="544">
        <v>0</v>
      </c>
      <c r="H164" s="544">
        <f>+E164-F164</f>
        <v>7656</v>
      </c>
      <c r="I164" s="543">
        <f>+F164/E164</f>
        <v>0</v>
      </c>
    </row>
    <row r="165" spans="1:9" x14ac:dyDescent="0.25">
      <c r="A165" s="558">
        <v>32901</v>
      </c>
      <c r="B165" s="557" t="s">
        <v>597</v>
      </c>
      <c r="C165" s="545">
        <v>7656</v>
      </c>
      <c r="D165" s="545">
        <v>0</v>
      </c>
      <c r="E165" s="544">
        <f>+C165+D165</f>
        <v>7656</v>
      </c>
      <c r="F165" s="545">
        <v>0</v>
      </c>
      <c r="G165" s="545">
        <v>0</v>
      </c>
      <c r="H165" s="544">
        <f>+E165-F165</f>
        <v>7656</v>
      </c>
      <c r="I165" s="543">
        <f>+F165/E165</f>
        <v>0</v>
      </c>
    </row>
    <row r="166" spans="1:9" ht="22.5" x14ac:dyDescent="0.25">
      <c r="A166" s="562">
        <v>3300</v>
      </c>
      <c r="B166" s="565" t="s">
        <v>596</v>
      </c>
      <c r="C166" s="544">
        <f>C167+C169+C171+C174+C176+C181+C183</f>
        <v>14547135.59</v>
      </c>
      <c r="D166" s="544">
        <f>D167+D169+D171+D174+D176+D181+D183</f>
        <v>301900</v>
      </c>
      <c r="E166" s="544">
        <f>+C166+D166</f>
        <v>14849035.59</v>
      </c>
      <c r="F166" s="544">
        <v>8139923.6900000004</v>
      </c>
      <c r="G166" s="544">
        <v>6550981.2000000002</v>
      </c>
      <c r="H166" s="544">
        <f>+E166-F166</f>
        <v>6709111.8999999994</v>
      </c>
      <c r="I166" s="543">
        <f>+F166/E166</f>
        <v>0.54817861002917834</v>
      </c>
    </row>
    <row r="167" spans="1:9" ht="22.5" x14ac:dyDescent="0.25">
      <c r="A167" s="561">
        <v>331</v>
      </c>
      <c r="B167" s="565" t="s">
        <v>595</v>
      </c>
      <c r="C167" s="544">
        <f>C168</f>
        <v>8853353</v>
      </c>
      <c r="D167" s="544">
        <f>D168</f>
        <v>295800</v>
      </c>
      <c r="E167" s="544">
        <f>+C167+D167</f>
        <v>9149153</v>
      </c>
      <c r="F167" s="544">
        <v>7462475.3300000001</v>
      </c>
      <c r="G167" s="544">
        <v>6016369.9099999992</v>
      </c>
      <c r="H167" s="544">
        <f>+E167-F167</f>
        <v>1686677.67</v>
      </c>
      <c r="I167" s="543">
        <f>+F167/E167</f>
        <v>0.81564657733890777</v>
      </c>
    </row>
    <row r="168" spans="1:9" ht="22.5" x14ac:dyDescent="0.25">
      <c r="A168" s="558">
        <v>33101</v>
      </c>
      <c r="B168" s="557" t="s">
        <v>595</v>
      </c>
      <c r="C168" s="545">
        <v>8853353</v>
      </c>
      <c r="D168" s="545">
        <v>295800</v>
      </c>
      <c r="E168" s="544">
        <f>+C168+D168</f>
        <v>9149153</v>
      </c>
      <c r="F168" s="545">
        <v>7462475.3300000001</v>
      </c>
      <c r="G168" s="545">
        <v>6016369.9099999992</v>
      </c>
      <c r="H168" s="544">
        <f>+E168-F168</f>
        <v>1686677.67</v>
      </c>
      <c r="I168" s="543">
        <f>+F168/E168</f>
        <v>0.81564657733890777</v>
      </c>
    </row>
    <row r="169" spans="1:9" ht="22.5" x14ac:dyDescent="0.25">
      <c r="A169" s="561">
        <v>332</v>
      </c>
      <c r="B169" s="565" t="s">
        <v>594</v>
      </c>
      <c r="C169" s="544">
        <f>C170</f>
        <v>795896</v>
      </c>
      <c r="D169" s="544">
        <f>D170</f>
        <v>0</v>
      </c>
      <c r="E169" s="544">
        <f>+C169+D169</f>
        <v>795896</v>
      </c>
      <c r="F169" s="544">
        <v>86384.31</v>
      </c>
      <c r="G169" s="544">
        <v>57589.54</v>
      </c>
      <c r="H169" s="544">
        <f>+E169-F169</f>
        <v>709511.69</v>
      </c>
      <c r="I169" s="543">
        <f>+F169/E169</f>
        <v>0.10853718325007287</v>
      </c>
    </row>
    <row r="170" spans="1:9" ht="22.5" x14ac:dyDescent="0.25">
      <c r="A170" s="558">
        <v>33201</v>
      </c>
      <c r="B170" s="557" t="s">
        <v>594</v>
      </c>
      <c r="C170" s="545">
        <v>795896</v>
      </c>
      <c r="D170" s="545">
        <v>0</v>
      </c>
      <c r="E170" s="544">
        <f>+C170+D170</f>
        <v>795896</v>
      </c>
      <c r="F170" s="545">
        <v>86384.31</v>
      </c>
      <c r="G170" s="545">
        <v>57589.54</v>
      </c>
      <c r="H170" s="544">
        <f>+E170-F170</f>
        <v>709511.69</v>
      </c>
      <c r="I170" s="543">
        <f>+F170/E170</f>
        <v>0.10853718325007287</v>
      </c>
    </row>
    <row r="171" spans="1:9" ht="33.75" x14ac:dyDescent="0.25">
      <c r="A171" s="561">
        <v>333</v>
      </c>
      <c r="B171" s="565" t="s">
        <v>593</v>
      </c>
      <c r="C171" s="544">
        <f>C172+C173</f>
        <v>811966</v>
      </c>
      <c r="D171" s="544">
        <f>D172+D173</f>
        <v>30500</v>
      </c>
      <c r="E171" s="544">
        <f>+C171+D171</f>
        <v>842466</v>
      </c>
      <c r="F171" s="544">
        <v>157807.10999999999</v>
      </c>
      <c r="G171" s="544">
        <v>72147.77</v>
      </c>
      <c r="H171" s="544">
        <f>+E171-F171</f>
        <v>684658.89</v>
      </c>
      <c r="I171" s="543">
        <f>+F171/E171</f>
        <v>0.187315701761258</v>
      </c>
    </row>
    <row r="172" spans="1:9" x14ac:dyDescent="0.25">
      <c r="A172" s="558">
        <v>33301</v>
      </c>
      <c r="B172" s="557" t="s">
        <v>592</v>
      </c>
      <c r="C172" s="545">
        <v>544658</v>
      </c>
      <c r="D172" s="545">
        <v>30500</v>
      </c>
      <c r="E172" s="544">
        <f>+C172+D172</f>
        <v>575158</v>
      </c>
      <c r="F172" s="545">
        <v>135920.23000000001</v>
      </c>
      <c r="G172" s="545">
        <v>50260.89</v>
      </c>
      <c r="H172" s="544">
        <f>+E172-F172</f>
        <v>439237.77</v>
      </c>
      <c r="I172" s="543">
        <f>+F172/E172</f>
        <v>0.23631807259918147</v>
      </c>
    </row>
    <row r="173" spans="1:9" x14ac:dyDescent="0.25">
      <c r="A173" s="558">
        <v>33302</v>
      </c>
      <c r="B173" s="557" t="s">
        <v>591</v>
      </c>
      <c r="C173" s="545">
        <v>267308</v>
      </c>
      <c r="D173" s="545">
        <v>0</v>
      </c>
      <c r="E173" s="544">
        <f>+C173+D173</f>
        <v>267308</v>
      </c>
      <c r="F173" s="545">
        <v>21886.880000000001</v>
      </c>
      <c r="G173" s="545">
        <v>21886.880000000001</v>
      </c>
      <c r="H173" s="544">
        <f>+E173-F173</f>
        <v>245421.12</v>
      </c>
      <c r="I173" s="543">
        <f>+F173/E173</f>
        <v>8.1878881290496364E-2</v>
      </c>
    </row>
    <row r="174" spans="1:9" x14ac:dyDescent="0.25">
      <c r="A174" s="561">
        <v>334</v>
      </c>
      <c r="B174" s="565" t="s">
        <v>590</v>
      </c>
      <c r="C174" s="544">
        <f>C175</f>
        <v>191485.91</v>
      </c>
      <c r="D174" s="544">
        <f>D175</f>
        <v>0</v>
      </c>
      <c r="E174" s="544">
        <f>+C174+D174</f>
        <v>191485.91</v>
      </c>
      <c r="F174" s="544">
        <v>0</v>
      </c>
      <c r="G174" s="544">
        <v>0</v>
      </c>
      <c r="H174" s="544">
        <f>+E174-F174</f>
        <v>191485.91</v>
      </c>
      <c r="I174" s="543">
        <f>+F174/E174</f>
        <v>0</v>
      </c>
    </row>
    <row r="175" spans="1:9" x14ac:dyDescent="0.25">
      <c r="A175" s="558">
        <v>33401</v>
      </c>
      <c r="B175" s="557" t="s">
        <v>590</v>
      </c>
      <c r="C175" s="545">
        <v>191485.91</v>
      </c>
      <c r="D175" s="545">
        <v>0</v>
      </c>
      <c r="E175" s="544">
        <f>+C175+D175</f>
        <v>191485.91</v>
      </c>
      <c r="F175" s="545">
        <v>0</v>
      </c>
      <c r="G175" s="545">
        <v>0</v>
      </c>
      <c r="H175" s="544">
        <f>+E175-F175</f>
        <v>191485.91</v>
      </c>
      <c r="I175" s="543">
        <f>+F175/E175</f>
        <v>0</v>
      </c>
    </row>
    <row r="176" spans="1:9" ht="22.5" x14ac:dyDescent="0.25">
      <c r="A176" s="561">
        <v>336</v>
      </c>
      <c r="B176" s="565" t="s">
        <v>589</v>
      </c>
      <c r="C176" s="544">
        <f>C177+C178+C179+C180</f>
        <v>1444007.68</v>
      </c>
      <c r="D176" s="544">
        <f>D177+D178+D179+D180</f>
        <v>-24400</v>
      </c>
      <c r="E176" s="544">
        <f>+C176+D176</f>
        <v>1419607.68</v>
      </c>
      <c r="F176" s="544">
        <v>275251.82</v>
      </c>
      <c r="G176" s="544">
        <v>195663.53999999998</v>
      </c>
      <c r="H176" s="544">
        <f>+E176-F176</f>
        <v>1144355.8599999999</v>
      </c>
      <c r="I176" s="543">
        <f>+F176/E176</f>
        <v>0.19389287891144688</v>
      </c>
    </row>
    <row r="177" spans="1:9" x14ac:dyDescent="0.25">
      <c r="A177" s="558">
        <v>33601</v>
      </c>
      <c r="B177" s="557" t="s">
        <v>588</v>
      </c>
      <c r="C177" s="545">
        <v>0</v>
      </c>
      <c r="D177" s="545">
        <v>0</v>
      </c>
      <c r="E177" s="544">
        <f>+C177+D177</f>
        <v>0</v>
      </c>
      <c r="F177" s="545">
        <v>0</v>
      </c>
      <c r="G177" s="545">
        <v>0</v>
      </c>
      <c r="H177" s="544">
        <f>+E177-F177</f>
        <v>0</v>
      </c>
      <c r="I177" s="543"/>
    </row>
    <row r="178" spans="1:9" x14ac:dyDescent="0.25">
      <c r="A178" s="558">
        <v>33603</v>
      </c>
      <c r="B178" s="557" t="s">
        <v>587</v>
      </c>
      <c r="C178" s="545">
        <v>1174023.6799999999</v>
      </c>
      <c r="D178" s="545">
        <v>-24400</v>
      </c>
      <c r="E178" s="544">
        <f>+C178+D178</f>
        <v>1149623.68</v>
      </c>
      <c r="F178" s="545">
        <v>227386.68</v>
      </c>
      <c r="G178" s="545">
        <v>158849.49</v>
      </c>
      <c r="H178" s="544">
        <f>+E178-F178</f>
        <v>922237</v>
      </c>
      <c r="I178" s="543">
        <f>+F178/E178</f>
        <v>0.19779227233732694</v>
      </c>
    </row>
    <row r="179" spans="1:9" x14ac:dyDescent="0.25">
      <c r="A179" s="558">
        <v>33605</v>
      </c>
      <c r="B179" s="557" t="s">
        <v>586</v>
      </c>
      <c r="C179" s="545">
        <v>171984</v>
      </c>
      <c r="D179" s="545">
        <v>0</v>
      </c>
      <c r="E179" s="544">
        <f>+C179+D179</f>
        <v>171984</v>
      </c>
      <c r="F179" s="545">
        <v>21000</v>
      </c>
      <c r="G179" s="545">
        <v>21000</v>
      </c>
      <c r="H179" s="544">
        <f>+E179-F179</f>
        <v>150984</v>
      </c>
      <c r="I179" s="543">
        <f>+F179/E179</f>
        <v>0.12210438180295842</v>
      </c>
    </row>
    <row r="180" spans="1:9" ht="22.5" x14ac:dyDescent="0.25">
      <c r="A180" s="558">
        <v>33608</v>
      </c>
      <c r="B180" s="557" t="s">
        <v>585</v>
      </c>
      <c r="C180" s="545">
        <v>98000</v>
      </c>
      <c r="D180" s="545">
        <v>0</v>
      </c>
      <c r="E180" s="544"/>
      <c r="F180" s="545"/>
      <c r="G180" s="545"/>
      <c r="H180" s="544">
        <f>+E180-F180</f>
        <v>0</v>
      </c>
      <c r="I180" s="543"/>
    </row>
    <row r="181" spans="1:9" x14ac:dyDescent="0.25">
      <c r="A181" s="561">
        <v>338</v>
      </c>
      <c r="B181" s="565" t="s">
        <v>584</v>
      </c>
      <c r="C181" s="544">
        <f>C182</f>
        <v>1134987</v>
      </c>
      <c r="D181" s="544">
        <f>D182</f>
        <v>0</v>
      </c>
      <c r="E181" s="544">
        <f>+C181+D181</f>
        <v>1134987</v>
      </c>
      <c r="F181" s="544">
        <v>10585.119999999999</v>
      </c>
      <c r="G181" s="544">
        <v>61790.44</v>
      </c>
      <c r="H181" s="544">
        <f>+E181-F181</f>
        <v>1124401.8799999999</v>
      </c>
      <c r="I181" s="543">
        <f>+F181/E181</f>
        <v>9.3262037362542467E-3</v>
      </c>
    </row>
    <row r="182" spans="1:9" x14ac:dyDescent="0.25">
      <c r="A182" s="558">
        <v>33801</v>
      </c>
      <c r="B182" s="557" t="s">
        <v>584</v>
      </c>
      <c r="C182" s="545">
        <v>1134987</v>
      </c>
      <c r="D182" s="545">
        <v>0</v>
      </c>
      <c r="E182" s="544">
        <f>+C182+D182</f>
        <v>1134987</v>
      </c>
      <c r="F182" s="545">
        <v>10585.119999999999</v>
      </c>
      <c r="G182" s="545">
        <v>61790.44</v>
      </c>
      <c r="H182" s="544">
        <f>+E182-F182</f>
        <v>1124401.8799999999</v>
      </c>
      <c r="I182" s="543">
        <f>+F182/E182</f>
        <v>9.3262037362542467E-3</v>
      </c>
    </row>
    <row r="183" spans="1:9" ht="22.5" x14ac:dyDescent="0.25">
      <c r="A183" s="561">
        <v>339</v>
      </c>
      <c r="B183" s="565" t="s">
        <v>583</v>
      </c>
      <c r="C183" s="544">
        <f>C184</f>
        <v>1315440</v>
      </c>
      <c r="D183" s="544">
        <f>D184</f>
        <v>0</v>
      </c>
      <c r="E183" s="544">
        <f>+C183+D183</f>
        <v>1315440</v>
      </c>
      <c r="F183" s="544">
        <v>147420</v>
      </c>
      <c r="G183" s="544">
        <v>147420</v>
      </c>
      <c r="H183" s="544">
        <f>+E183-F183</f>
        <v>1168020</v>
      </c>
      <c r="I183" s="543">
        <f>+F183/E183</f>
        <v>0.11206896551724138</v>
      </c>
    </row>
    <row r="184" spans="1:9" x14ac:dyDescent="0.25">
      <c r="A184" s="558">
        <v>33901</v>
      </c>
      <c r="B184" s="557" t="s">
        <v>582</v>
      </c>
      <c r="C184" s="545">
        <v>1315440</v>
      </c>
      <c r="D184" s="545">
        <v>0</v>
      </c>
      <c r="E184" s="544">
        <f>+C184+D184</f>
        <v>1315440</v>
      </c>
      <c r="F184" s="545">
        <v>147420</v>
      </c>
      <c r="G184" s="545">
        <v>147420</v>
      </c>
      <c r="H184" s="544">
        <f>+E184-F184</f>
        <v>1168020</v>
      </c>
      <c r="I184" s="543">
        <f>+F184/E184</f>
        <v>0.11206896551724138</v>
      </c>
    </row>
    <row r="185" spans="1:9" x14ac:dyDescent="0.25">
      <c r="A185" s="562">
        <v>3400</v>
      </c>
      <c r="B185" s="565" t="s">
        <v>581</v>
      </c>
      <c r="C185" s="544">
        <f>C186+C188+C190+C192</f>
        <v>20606315.139999997</v>
      </c>
      <c r="D185" s="544">
        <f>D186+D188+D190+D192</f>
        <v>0</v>
      </c>
      <c r="E185" s="544">
        <f>+C185+D185</f>
        <v>20606315.139999997</v>
      </c>
      <c r="F185" s="544">
        <v>4003689.51</v>
      </c>
      <c r="G185" s="544">
        <v>3059552.17</v>
      </c>
      <c r="H185" s="544">
        <f>+E185-F185</f>
        <v>16602625.629999997</v>
      </c>
      <c r="I185" s="543">
        <f>+F185/E185</f>
        <v>0.19429429681138033</v>
      </c>
    </row>
    <row r="186" spans="1:9" x14ac:dyDescent="0.25">
      <c r="A186" s="561">
        <v>341</v>
      </c>
      <c r="B186" s="565" t="s">
        <v>580</v>
      </c>
      <c r="C186" s="544">
        <f>C187</f>
        <v>439872.31</v>
      </c>
      <c r="D186" s="544">
        <f>D187</f>
        <v>0</v>
      </c>
      <c r="E186" s="544">
        <f>+C186+D186</f>
        <v>439872.31</v>
      </c>
      <c r="F186" s="544">
        <v>145499.53</v>
      </c>
      <c r="G186" s="544">
        <v>145499.53</v>
      </c>
      <c r="H186" s="544">
        <f>+E186-F186</f>
        <v>294372.78000000003</v>
      </c>
      <c r="I186" s="543">
        <f>+F186/E186</f>
        <v>0.33077674291432441</v>
      </c>
    </row>
    <row r="187" spans="1:9" x14ac:dyDescent="0.25">
      <c r="A187" s="558">
        <v>34101</v>
      </c>
      <c r="B187" s="557" t="s">
        <v>580</v>
      </c>
      <c r="C187" s="545">
        <v>439872.31</v>
      </c>
      <c r="D187" s="545">
        <v>0</v>
      </c>
      <c r="E187" s="544">
        <f>+C187+D187</f>
        <v>439872.31</v>
      </c>
      <c r="F187" s="545">
        <v>145499.53</v>
      </c>
      <c r="G187" s="545">
        <v>145499.53</v>
      </c>
      <c r="H187" s="544">
        <f>+E187-F187</f>
        <v>294372.78000000003</v>
      </c>
      <c r="I187" s="543">
        <f>+F187/E187</f>
        <v>0.33077674291432441</v>
      </c>
    </row>
    <row r="188" spans="1:9" ht="22.5" x14ac:dyDescent="0.25">
      <c r="A188" s="561">
        <v>343</v>
      </c>
      <c r="B188" s="565" t="s">
        <v>579</v>
      </c>
      <c r="C188" s="544">
        <f>C189</f>
        <v>18291617.039999999</v>
      </c>
      <c r="D188" s="544">
        <f>D189</f>
        <v>-3000</v>
      </c>
      <c r="E188" s="544">
        <f>+C188+D188</f>
        <v>18288617.039999999</v>
      </c>
      <c r="F188" s="544">
        <v>2308046.63</v>
      </c>
      <c r="G188" s="544">
        <v>1410960.7</v>
      </c>
      <c r="H188" s="544">
        <f>+E188-F188</f>
        <v>15980570.41</v>
      </c>
      <c r="I188" s="543">
        <f>+F188/E188</f>
        <v>0.12620126633697612</v>
      </c>
    </row>
    <row r="189" spans="1:9" ht="22.5" x14ac:dyDescent="0.25">
      <c r="A189" s="558">
        <v>34301</v>
      </c>
      <c r="B189" s="557" t="s">
        <v>579</v>
      </c>
      <c r="C189" s="545">
        <v>18291617.039999999</v>
      </c>
      <c r="D189" s="545">
        <v>-3000</v>
      </c>
      <c r="E189" s="544">
        <f>+C189+D189</f>
        <v>18288617.039999999</v>
      </c>
      <c r="F189" s="545">
        <v>2308046.63</v>
      </c>
      <c r="G189" s="545">
        <v>1410960.7</v>
      </c>
      <c r="H189" s="544">
        <f>+E189-F189</f>
        <v>15980570.41</v>
      </c>
      <c r="I189" s="543">
        <f>+F189/E189</f>
        <v>0.12620126633697612</v>
      </c>
    </row>
    <row r="190" spans="1:9" x14ac:dyDescent="0.25">
      <c r="A190" s="561">
        <v>344</v>
      </c>
      <c r="B190" s="565" t="s">
        <v>578</v>
      </c>
      <c r="C190" s="544">
        <f>C191</f>
        <v>1827803.17</v>
      </c>
      <c r="D190" s="544">
        <f>D191</f>
        <v>0</v>
      </c>
      <c r="E190" s="544">
        <f>+C190+D190</f>
        <v>1827803.17</v>
      </c>
      <c r="F190" s="544">
        <v>1546774.35</v>
      </c>
      <c r="G190" s="544">
        <v>1499722.94</v>
      </c>
      <c r="H190" s="544">
        <f>+E190-F190</f>
        <v>281028.81999999983</v>
      </c>
      <c r="I190" s="543">
        <f>+F190/E190</f>
        <v>0.84624776638285415</v>
      </c>
    </row>
    <row r="191" spans="1:9" x14ac:dyDescent="0.25">
      <c r="A191" s="558">
        <v>34401</v>
      </c>
      <c r="B191" s="557" t="s">
        <v>578</v>
      </c>
      <c r="C191" s="545">
        <v>1827803.17</v>
      </c>
      <c r="D191" s="545">
        <v>0</v>
      </c>
      <c r="E191" s="544">
        <f>+C191+D191</f>
        <v>1827803.17</v>
      </c>
      <c r="F191" s="545">
        <v>1546774.35</v>
      </c>
      <c r="G191" s="545">
        <v>1499722.94</v>
      </c>
      <c r="H191" s="544">
        <f>+E191-F191</f>
        <v>281028.81999999983</v>
      </c>
      <c r="I191" s="543">
        <f>+F191/E191</f>
        <v>0.84624776638285415</v>
      </c>
    </row>
    <row r="192" spans="1:9" x14ac:dyDescent="0.25">
      <c r="A192" s="561">
        <v>347</v>
      </c>
      <c r="B192" s="565" t="s">
        <v>577</v>
      </c>
      <c r="C192" s="544">
        <f>C193</f>
        <v>47022.619999999995</v>
      </c>
      <c r="D192" s="544">
        <f>D193</f>
        <v>3000</v>
      </c>
      <c r="E192" s="544">
        <f>+C192+D192</f>
        <v>50022.619999999995</v>
      </c>
      <c r="F192" s="544">
        <v>3369</v>
      </c>
      <c r="G192" s="544">
        <v>3369</v>
      </c>
      <c r="H192" s="544">
        <f>+E192-F192</f>
        <v>46653.619999999995</v>
      </c>
      <c r="I192" s="543">
        <f>+F192/E192</f>
        <v>6.7349531072142962E-2</v>
      </c>
    </row>
    <row r="193" spans="1:9" x14ac:dyDescent="0.25">
      <c r="A193" s="558">
        <v>34701</v>
      </c>
      <c r="B193" s="557" t="s">
        <v>577</v>
      </c>
      <c r="C193" s="545">
        <v>47022.619999999995</v>
      </c>
      <c r="D193" s="545">
        <v>3000</v>
      </c>
      <c r="E193" s="544">
        <f>+C193+D193</f>
        <v>50022.619999999995</v>
      </c>
      <c r="F193" s="545">
        <v>3369</v>
      </c>
      <c r="G193" s="545">
        <v>3369</v>
      </c>
      <c r="H193" s="544">
        <f>+E193-F193</f>
        <v>46653.619999999995</v>
      </c>
      <c r="I193" s="543">
        <f>+F193/E193</f>
        <v>6.7349531072142962E-2</v>
      </c>
    </row>
    <row r="194" spans="1:9" ht="22.5" x14ac:dyDescent="0.25">
      <c r="A194" s="562">
        <v>3500</v>
      </c>
      <c r="B194" s="565" t="s">
        <v>576</v>
      </c>
      <c r="C194" s="544">
        <f>C195+C197+C199+C202+C204+C207+C209</f>
        <v>8138504.7400000002</v>
      </c>
      <c r="D194" s="544">
        <f>D195+D197+D199+D202+D204+D207+D209</f>
        <v>800717.61</v>
      </c>
      <c r="E194" s="544">
        <f>+C194+D194</f>
        <v>8939222.3499999996</v>
      </c>
      <c r="F194" s="544">
        <v>1412007.8699999999</v>
      </c>
      <c r="G194" s="544">
        <v>853996.89</v>
      </c>
      <c r="H194" s="544">
        <f>+E194-F194</f>
        <v>7527214.4799999995</v>
      </c>
      <c r="I194" s="543">
        <f>+F194/E194</f>
        <v>0.15795645467975186</v>
      </c>
    </row>
    <row r="195" spans="1:9" ht="22.5" x14ac:dyDescent="0.25">
      <c r="A195" s="561">
        <v>351</v>
      </c>
      <c r="B195" s="565" t="s">
        <v>575</v>
      </c>
      <c r="C195" s="544">
        <f>C196</f>
        <v>309291</v>
      </c>
      <c r="D195" s="544">
        <f>D196</f>
        <v>836422.61</v>
      </c>
      <c r="E195" s="544">
        <f>+C195+D195</f>
        <v>1145713.6099999999</v>
      </c>
      <c r="F195" s="544">
        <v>4154</v>
      </c>
      <c r="G195" s="544">
        <v>27296</v>
      </c>
      <c r="H195" s="544">
        <f>+E195-F195</f>
        <v>1141559.6099999999</v>
      </c>
      <c r="I195" s="543">
        <f>+F195/E195</f>
        <v>3.6256879238782897E-3</v>
      </c>
    </row>
    <row r="196" spans="1:9" x14ac:dyDescent="0.25">
      <c r="A196" s="558">
        <v>35101</v>
      </c>
      <c r="B196" s="557" t="s">
        <v>574</v>
      </c>
      <c r="C196" s="545">
        <v>309291</v>
      </c>
      <c r="D196" s="545">
        <v>836422.61</v>
      </c>
      <c r="E196" s="544">
        <f>+C196+D196</f>
        <v>1145713.6099999999</v>
      </c>
      <c r="F196" s="545">
        <v>4154</v>
      </c>
      <c r="G196" s="545">
        <v>27296</v>
      </c>
      <c r="H196" s="544">
        <f>+E196-F196</f>
        <v>1141559.6099999999</v>
      </c>
      <c r="I196" s="543">
        <f>+F196/E196</f>
        <v>3.6256879238782897E-3</v>
      </c>
    </row>
    <row r="197" spans="1:9" ht="33.75" x14ac:dyDescent="0.25">
      <c r="A197" s="561">
        <v>352</v>
      </c>
      <c r="B197" s="565" t="s">
        <v>573</v>
      </c>
      <c r="C197" s="544">
        <f>C198</f>
        <v>137317.14000000001</v>
      </c>
      <c r="D197" s="544">
        <f>D198</f>
        <v>0</v>
      </c>
      <c r="E197" s="544">
        <f>+C197+D197</f>
        <v>137317.14000000001</v>
      </c>
      <c r="F197" s="544">
        <v>8215.99</v>
      </c>
      <c r="G197" s="544">
        <v>8215.99</v>
      </c>
      <c r="H197" s="544">
        <f>+E197-F197</f>
        <v>129101.15000000001</v>
      </c>
      <c r="I197" s="543">
        <f>+F197/E197</f>
        <v>5.9832224877389664E-2</v>
      </c>
    </row>
    <row r="198" spans="1:9" x14ac:dyDescent="0.25">
      <c r="A198" s="558">
        <v>35201</v>
      </c>
      <c r="B198" s="557" t="s">
        <v>572</v>
      </c>
      <c r="C198" s="545">
        <v>137317.14000000001</v>
      </c>
      <c r="D198" s="545">
        <v>0</v>
      </c>
      <c r="E198" s="544">
        <f>+C198+D198</f>
        <v>137317.14000000001</v>
      </c>
      <c r="F198" s="545">
        <v>8215.99</v>
      </c>
      <c r="G198" s="545">
        <v>8215.99</v>
      </c>
      <c r="H198" s="544">
        <f>+E198-F198</f>
        <v>129101.15000000001</v>
      </c>
      <c r="I198" s="543">
        <f>+F198/E198</f>
        <v>5.9832224877389664E-2</v>
      </c>
    </row>
    <row r="199" spans="1:9" ht="22.5" x14ac:dyDescent="0.25">
      <c r="A199" s="561">
        <v>353</v>
      </c>
      <c r="B199" s="565" t="s">
        <v>571</v>
      </c>
      <c r="C199" s="544">
        <f>C201</f>
        <v>27067.260000000002</v>
      </c>
      <c r="D199" s="544">
        <f>D201</f>
        <v>0</v>
      </c>
      <c r="E199" s="544">
        <f>+C199+D199</f>
        <v>27067.260000000002</v>
      </c>
      <c r="F199" s="544">
        <v>232</v>
      </c>
      <c r="G199" s="544">
        <v>232</v>
      </c>
      <c r="H199" s="544">
        <f>+E199-F199</f>
        <v>26835.260000000002</v>
      </c>
      <c r="I199" s="543">
        <f>+F199/E199</f>
        <v>8.5712406796993861E-3</v>
      </c>
    </row>
    <row r="200" spans="1:9" hidden="1" x14ac:dyDescent="0.25">
      <c r="A200" s="558">
        <v>35301</v>
      </c>
      <c r="B200" s="557" t="s">
        <v>570</v>
      </c>
      <c r="C200" s="545">
        <v>0</v>
      </c>
      <c r="D200" s="545">
        <v>0</v>
      </c>
      <c r="E200" s="544">
        <f>+C200+D200</f>
        <v>0</v>
      </c>
      <c r="F200" s="545">
        <v>0</v>
      </c>
      <c r="G200" s="545">
        <v>0</v>
      </c>
      <c r="H200" s="544">
        <f>+E200-F200</f>
        <v>0</v>
      </c>
      <c r="I200" s="543"/>
    </row>
    <row r="201" spans="1:9" x14ac:dyDescent="0.25">
      <c r="A201" s="558">
        <v>35302</v>
      </c>
      <c r="B201" s="557" t="s">
        <v>569</v>
      </c>
      <c r="C201" s="545">
        <v>27067.260000000002</v>
      </c>
      <c r="D201" s="545">
        <v>0</v>
      </c>
      <c r="E201" s="544">
        <f>+C201+D201</f>
        <v>27067.260000000002</v>
      </c>
      <c r="F201" s="545">
        <v>232</v>
      </c>
      <c r="G201" s="545">
        <v>232</v>
      </c>
      <c r="H201" s="544">
        <f>+E201-F201</f>
        <v>26835.260000000002</v>
      </c>
      <c r="I201" s="543">
        <f>+F201/E201</f>
        <v>8.5712406796993861E-3</v>
      </c>
    </row>
    <row r="202" spans="1:9" ht="22.5" x14ac:dyDescent="0.25">
      <c r="A202" s="561">
        <v>355</v>
      </c>
      <c r="B202" s="565" t="s">
        <v>568</v>
      </c>
      <c r="C202" s="544">
        <f>C203</f>
        <v>1529211.2200000002</v>
      </c>
      <c r="D202" s="544">
        <f>D203</f>
        <v>-6705</v>
      </c>
      <c r="E202" s="544">
        <f>+C202+D202</f>
        <v>1522506.2200000002</v>
      </c>
      <c r="F202" s="544">
        <v>263899.73</v>
      </c>
      <c r="G202" s="544">
        <v>212746.93000000002</v>
      </c>
      <c r="H202" s="544">
        <f>+E202-F202</f>
        <v>1258606.4900000002</v>
      </c>
      <c r="I202" s="543">
        <f>+F202/E202</f>
        <v>0.17333244786349702</v>
      </c>
    </row>
    <row r="203" spans="1:9" x14ac:dyDescent="0.25">
      <c r="A203" s="558">
        <v>35501</v>
      </c>
      <c r="B203" s="557" t="s">
        <v>567</v>
      </c>
      <c r="C203" s="545">
        <v>1529211.2200000002</v>
      </c>
      <c r="D203" s="545">
        <v>-6705</v>
      </c>
      <c r="E203" s="544">
        <f>+C203+D203</f>
        <v>1522506.2200000002</v>
      </c>
      <c r="F203" s="545">
        <v>263899.73</v>
      </c>
      <c r="G203" s="545">
        <v>212746.93000000002</v>
      </c>
      <c r="H203" s="544">
        <f>+E203-F203</f>
        <v>1258606.4900000002</v>
      </c>
      <c r="I203" s="543">
        <f>+F203/E203</f>
        <v>0.17333244786349702</v>
      </c>
    </row>
    <row r="204" spans="1:9" ht="22.5" x14ac:dyDescent="0.25">
      <c r="A204" s="561">
        <v>357</v>
      </c>
      <c r="B204" s="565" t="s">
        <v>566</v>
      </c>
      <c r="C204" s="544">
        <f>C205</f>
        <v>5815455</v>
      </c>
      <c r="D204" s="544">
        <f>D205</f>
        <v>-31000</v>
      </c>
      <c r="E204" s="544">
        <f>+C204+D204</f>
        <v>5784455</v>
      </c>
      <c r="F204" s="544">
        <v>1065905.6000000001</v>
      </c>
      <c r="G204" s="544">
        <v>573128.95999999996</v>
      </c>
      <c r="H204" s="544">
        <f>+E204-F204</f>
        <v>4718549.4000000004</v>
      </c>
      <c r="I204" s="543">
        <f>+F204/E204</f>
        <v>0.18427070484600538</v>
      </c>
    </row>
    <row r="205" spans="1:9" x14ac:dyDescent="0.25">
      <c r="A205" s="558">
        <v>35701</v>
      </c>
      <c r="B205" s="557" t="s">
        <v>565</v>
      </c>
      <c r="C205" s="545">
        <v>5815455</v>
      </c>
      <c r="D205" s="545">
        <v>-31000</v>
      </c>
      <c r="E205" s="544">
        <f>+C205+D205</f>
        <v>5784455</v>
      </c>
      <c r="F205" s="545">
        <v>1065905.6000000001</v>
      </c>
      <c r="G205" s="545">
        <v>573128.95999999996</v>
      </c>
      <c r="H205" s="544">
        <f>+E205-F205</f>
        <v>4718549.4000000004</v>
      </c>
      <c r="I205" s="543">
        <f>+F205/E205</f>
        <v>0.18427070484600538</v>
      </c>
    </row>
    <row r="206" spans="1:9" ht="22.5" hidden="1" x14ac:dyDescent="0.25">
      <c r="A206" s="558">
        <v>35702</v>
      </c>
      <c r="B206" s="557" t="s">
        <v>564</v>
      </c>
      <c r="C206" s="545">
        <v>0</v>
      </c>
      <c r="D206" s="545">
        <v>0</v>
      </c>
      <c r="E206" s="544">
        <f>+C206+D206</f>
        <v>0</v>
      </c>
      <c r="F206" s="545">
        <v>0</v>
      </c>
      <c r="G206" s="545">
        <v>0</v>
      </c>
      <c r="H206" s="544">
        <f>+E206-F206</f>
        <v>0</v>
      </c>
      <c r="I206" s="543"/>
    </row>
    <row r="207" spans="1:9" x14ac:dyDescent="0.25">
      <c r="A207" s="561">
        <v>358</v>
      </c>
      <c r="B207" s="565" t="s">
        <v>563</v>
      </c>
      <c r="C207" s="544">
        <f>C208</f>
        <v>224808.12</v>
      </c>
      <c r="D207" s="544">
        <f>D208</f>
        <v>0</v>
      </c>
      <c r="E207" s="544">
        <f>+C207+D207</f>
        <v>224808.12</v>
      </c>
      <c r="F207" s="544">
        <v>48402.770000000004</v>
      </c>
      <c r="G207" s="544">
        <v>30377.01</v>
      </c>
      <c r="H207" s="544">
        <f>+E207-F207</f>
        <v>176405.34999999998</v>
      </c>
      <c r="I207" s="543">
        <f>+F207/E207</f>
        <v>0.21530703606257642</v>
      </c>
    </row>
    <row r="208" spans="1:9" x14ac:dyDescent="0.25">
      <c r="A208" s="558">
        <v>35801</v>
      </c>
      <c r="B208" s="557" t="s">
        <v>563</v>
      </c>
      <c r="C208" s="545">
        <v>224808.12</v>
      </c>
      <c r="D208" s="545">
        <v>0</v>
      </c>
      <c r="E208" s="544">
        <f>+C208+D208</f>
        <v>224808.12</v>
      </c>
      <c r="F208" s="545">
        <v>48402.770000000004</v>
      </c>
      <c r="G208" s="545">
        <v>30377.01</v>
      </c>
      <c r="H208" s="544">
        <f>+E208-F208</f>
        <v>176405.34999999998</v>
      </c>
      <c r="I208" s="543">
        <f>+F208/E208</f>
        <v>0.21530703606257642</v>
      </c>
    </row>
    <row r="209" spans="1:9" x14ac:dyDescent="0.25">
      <c r="A209" s="561">
        <v>359</v>
      </c>
      <c r="B209" s="565" t="s">
        <v>562</v>
      </c>
      <c r="C209" s="544">
        <f>C210</f>
        <v>95355</v>
      </c>
      <c r="D209" s="544">
        <f>D210</f>
        <v>2000</v>
      </c>
      <c r="E209" s="544">
        <f>+C209+D209</f>
        <v>97355</v>
      </c>
      <c r="F209" s="544">
        <v>21197.78</v>
      </c>
      <c r="G209" s="544">
        <v>2000</v>
      </c>
      <c r="H209" s="544">
        <f>+E209-F209</f>
        <v>76157.22</v>
      </c>
      <c r="I209" s="543">
        <f>+F209/E209</f>
        <v>0.21773694211904884</v>
      </c>
    </row>
    <row r="210" spans="1:9" x14ac:dyDescent="0.25">
      <c r="A210" s="558">
        <v>35901</v>
      </c>
      <c r="B210" s="557" t="s">
        <v>562</v>
      </c>
      <c r="C210" s="545">
        <v>95355</v>
      </c>
      <c r="D210" s="545">
        <v>2000</v>
      </c>
      <c r="E210" s="544">
        <f>+C210+D210</f>
        <v>97355</v>
      </c>
      <c r="F210" s="545">
        <v>21197.78</v>
      </c>
      <c r="G210" s="545">
        <v>2000</v>
      </c>
      <c r="H210" s="544">
        <f>+E210-F210</f>
        <v>76157.22</v>
      </c>
      <c r="I210" s="543">
        <f>+F210/E210</f>
        <v>0.21773694211904884</v>
      </c>
    </row>
    <row r="211" spans="1:9" x14ac:dyDescent="0.25">
      <c r="A211" s="562">
        <v>3600</v>
      </c>
      <c r="B211" s="565" t="s">
        <v>561</v>
      </c>
      <c r="C211" s="544">
        <f>C212+C214+C216+C218</f>
        <v>1067467.54</v>
      </c>
      <c r="D211" s="544">
        <f>D212+D214+D216+D218</f>
        <v>29000</v>
      </c>
      <c r="E211" s="544">
        <f>+C211+D211</f>
        <v>1096467.54</v>
      </c>
      <c r="F211" s="544">
        <v>100150</v>
      </c>
      <c r="G211" s="544">
        <v>75790</v>
      </c>
      <c r="H211" s="544">
        <f>+E211-F211</f>
        <v>996317.54</v>
      </c>
      <c r="I211" s="543">
        <f>+F211/E211</f>
        <v>9.1338773239014445E-2</v>
      </c>
    </row>
    <row r="212" spans="1:9" ht="33.75" x14ac:dyDescent="0.25">
      <c r="A212" s="561">
        <v>361</v>
      </c>
      <c r="B212" s="565" t="s">
        <v>560</v>
      </c>
      <c r="C212" s="544">
        <f>C213</f>
        <v>907272</v>
      </c>
      <c r="D212" s="544">
        <f>D213</f>
        <v>-10500</v>
      </c>
      <c r="E212" s="544">
        <f>+C212+D212</f>
        <v>896772</v>
      </c>
      <c r="F212" s="544">
        <v>58360</v>
      </c>
      <c r="G212" s="544">
        <v>34000</v>
      </c>
      <c r="H212" s="544">
        <f>+E212-F212</f>
        <v>838412</v>
      </c>
      <c r="I212" s="543">
        <f>+F212/E212</f>
        <v>6.5077857024974012E-2</v>
      </c>
    </row>
    <row r="213" spans="1:9" ht="33.75" x14ac:dyDescent="0.25">
      <c r="A213" s="558">
        <v>36101</v>
      </c>
      <c r="B213" s="557" t="s">
        <v>560</v>
      </c>
      <c r="C213" s="545">
        <v>907272</v>
      </c>
      <c r="D213" s="545">
        <v>-10500</v>
      </c>
      <c r="E213" s="544">
        <f>+C213+D213</f>
        <v>896772</v>
      </c>
      <c r="F213" s="545">
        <v>58360</v>
      </c>
      <c r="G213" s="545">
        <v>34000</v>
      </c>
      <c r="H213" s="544">
        <f>+E213-F213</f>
        <v>838412</v>
      </c>
      <c r="I213" s="543">
        <f>+F213/E213</f>
        <v>6.5077857024974012E-2</v>
      </c>
    </row>
    <row r="214" spans="1:9" x14ac:dyDescent="0.25">
      <c r="A214" s="561">
        <v>364</v>
      </c>
      <c r="B214" s="565" t="s">
        <v>559</v>
      </c>
      <c r="C214" s="544">
        <f>C215</f>
        <v>402.6</v>
      </c>
      <c r="D214" s="544">
        <f>D215</f>
        <v>0</v>
      </c>
      <c r="E214" s="544">
        <f>+C214+D214</f>
        <v>402.6</v>
      </c>
      <c r="F214" s="544">
        <v>0</v>
      </c>
      <c r="G214" s="544">
        <v>0</v>
      </c>
      <c r="H214" s="544">
        <f>+E214-F214</f>
        <v>402.6</v>
      </c>
      <c r="I214" s="543">
        <f>+F214/E214</f>
        <v>0</v>
      </c>
    </row>
    <row r="215" spans="1:9" x14ac:dyDescent="0.25">
      <c r="A215" s="558">
        <v>36401</v>
      </c>
      <c r="B215" s="557" t="s">
        <v>559</v>
      </c>
      <c r="C215" s="545">
        <v>402.6</v>
      </c>
      <c r="D215" s="545">
        <v>0</v>
      </c>
      <c r="E215" s="544">
        <f>+C215+D215</f>
        <v>402.6</v>
      </c>
      <c r="F215" s="545">
        <v>0</v>
      </c>
      <c r="G215" s="545">
        <v>0</v>
      </c>
      <c r="H215" s="544">
        <f>+E215-F215</f>
        <v>402.6</v>
      </c>
      <c r="I215" s="543">
        <f>+F215/E215</f>
        <v>0</v>
      </c>
    </row>
    <row r="216" spans="1:9" ht="22.5" x14ac:dyDescent="0.25">
      <c r="A216" s="561">
        <v>365</v>
      </c>
      <c r="B216" s="565" t="s">
        <v>558</v>
      </c>
      <c r="C216" s="544">
        <f>C217</f>
        <v>0</v>
      </c>
      <c r="D216" s="544">
        <f>D217</f>
        <v>39500</v>
      </c>
      <c r="E216" s="544">
        <f>+C216+D216</f>
        <v>39500</v>
      </c>
      <c r="F216" s="545">
        <v>39440</v>
      </c>
      <c r="G216" s="545">
        <v>39440</v>
      </c>
      <c r="H216" s="544">
        <f>+E216-F216</f>
        <v>60</v>
      </c>
      <c r="I216" s="543">
        <f>+F216/E216</f>
        <v>0.99848101265822786</v>
      </c>
    </row>
    <row r="217" spans="1:9" ht="22.5" x14ac:dyDescent="0.25">
      <c r="A217" s="558">
        <v>36501</v>
      </c>
      <c r="B217" s="557" t="s">
        <v>558</v>
      </c>
      <c r="C217" s="545"/>
      <c r="D217" s="545">
        <v>39500</v>
      </c>
      <c r="E217" s="544">
        <f>+C217+D217</f>
        <v>39500</v>
      </c>
      <c r="F217" s="545">
        <v>39440</v>
      </c>
      <c r="G217" s="545">
        <v>39440</v>
      </c>
      <c r="H217" s="544">
        <f>+E217-F217</f>
        <v>60</v>
      </c>
      <c r="I217" s="543">
        <f>+F217/E217</f>
        <v>0.99848101265822786</v>
      </c>
    </row>
    <row r="218" spans="1:9" x14ac:dyDescent="0.25">
      <c r="A218" s="561">
        <v>369</v>
      </c>
      <c r="B218" s="565" t="s">
        <v>557</v>
      </c>
      <c r="C218" s="544">
        <f>C219</f>
        <v>159792.94</v>
      </c>
      <c r="D218" s="544">
        <f>D219</f>
        <v>0</v>
      </c>
      <c r="E218" s="544">
        <f>+C218+D218</f>
        <v>159792.94</v>
      </c>
      <c r="F218" s="544">
        <v>2350</v>
      </c>
      <c r="G218" s="544">
        <v>2350</v>
      </c>
      <c r="H218" s="544">
        <f>+E218-F218</f>
        <v>157442.94</v>
      </c>
      <c r="I218" s="543">
        <f>+F218/E218</f>
        <v>1.4706532090842061E-2</v>
      </c>
    </row>
    <row r="219" spans="1:9" x14ac:dyDescent="0.25">
      <c r="A219" s="558">
        <v>36901</v>
      </c>
      <c r="B219" s="557" t="s">
        <v>557</v>
      </c>
      <c r="C219" s="545">
        <v>159792.94</v>
      </c>
      <c r="D219" s="545">
        <v>0</v>
      </c>
      <c r="E219" s="544">
        <f>+C219+D219</f>
        <v>159792.94</v>
      </c>
      <c r="F219" s="545">
        <v>2350</v>
      </c>
      <c r="G219" s="545">
        <v>2350</v>
      </c>
      <c r="H219" s="544">
        <f>+E219-F219</f>
        <v>157442.94</v>
      </c>
      <c r="I219" s="543">
        <f>+F219/E219</f>
        <v>1.4706532090842061E-2</v>
      </c>
    </row>
    <row r="220" spans="1:9" x14ac:dyDescent="0.25">
      <c r="A220" s="562">
        <v>3700</v>
      </c>
      <c r="B220" s="565" t="s">
        <v>556</v>
      </c>
      <c r="C220" s="544">
        <f>C221+C224+C226+C229+C231+C233</f>
        <v>2980396.39</v>
      </c>
      <c r="D220" s="544">
        <f>D221+D224+D226+D229+D231+D233</f>
        <v>0</v>
      </c>
      <c r="E220" s="544">
        <f>+C220+D220</f>
        <v>2980396.39</v>
      </c>
      <c r="F220" s="544">
        <v>535169.13</v>
      </c>
      <c r="G220" s="544">
        <v>428114.13</v>
      </c>
      <c r="H220" s="544">
        <f>+E220-F220</f>
        <v>2445227.2600000002</v>
      </c>
      <c r="I220" s="543">
        <f>+F220/E220</f>
        <v>0.1795630714745296</v>
      </c>
    </row>
    <row r="221" spans="1:9" x14ac:dyDescent="0.25">
      <c r="A221" s="561">
        <v>371</v>
      </c>
      <c r="B221" s="565" t="s">
        <v>555</v>
      </c>
      <c r="C221" s="544">
        <f>C222</f>
        <v>648475.68000000005</v>
      </c>
      <c r="D221" s="544">
        <f>D222</f>
        <v>0</v>
      </c>
      <c r="E221" s="544">
        <f>+C221+D221</f>
        <v>648475.68000000005</v>
      </c>
      <c r="F221" s="544">
        <v>107455</v>
      </c>
      <c r="G221" s="544">
        <v>0</v>
      </c>
      <c r="H221" s="544">
        <f>+E221-F221</f>
        <v>541020.68000000005</v>
      </c>
      <c r="I221" s="543">
        <f>+F221/E221</f>
        <v>0.16570397828951733</v>
      </c>
    </row>
    <row r="222" spans="1:9" x14ac:dyDescent="0.25">
      <c r="A222" s="558">
        <v>37101</v>
      </c>
      <c r="B222" s="557" t="s">
        <v>554</v>
      </c>
      <c r="C222" s="545">
        <v>648475.68000000005</v>
      </c>
      <c r="D222" s="545">
        <v>0</v>
      </c>
      <c r="E222" s="544">
        <f>+C222+D222</f>
        <v>648475.68000000005</v>
      </c>
      <c r="F222" s="545">
        <v>107455</v>
      </c>
      <c r="G222" s="545">
        <v>0</v>
      </c>
      <c r="H222" s="544">
        <f>+E222-F222</f>
        <v>541020.68000000005</v>
      </c>
      <c r="I222" s="543">
        <f>+F222/E222</f>
        <v>0.16570397828951733</v>
      </c>
    </row>
    <row r="223" spans="1:9" hidden="1" x14ac:dyDescent="0.25">
      <c r="A223" s="558">
        <v>37104</v>
      </c>
      <c r="B223" s="557" t="s">
        <v>553</v>
      </c>
      <c r="C223" s="545">
        <v>0</v>
      </c>
      <c r="D223" s="545">
        <v>0</v>
      </c>
      <c r="E223" s="544">
        <f>+C223+D223</f>
        <v>0</v>
      </c>
      <c r="F223" s="545">
        <v>0</v>
      </c>
      <c r="G223" s="545">
        <v>0</v>
      </c>
      <c r="H223" s="544">
        <f>+E223-F223</f>
        <v>0</v>
      </c>
      <c r="I223" s="543"/>
    </row>
    <row r="224" spans="1:9" x14ac:dyDescent="0.25">
      <c r="A224" s="561">
        <v>372</v>
      </c>
      <c r="B224" s="565" t="s">
        <v>552</v>
      </c>
      <c r="C224" s="544">
        <f>C225</f>
        <v>76457</v>
      </c>
      <c r="D224" s="544">
        <f>D225</f>
        <v>0</v>
      </c>
      <c r="E224" s="544">
        <f>+C224+D224</f>
        <v>76457</v>
      </c>
      <c r="F224" s="544">
        <v>7957.02</v>
      </c>
      <c r="G224" s="544">
        <v>7957.02</v>
      </c>
      <c r="H224" s="544">
        <f>+E224-F224</f>
        <v>68499.98</v>
      </c>
      <c r="I224" s="543">
        <f>+F224/E224</f>
        <v>0.10407183122539468</v>
      </c>
    </row>
    <row r="225" spans="1:9" x14ac:dyDescent="0.25">
      <c r="A225" s="558">
        <v>37201</v>
      </c>
      <c r="B225" s="557" t="s">
        <v>552</v>
      </c>
      <c r="C225" s="545">
        <v>76457</v>
      </c>
      <c r="D225" s="545">
        <v>0</v>
      </c>
      <c r="E225" s="544">
        <f>+C225+D225</f>
        <v>76457</v>
      </c>
      <c r="F225" s="545">
        <v>7957.02</v>
      </c>
      <c r="G225" s="545">
        <v>7957.02</v>
      </c>
      <c r="H225" s="544">
        <f>+E225-F225</f>
        <v>68499.98</v>
      </c>
      <c r="I225" s="543">
        <f>+F225/E225</f>
        <v>0.10407183122539468</v>
      </c>
    </row>
    <row r="226" spans="1:9" x14ac:dyDescent="0.25">
      <c r="A226" s="561">
        <v>375</v>
      </c>
      <c r="B226" s="565" t="s">
        <v>551</v>
      </c>
      <c r="C226" s="544">
        <f>C227+C228</f>
        <v>2037458.71</v>
      </c>
      <c r="D226" s="544">
        <f>D227+D228</f>
        <v>0</v>
      </c>
      <c r="E226" s="544">
        <f>+C226+D226</f>
        <v>2037458.71</v>
      </c>
      <c r="F226" s="544">
        <v>387647.11</v>
      </c>
      <c r="G226" s="544">
        <v>388047.11</v>
      </c>
      <c r="H226" s="544">
        <f>+E226-F226</f>
        <v>1649811.6</v>
      </c>
      <c r="I226" s="543">
        <f>+F226/E226</f>
        <v>0.19026010593363141</v>
      </c>
    </row>
    <row r="227" spans="1:9" x14ac:dyDescent="0.25">
      <c r="A227" s="558">
        <v>37501</v>
      </c>
      <c r="B227" s="557" t="s">
        <v>551</v>
      </c>
      <c r="C227" s="545">
        <v>1328400</v>
      </c>
      <c r="D227" s="545">
        <v>0</v>
      </c>
      <c r="E227" s="544">
        <f>+C227+D227</f>
        <v>1328400</v>
      </c>
      <c r="F227" s="545">
        <v>237347.11</v>
      </c>
      <c r="G227" s="545">
        <v>237747.11</v>
      </c>
      <c r="H227" s="544">
        <f>+E227-F227</f>
        <v>1091052.8900000001</v>
      </c>
      <c r="I227" s="543">
        <f>+F227/E227</f>
        <v>0.1786714167419452</v>
      </c>
    </row>
    <row r="228" spans="1:9" x14ac:dyDescent="0.25">
      <c r="A228" s="558">
        <v>37502</v>
      </c>
      <c r="B228" s="557" t="s">
        <v>550</v>
      </c>
      <c r="C228" s="545">
        <v>709058.71</v>
      </c>
      <c r="D228" s="545">
        <v>0</v>
      </c>
      <c r="E228" s="544">
        <f>+C228+D228</f>
        <v>709058.71</v>
      </c>
      <c r="F228" s="545">
        <v>150300</v>
      </c>
      <c r="G228" s="545">
        <v>150300</v>
      </c>
      <c r="H228" s="544">
        <f>+E228-F228</f>
        <v>558758.71</v>
      </c>
      <c r="I228" s="543">
        <f>+F228/E228</f>
        <v>0.21197116385468279</v>
      </c>
    </row>
    <row r="229" spans="1:9" x14ac:dyDescent="0.25">
      <c r="A229" s="561">
        <v>376</v>
      </c>
      <c r="B229" s="565" t="s">
        <v>549</v>
      </c>
      <c r="C229" s="544">
        <f>C230</f>
        <v>148007</v>
      </c>
      <c r="D229" s="544">
        <f>D230</f>
        <v>0</v>
      </c>
      <c r="E229" s="544">
        <f>+C229+D229</f>
        <v>148007</v>
      </c>
      <c r="F229" s="544">
        <v>31084</v>
      </c>
      <c r="G229" s="544">
        <v>31084</v>
      </c>
      <c r="H229" s="544">
        <f>+E229-F229</f>
        <v>116923</v>
      </c>
      <c r="I229" s="543">
        <f>+F229/E229</f>
        <v>0.21001709378610472</v>
      </c>
    </row>
    <row r="230" spans="1:9" x14ac:dyDescent="0.25">
      <c r="A230" s="558">
        <v>37601</v>
      </c>
      <c r="B230" s="557" t="s">
        <v>549</v>
      </c>
      <c r="C230" s="545">
        <v>148007</v>
      </c>
      <c r="D230" s="545">
        <v>0</v>
      </c>
      <c r="E230" s="544">
        <f>+C230+D230</f>
        <v>148007</v>
      </c>
      <c r="F230" s="545">
        <v>31084</v>
      </c>
      <c r="G230" s="545">
        <v>31084</v>
      </c>
      <c r="H230" s="544">
        <f>+E230-F230</f>
        <v>116923</v>
      </c>
      <c r="I230" s="543">
        <f>+F230/E230</f>
        <v>0.21001709378610472</v>
      </c>
    </row>
    <row r="231" spans="1:9" x14ac:dyDescent="0.25">
      <c r="A231" s="561">
        <v>378</v>
      </c>
      <c r="B231" s="565" t="s">
        <v>548</v>
      </c>
      <c r="C231" s="544">
        <f>C232</f>
        <v>35626</v>
      </c>
      <c r="D231" s="544">
        <f>D232</f>
        <v>0</v>
      </c>
      <c r="E231" s="544">
        <f>+C231+D231</f>
        <v>35626</v>
      </c>
      <c r="F231" s="544">
        <v>0</v>
      </c>
      <c r="G231" s="544">
        <v>0</v>
      </c>
      <c r="H231" s="544">
        <f>+E231-F231</f>
        <v>35626</v>
      </c>
      <c r="I231" s="543">
        <f>+F231/E231</f>
        <v>0</v>
      </c>
    </row>
    <row r="232" spans="1:9" x14ac:dyDescent="0.25">
      <c r="A232" s="558">
        <v>37801</v>
      </c>
      <c r="B232" s="557" t="s">
        <v>548</v>
      </c>
      <c r="C232" s="545">
        <v>35626</v>
      </c>
      <c r="D232" s="545">
        <v>0</v>
      </c>
      <c r="E232" s="544">
        <f>+C232+D232</f>
        <v>35626</v>
      </c>
      <c r="F232" s="545">
        <v>0</v>
      </c>
      <c r="G232" s="545">
        <v>0</v>
      </c>
      <c r="H232" s="544">
        <f>+E232-F232</f>
        <v>35626</v>
      </c>
      <c r="I232" s="543">
        <f>+F232/E232</f>
        <v>0</v>
      </c>
    </row>
    <row r="233" spans="1:9" x14ac:dyDescent="0.25">
      <c r="A233" s="561">
        <v>379</v>
      </c>
      <c r="B233" s="565" t="s">
        <v>547</v>
      </c>
      <c r="C233" s="544">
        <f>C234</f>
        <v>34372</v>
      </c>
      <c r="D233" s="544">
        <f>D234</f>
        <v>0</v>
      </c>
      <c r="E233" s="544">
        <f>+C233+D233</f>
        <v>34372</v>
      </c>
      <c r="F233" s="544">
        <v>1026</v>
      </c>
      <c r="G233" s="544">
        <v>1026</v>
      </c>
      <c r="H233" s="544">
        <f>+E233-F233</f>
        <v>33346</v>
      </c>
      <c r="I233" s="543">
        <f>+F233/E233</f>
        <v>2.9849877807517747E-2</v>
      </c>
    </row>
    <row r="234" spans="1:9" x14ac:dyDescent="0.25">
      <c r="A234" s="558">
        <v>37901</v>
      </c>
      <c r="B234" s="557" t="s">
        <v>546</v>
      </c>
      <c r="C234" s="545">
        <v>34372</v>
      </c>
      <c r="D234" s="545">
        <v>0</v>
      </c>
      <c r="E234" s="544">
        <f>+C234+D234</f>
        <v>34372</v>
      </c>
      <c r="F234" s="545">
        <v>1026</v>
      </c>
      <c r="G234" s="545">
        <v>1026</v>
      </c>
      <c r="H234" s="544">
        <f>+E234-F234</f>
        <v>33346</v>
      </c>
      <c r="I234" s="543">
        <f>+F234/E234</f>
        <v>2.9849877807517747E-2</v>
      </c>
    </row>
    <row r="235" spans="1:9" x14ac:dyDescent="0.25">
      <c r="A235" s="562">
        <v>3800</v>
      </c>
      <c r="B235" s="565" t="s">
        <v>545</v>
      </c>
      <c r="C235" s="544">
        <f>C236+C240</f>
        <v>83139</v>
      </c>
      <c r="D235" s="544">
        <f>D236+D240</f>
        <v>0</v>
      </c>
      <c r="E235" s="544">
        <f>+C235+D235</f>
        <v>83139</v>
      </c>
      <c r="F235" s="544">
        <v>2186</v>
      </c>
      <c r="G235" s="544">
        <v>2186</v>
      </c>
      <c r="H235" s="544">
        <f>+E235-F235</f>
        <v>80953</v>
      </c>
      <c r="I235" s="543">
        <f>+F235/E235</f>
        <v>2.6293316012942183E-2</v>
      </c>
    </row>
    <row r="236" spans="1:9" x14ac:dyDescent="0.25">
      <c r="A236" s="561">
        <v>381</v>
      </c>
      <c r="B236" s="565" t="s">
        <v>544</v>
      </c>
      <c r="C236" s="544">
        <f>C237</f>
        <v>12750</v>
      </c>
      <c r="D236" s="544">
        <f>D237</f>
        <v>0</v>
      </c>
      <c r="E236" s="544">
        <f>+C236+D236</f>
        <v>12750</v>
      </c>
      <c r="F236" s="544">
        <v>2186</v>
      </c>
      <c r="G236" s="544">
        <v>2186</v>
      </c>
      <c r="H236" s="544">
        <f>+E236-F236</f>
        <v>10564</v>
      </c>
      <c r="I236" s="543">
        <f>+F236/E236</f>
        <v>0.17145098039215687</v>
      </c>
    </row>
    <row r="237" spans="1:9" x14ac:dyDescent="0.25">
      <c r="A237" s="558">
        <v>38101</v>
      </c>
      <c r="B237" s="557" t="s">
        <v>544</v>
      </c>
      <c r="C237" s="545">
        <v>12750</v>
      </c>
      <c r="D237" s="545">
        <v>0</v>
      </c>
      <c r="E237" s="544">
        <f>+C237+D237</f>
        <v>12750</v>
      </c>
      <c r="F237" s="545">
        <v>2186</v>
      </c>
      <c r="G237" s="545">
        <v>2186</v>
      </c>
      <c r="H237" s="544">
        <f>+E237-F237</f>
        <v>10564</v>
      </c>
      <c r="I237" s="543">
        <f>+F237/E237</f>
        <v>0.17145098039215687</v>
      </c>
    </row>
    <row r="238" spans="1:9" hidden="1" x14ac:dyDescent="0.25">
      <c r="A238" s="561">
        <v>382</v>
      </c>
      <c r="B238" s="565" t="s">
        <v>543</v>
      </c>
      <c r="C238" s="544">
        <v>0</v>
      </c>
      <c r="D238" s="544">
        <v>0</v>
      </c>
      <c r="E238" s="544">
        <f>+C238+D238</f>
        <v>0</v>
      </c>
      <c r="F238" s="544">
        <v>0</v>
      </c>
      <c r="G238" s="544">
        <v>0</v>
      </c>
      <c r="H238" s="544">
        <f>+E238-F238</f>
        <v>0</v>
      </c>
      <c r="I238" s="543"/>
    </row>
    <row r="239" spans="1:9" hidden="1" x14ac:dyDescent="0.25">
      <c r="A239" s="558">
        <v>38201</v>
      </c>
      <c r="B239" s="557" t="s">
        <v>543</v>
      </c>
      <c r="C239" s="545">
        <v>0</v>
      </c>
      <c r="D239" s="545">
        <v>0</v>
      </c>
      <c r="E239" s="544">
        <f>+C239+D239</f>
        <v>0</v>
      </c>
      <c r="F239" s="545">
        <v>0</v>
      </c>
      <c r="G239" s="545">
        <v>0</v>
      </c>
      <c r="H239" s="544">
        <f>+E239-F239</f>
        <v>0</v>
      </c>
      <c r="I239" s="543"/>
    </row>
    <row r="240" spans="1:9" x14ac:dyDescent="0.25">
      <c r="A240" s="561">
        <v>383</v>
      </c>
      <c r="B240" s="565" t="s">
        <v>542</v>
      </c>
      <c r="C240" s="544">
        <f>C241</f>
        <v>70389</v>
      </c>
      <c r="D240" s="544">
        <f>D241</f>
        <v>0</v>
      </c>
      <c r="E240" s="544">
        <f>+C240+D240</f>
        <v>70389</v>
      </c>
      <c r="F240" s="544">
        <v>0</v>
      </c>
      <c r="G240" s="544">
        <v>0</v>
      </c>
      <c r="H240" s="544">
        <f>+E240-F240</f>
        <v>70389</v>
      </c>
      <c r="I240" s="543">
        <f>+F240/E240</f>
        <v>0</v>
      </c>
    </row>
    <row r="241" spans="1:9" x14ac:dyDescent="0.25">
      <c r="A241" s="558">
        <v>38301</v>
      </c>
      <c r="B241" s="557" t="s">
        <v>542</v>
      </c>
      <c r="C241" s="545">
        <v>70389</v>
      </c>
      <c r="D241" s="545">
        <v>0</v>
      </c>
      <c r="E241" s="544">
        <f>+C241+D241</f>
        <v>70389</v>
      </c>
      <c r="F241" s="545">
        <v>0</v>
      </c>
      <c r="G241" s="545">
        <v>0</v>
      </c>
      <c r="H241" s="544">
        <f>+E241-F241</f>
        <v>70389</v>
      </c>
      <c r="I241" s="543">
        <f>+F241/E241</f>
        <v>0</v>
      </c>
    </row>
    <row r="242" spans="1:9" hidden="1" x14ac:dyDescent="0.25">
      <c r="A242" s="561">
        <v>385</v>
      </c>
      <c r="B242" s="565" t="s">
        <v>541</v>
      </c>
      <c r="C242" s="544">
        <v>0</v>
      </c>
      <c r="D242" s="544">
        <v>0</v>
      </c>
      <c r="E242" s="544">
        <f>+C242+D242</f>
        <v>0</v>
      </c>
      <c r="F242" s="544">
        <v>0</v>
      </c>
      <c r="G242" s="544">
        <v>0</v>
      </c>
      <c r="H242" s="544">
        <f>+E242-F242</f>
        <v>0</v>
      </c>
      <c r="I242" s="543"/>
    </row>
    <row r="243" spans="1:9" hidden="1" x14ac:dyDescent="0.25">
      <c r="A243" s="558">
        <v>38501</v>
      </c>
      <c r="B243" s="557" t="s">
        <v>540</v>
      </c>
      <c r="C243" s="545">
        <v>0</v>
      </c>
      <c r="D243" s="545">
        <v>0</v>
      </c>
      <c r="E243" s="544">
        <f>+C243+D243</f>
        <v>0</v>
      </c>
      <c r="F243" s="545">
        <v>0</v>
      </c>
      <c r="G243" s="545">
        <v>0</v>
      </c>
      <c r="H243" s="544">
        <f>+E243-F243</f>
        <v>0</v>
      </c>
      <c r="I243" s="543"/>
    </row>
    <row r="244" spans="1:9" x14ac:dyDescent="0.25">
      <c r="A244" s="562">
        <v>3900</v>
      </c>
      <c r="B244" s="565" t="s">
        <v>539</v>
      </c>
      <c r="C244" s="544">
        <f>C245+C247+C249</f>
        <v>7030524.5200000005</v>
      </c>
      <c r="D244" s="544">
        <f>D245+D247+D249</f>
        <v>28968775</v>
      </c>
      <c r="E244" s="544">
        <f>+C244+D244</f>
        <v>35999299.520000003</v>
      </c>
      <c r="F244" s="544">
        <v>3981800.5100000002</v>
      </c>
      <c r="G244" s="544">
        <v>413172.45</v>
      </c>
      <c r="H244" s="544">
        <f>+E244-F244</f>
        <v>32017499.010000002</v>
      </c>
      <c r="I244" s="543">
        <f>+F244/E244</f>
        <v>0.11060772190269551</v>
      </c>
    </row>
    <row r="245" spans="1:9" x14ac:dyDescent="0.25">
      <c r="A245" s="561">
        <v>392</v>
      </c>
      <c r="B245" s="565" t="s">
        <v>538</v>
      </c>
      <c r="C245" s="544">
        <f>C246</f>
        <v>4923769.57</v>
      </c>
      <c r="D245" s="544">
        <f>D246</f>
        <v>29135175</v>
      </c>
      <c r="E245" s="544">
        <f>+C245+D245</f>
        <v>34058944.57</v>
      </c>
      <c r="F245" s="544">
        <v>3950851.9800000004</v>
      </c>
      <c r="G245" s="544">
        <v>382223.92</v>
      </c>
      <c r="H245" s="544">
        <f>+E245-F245</f>
        <v>30108092.59</v>
      </c>
      <c r="I245" s="543">
        <f>+F245/E245</f>
        <v>0.11600042308651023</v>
      </c>
    </row>
    <row r="246" spans="1:9" x14ac:dyDescent="0.25">
      <c r="A246" s="558">
        <v>39201</v>
      </c>
      <c r="B246" s="557" t="s">
        <v>538</v>
      </c>
      <c r="C246" s="545">
        <v>4923769.57</v>
      </c>
      <c r="D246" s="545">
        <f>39014295-9879120</f>
        <v>29135175</v>
      </c>
      <c r="E246" s="544">
        <f>+C246+D246</f>
        <v>34058944.57</v>
      </c>
      <c r="F246" s="545">
        <v>3950851.9800000004</v>
      </c>
      <c r="G246" s="545">
        <v>382223.92</v>
      </c>
      <c r="H246" s="544">
        <f>+E246-F246</f>
        <v>30108092.59</v>
      </c>
      <c r="I246" s="543">
        <f>+F246/E246</f>
        <v>0.11600042308651023</v>
      </c>
    </row>
    <row r="247" spans="1:9" x14ac:dyDescent="0.25">
      <c r="A247" s="561">
        <v>395</v>
      </c>
      <c r="B247" s="565" t="s">
        <v>537</v>
      </c>
      <c r="C247" s="544">
        <f>C248</f>
        <v>2099254.9500000002</v>
      </c>
      <c r="D247" s="544">
        <f>D248</f>
        <v>-166400</v>
      </c>
      <c r="E247" s="544">
        <f>+C247+D247</f>
        <v>1932854.9500000002</v>
      </c>
      <c r="F247" s="544">
        <v>30948.53</v>
      </c>
      <c r="G247" s="544">
        <v>30948.53</v>
      </c>
      <c r="H247" s="544">
        <f>+E247-F247</f>
        <v>1901906.4200000002</v>
      </c>
      <c r="I247" s="543">
        <f>+F247/E247</f>
        <v>1.6011822304617319E-2</v>
      </c>
    </row>
    <row r="248" spans="1:9" x14ac:dyDescent="0.25">
      <c r="A248" s="558">
        <v>39501</v>
      </c>
      <c r="B248" s="557" t="s">
        <v>537</v>
      </c>
      <c r="C248" s="545">
        <v>2099254.9500000002</v>
      </c>
      <c r="D248" s="545">
        <v>-166400</v>
      </c>
      <c r="E248" s="544">
        <f>+C248+D248</f>
        <v>1932854.9500000002</v>
      </c>
      <c r="F248" s="545">
        <v>30948.53</v>
      </c>
      <c r="G248" s="545">
        <v>30948.53</v>
      </c>
      <c r="H248" s="544">
        <f>+E248-F248</f>
        <v>1901906.4200000002</v>
      </c>
      <c r="I248" s="543">
        <f>+F248/E248</f>
        <v>1.6011822304617319E-2</v>
      </c>
    </row>
    <row r="249" spans="1:9" x14ac:dyDescent="0.25">
      <c r="A249" s="561">
        <v>396</v>
      </c>
      <c r="B249" s="565" t="s">
        <v>536</v>
      </c>
      <c r="C249" s="544">
        <f>C250</f>
        <v>7500</v>
      </c>
      <c r="D249" s="544">
        <f>D250</f>
        <v>0</v>
      </c>
      <c r="E249" s="544">
        <f>+C249+D249</f>
        <v>7500</v>
      </c>
      <c r="F249" s="544">
        <v>0</v>
      </c>
      <c r="G249" s="544">
        <v>0</v>
      </c>
      <c r="H249" s="544">
        <f>+E249-F249</f>
        <v>7500</v>
      </c>
      <c r="I249" s="543">
        <f>+F249/E249</f>
        <v>0</v>
      </c>
    </row>
    <row r="250" spans="1:9" x14ac:dyDescent="0.25">
      <c r="A250" s="558">
        <v>39601</v>
      </c>
      <c r="B250" s="557" t="s">
        <v>535</v>
      </c>
      <c r="C250" s="545">
        <v>7500</v>
      </c>
      <c r="D250" s="545">
        <v>0</v>
      </c>
      <c r="E250" s="544">
        <f>+C250+D250</f>
        <v>7500</v>
      </c>
      <c r="F250" s="545">
        <v>0</v>
      </c>
      <c r="G250" s="545">
        <v>0</v>
      </c>
      <c r="H250" s="544">
        <f>+E250-F250</f>
        <v>7500</v>
      </c>
      <c r="I250" s="543">
        <f>+F250/E250</f>
        <v>0</v>
      </c>
    </row>
    <row r="251" spans="1:9" x14ac:dyDescent="0.25">
      <c r="A251" s="558"/>
      <c r="B251" s="557"/>
      <c r="C251" s="545">
        <v>0</v>
      </c>
      <c r="D251" s="545">
        <v>0</v>
      </c>
      <c r="E251" s="544">
        <f>+C251+D251</f>
        <v>0</v>
      </c>
      <c r="F251" s="545">
        <v>0</v>
      </c>
      <c r="G251" s="545">
        <v>0</v>
      </c>
      <c r="H251" s="544">
        <f>+E251-F251</f>
        <v>0</v>
      </c>
      <c r="I251" s="543"/>
    </row>
    <row r="252" spans="1:9" ht="22.5" x14ac:dyDescent="0.25">
      <c r="A252" s="554">
        <v>4000</v>
      </c>
      <c r="B252" s="565" t="s">
        <v>534</v>
      </c>
      <c r="C252" s="544">
        <f>C258</f>
        <v>0</v>
      </c>
      <c r="D252" s="544">
        <f>D258</f>
        <v>18547015.920000002</v>
      </c>
      <c r="E252" s="544">
        <f>+C252+D252</f>
        <v>18547015.920000002</v>
      </c>
      <c r="F252" s="544">
        <v>18459828</v>
      </c>
      <c r="G252" s="544">
        <v>18459828</v>
      </c>
      <c r="H252" s="544">
        <f>+E252-F252</f>
        <v>87187.920000001788</v>
      </c>
      <c r="I252" s="543">
        <f>+F252/E252</f>
        <v>0.9952990863664497</v>
      </c>
    </row>
    <row r="253" spans="1:9" ht="22.5" hidden="1" x14ac:dyDescent="0.25">
      <c r="A253" s="562">
        <v>4100</v>
      </c>
      <c r="B253" s="565" t="s">
        <v>533</v>
      </c>
      <c r="C253" s="544">
        <v>0</v>
      </c>
      <c r="D253" s="544">
        <v>0</v>
      </c>
      <c r="E253" s="544">
        <f>+C253+D253</f>
        <v>0</v>
      </c>
      <c r="F253" s="544">
        <v>0</v>
      </c>
      <c r="G253" s="544">
        <v>0</v>
      </c>
      <c r="H253" s="544">
        <f>+E253-F253</f>
        <v>0</v>
      </c>
      <c r="I253" s="543"/>
    </row>
    <row r="254" spans="1:9" hidden="1" x14ac:dyDescent="0.25">
      <c r="A254" s="561">
        <v>411</v>
      </c>
      <c r="B254" s="565" t="s">
        <v>532</v>
      </c>
      <c r="C254" s="544">
        <v>0</v>
      </c>
      <c r="D254" s="544">
        <v>0</v>
      </c>
      <c r="E254" s="544">
        <f>+C254+D254</f>
        <v>0</v>
      </c>
      <c r="F254" s="544">
        <v>0</v>
      </c>
      <c r="G254" s="544">
        <v>0</v>
      </c>
      <c r="H254" s="544">
        <f>+E254-F254</f>
        <v>0</v>
      </c>
      <c r="I254" s="543"/>
    </row>
    <row r="255" spans="1:9" ht="22.5" hidden="1" x14ac:dyDescent="0.25">
      <c r="A255" s="558">
        <v>41104</v>
      </c>
      <c r="B255" s="565" t="s">
        <v>531</v>
      </c>
      <c r="C255" s="544">
        <v>0</v>
      </c>
      <c r="D255" s="544">
        <v>0</v>
      </c>
      <c r="E255" s="544">
        <f>+C255+D255</f>
        <v>0</v>
      </c>
      <c r="F255" s="544">
        <v>0</v>
      </c>
      <c r="G255" s="544">
        <v>0</v>
      </c>
      <c r="H255" s="544">
        <f>+E255-F255</f>
        <v>0</v>
      </c>
      <c r="I255" s="543"/>
    </row>
    <row r="256" spans="1:9" ht="22.5" hidden="1" x14ac:dyDescent="0.25">
      <c r="A256" s="561">
        <v>415</v>
      </c>
      <c r="B256" s="565" t="s">
        <v>530</v>
      </c>
      <c r="C256" s="544">
        <v>0</v>
      </c>
      <c r="D256" s="544">
        <v>0</v>
      </c>
      <c r="E256" s="544">
        <f>+C256+D256</f>
        <v>0</v>
      </c>
      <c r="F256" s="544">
        <v>0</v>
      </c>
      <c r="G256" s="544">
        <v>0</v>
      </c>
      <c r="H256" s="544">
        <f>+E256-F256</f>
        <v>0</v>
      </c>
      <c r="I256" s="543"/>
    </row>
    <row r="257" spans="1:9" hidden="1" x14ac:dyDescent="0.25">
      <c r="A257" s="558">
        <v>41502</v>
      </c>
      <c r="B257" s="557" t="s">
        <v>529</v>
      </c>
      <c r="C257" s="544">
        <v>0</v>
      </c>
      <c r="D257" s="544">
        <v>0</v>
      </c>
      <c r="E257" s="544">
        <f>+C257+D257</f>
        <v>0</v>
      </c>
      <c r="F257" s="544">
        <v>0</v>
      </c>
      <c r="G257" s="544">
        <v>0</v>
      </c>
      <c r="H257" s="544">
        <f>+E257-F257</f>
        <v>0</v>
      </c>
      <c r="I257" s="543"/>
    </row>
    <row r="258" spans="1:9" x14ac:dyDescent="0.25">
      <c r="A258" s="562">
        <v>4200</v>
      </c>
      <c r="B258" s="565" t="s">
        <v>528</v>
      </c>
      <c r="C258" s="544">
        <f>C259</f>
        <v>0</v>
      </c>
      <c r="D258" s="544">
        <f>D259</f>
        <v>18547015.920000002</v>
      </c>
      <c r="E258" s="544">
        <f>+C258+D258</f>
        <v>18547015.920000002</v>
      </c>
      <c r="F258" s="544">
        <v>18459828</v>
      </c>
      <c r="G258" s="544">
        <v>18459828</v>
      </c>
      <c r="H258" s="544">
        <f>+E258-F258</f>
        <v>87187.920000001788</v>
      </c>
      <c r="I258" s="543">
        <f>+F258/E258</f>
        <v>0.9952990863664497</v>
      </c>
    </row>
    <row r="259" spans="1:9" ht="22.5" x14ac:dyDescent="0.25">
      <c r="A259" s="561">
        <v>424</v>
      </c>
      <c r="B259" s="565" t="s">
        <v>527</v>
      </c>
      <c r="C259" s="544">
        <f>C260</f>
        <v>0</v>
      </c>
      <c r="D259" s="544">
        <f>D260</f>
        <v>18547015.920000002</v>
      </c>
      <c r="E259" s="544">
        <f>+C259+D259</f>
        <v>18547015.920000002</v>
      </c>
      <c r="F259" s="544">
        <v>18459828</v>
      </c>
      <c r="G259" s="544">
        <v>18459828</v>
      </c>
      <c r="H259" s="544">
        <f>+E259-F259</f>
        <v>87187.920000001788</v>
      </c>
      <c r="I259" s="543">
        <f>+F259/E259</f>
        <v>0.9952990863664497</v>
      </c>
    </row>
    <row r="260" spans="1:9" ht="22.5" x14ac:dyDescent="0.25">
      <c r="A260" s="558">
        <v>42401</v>
      </c>
      <c r="B260" s="557" t="s">
        <v>527</v>
      </c>
      <c r="C260" s="545">
        <v>0</v>
      </c>
      <c r="D260" s="545">
        <v>18547015.920000002</v>
      </c>
      <c r="E260" s="545">
        <f>+C260+D260</f>
        <v>18547015.920000002</v>
      </c>
      <c r="F260" s="545">
        <v>18459828</v>
      </c>
      <c r="G260" s="545">
        <v>18459828</v>
      </c>
      <c r="H260" s="544">
        <f>+E260-F260</f>
        <v>87187.920000001788</v>
      </c>
      <c r="I260" s="543">
        <f>+F260/E260</f>
        <v>0.9952990863664497</v>
      </c>
    </row>
    <row r="261" spans="1:9" hidden="1" x14ac:dyDescent="0.25">
      <c r="A261" s="562">
        <v>4300</v>
      </c>
      <c r="B261" s="565" t="s">
        <v>526</v>
      </c>
      <c r="C261" s="544">
        <v>0</v>
      </c>
      <c r="D261" s="544">
        <v>0</v>
      </c>
      <c r="E261" s="544">
        <f>+C261+D261</f>
        <v>0</v>
      </c>
      <c r="F261" s="544">
        <v>0</v>
      </c>
      <c r="G261" s="544">
        <v>0</v>
      </c>
      <c r="H261" s="544">
        <f>+E261-F261</f>
        <v>0</v>
      </c>
      <c r="I261" s="543"/>
    </row>
    <row r="262" spans="1:9" hidden="1" x14ac:dyDescent="0.25">
      <c r="A262" s="558">
        <v>43401</v>
      </c>
      <c r="B262" s="557" t="s">
        <v>525</v>
      </c>
      <c r="C262" s="545">
        <v>0</v>
      </c>
      <c r="D262" s="545">
        <v>0</v>
      </c>
      <c r="E262" s="544">
        <f>+C262+D262</f>
        <v>0</v>
      </c>
      <c r="F262" s="545">
        <v>0</v>
      </c>
      <c r="G262" s="545">
        <v>0</v>
      </c>
      <c r="H262" s="544">
        <f>+E262-F262</f>
        <v>0</v>
      </c>
      <c r="I262" s="543"/>
    </row>
    <row r="263" spans="1:9" hidden="1" x14ac:dyDescent="0.25">
      <c r="A263" s="562">
        <v>4400</v>
      </c>
      <c r="B263" s="565" t="s">
        <v>524</v>
      </c>
      <c r="C263" s="544">
        <v>0</v>
      </c>
      <c r="D263" s="544">
        <v>0</v>
      </c>
      <c r="E263" s="544">
        <f>+C263+D263</f>
        <v>0</v>
      </c>
      <c r="F263" s="544">
        <v>0</v>
      </c>
      <c r="G263" s="544">
        <v>0</v>
      </c>
      <c r="H263" s="544">
        <f>+E263-F263</f>
        <v>0</v>
      </c>
      <c r="I263" s="543"/>
    </row>
    <row r="264" spans="1:9" ht="22.5" hidden="1" x14ac:dyDescent="0.25">
      <c r="A264" s="561">
        <v>442</v>
      </c>
      <c r="B264" s="565" t="s">
        <v>523</v>
      </c>
      <c r="C264" s="544">
        <v>0</v>
      </c>
      <c r="D264" s="544">
        <v>0</v>
      </c>
      <c r="E264" s="544">
        <f>+C264+D264</f>
        <v>0</v>
      </c>
      <c r="F264" s="544">
        <v>0</v>
      </c>
      <c r="G264" s="544">
        <v>0</v>
      </c>
      <c r="H264" s="544">
        <f>+E264-F264</f>
        <v>0</v>
      </c>
      <c r="I264" s="543"/>
    </row>
    <row r="265" spans="1:9" hidden="1" x14ac:dyDescent="0.25">
      <c r="A265" s="558">
        <v>44204</v>
      </c>
      <c r="B265" s="557" t="s">
        <v>522</v>
      </c>
      <c r="C265" s="544">
        <v>0</v>
      </c>
      <c r="D265" s="544">
        <v>0</v>
      </c>
      <c r="E265" s="544">
        <f>+C265+D265</f>
        <v>0</v>
      </c>
      <c r="F265" s="544">
        <v>0</v>
      </c>
      <c r="G265" s="544">
        <v>0</v>
      </c>
      <c r="H265" s="544">
        <f>+E265-F265</f>
        <v>0</v>
      </c>
      <c r="I265" s="543"/>
    </row>
    <row r="266" spans="1:9" hidden="1" x14ac:dyDescent="0.25">
      <c r="A266" s="562">
        <v>4800</v>
      </c>
      <c r="B266" s="565" t="s">
        <v>521</v>
      </c>
      <c r="C266" s="544">
        <v>0</v>
      </c>
      <c r="D266" s="544">
        <v>0</v>
      </c>
      <c r="E266" s="544">
        <f>+C266+D266</f>
        <v>0</v>
      </c>
      <c r="F266" s="544">
        <v>0</v>
      </c>
      <c r="G266" s="544">
        <v>0</v>
      </c>
      <c r="H266" s="544">
        <f>+E266-F266</f>
        <v>0</v>
      </c>
      <c r="I266" s="543"/>
    </row>
    <row r="267" spans="1:9" hidden="1" x14ac:dyDescent="0.25">
      <c r="A267" s="561">
        <v>481</v>
      </c>
      <c r="B267" s="565" t="s">
        <v>520</v>
      </c>
      <c r="C267" s="544">
        <v>0</v>
      </c>
      <c r="D267" s="544">
        <v>0</v>
      </c>
      <c r="E267" s="544">
        <f>+C267+D267</f>
        <v>0</v>
      </c>
      <c r="F267" s="544">
        <v>0</v>
      </c>
      <c r="G267" s="544">
        <v>0</v>
      </c>
      <c r="H267" s="544">
        <f>+E267-F267</f>
        <v>0</v>
      </c>
      <c r="I267" s="543"/>
    </row>
    <row r="268" spans="1:9" hidden="1" x14ac:dyDescent="0.25">
      <c r="A268" s="558">
        <v>48101</v>
      </c>
      <c r="B268" s="557" t="s">
        <v>520</v>
      </c>
      <c r="C268" s="545">
        <v>0</v>
      </c>
      <c r="D268" s="545">
        <v>0</v>
      </c>
      <c r="E268" s="544">
        <f>+C268+D268</f>
        <v>0</v>
      </c>
      <c r="F268" s="545">
        <v>0</v>
      </c>
      <c r="G268" s="545">
        <v>0</v>
      </c>
      <c r="H268" s="544">
        <f>+E268-F268</f>
        <v>0</v>
      </c>
      <c r="I268" s="543"/>
    </row>
    <row r="269" spans="1:9" x14ac:dyDescent="0.25">
      <c r="A269" s="558"/>
      <c r="B269" s="557"/>
      <c r="C269" s="545">
        <v>0</v>
      </c>
      <c r="D269" s="545">
        <v>0</v>
      </c>
      <c r="E269" s="544">
        <f>+C269+D269</f>
        <v>0</v>
      </c>
      <c r="F269" s="545">
        <v>0</v>
      </c>
      <c r="G269" s="545">
        <v>0</v>
      </c>
      <c r="H269" s="544">
        <f>+E269-F269</f>
        <v>0</v>
      </c>
      <c r="I269" s="543"/>
    </row>
    <row r="270" spans="1:9" x14ac:dyDescent="0.25">
      <c r="A270" s="554">
        <v>5000</v>
      </c>
      <c r="B270" s="565" t="s">
        <v>519</v>
      </c>
      <c r="C270" s="544">
        <f>C271+C288+C293</f>
        <v>5311212</v>
      </c>
      <c r="D270" s="544">
        <f>D271+D288+D293</f>
        <v>3600</v>
      </c>
      <c r="E270" s="544">
        <f>+C270+D270</f>
        <v>5314812</v>
      </c>
      <c r="F270" s="544">
        <v>37908.800000000003</v>
      </c>
      <c r="G270" s="544">
        <v>37908.800000000003</v>
      </c>
      <c r="H270" s="544">
        <f>+E270-F270</f>
        <v>5276903.2</v>
      </c>
      <c r="I270" s="543">
        <f>+F270/E270</f>
        <v>7.1326699796719064E-3</v>
      </c>
    </row>
    <row r="271" spans="1:9" x14ac:dyDescent="0.25">
      <c r="A271" s="562">
        <v>5100</v>
      </c>
      <c r="B271" s="565" t="s">
        <v>518</v>
      </c>
      <c r="C271" s="544">
        <f>C272+C276+C278</f>
        <v>1029997</v>
      </c>
      <c r="D271" s="544">
        <f>D272+D276+D278</f>
        <v>3600</v>
      </c>
      <c r="E271" s="544">
        <f>+C271+D271</f>
        <v>1033597</v>
      </c>
      <c r="F271" s="544">
        <v>0</v>
      </c>
      <c r="G271" s="544">
        <v>0</v>
      </c>
      <c r="H271" s="544">
        <f>+E271-F271</f>
        <v>1033597</v>
      </c>
      <c r="I271" s="543">
        <f>+F271/E271</f>
        <v>0</v>
      </c>
    </row>
    <row r="272" spans="1:9" x14ac:dyDescent="0.25">
      <c r="A272" s="561">
        <v>511</v>
      </c>
      <c r="B272" s="565" t="s">
        <v>517</v>
      </c>
      <c r="C272" s="544">
        <f>C273</f>
        <v>500000</v>
      </c>
      <c r="D272" s="544">
        <f>D273</f>
        <v>0</v>
      </c>
      <c r="E272" s="544">
        <f>+C272+D272</f>
        <v>500000</v>
      </c>
      <c r="F272" s="544">
        <v>0</v>
      </c>
      <c r="G272" s="544">
        <v>0</v>
      </c>
      <c r="H272" s="544">
        <f>+E272-F272</f>
        <v>500000</v>
      </c>
      <c r="I272" s="543">
        <f>+F272/E272</f>
        <v>0</v>
      </c>
    </row>
    <row r="273" spans="1:9" x14ac:dyDescent="0.25">
      <c r="A273" s="558">
        <v>51101</v>
      </c>
      <c r="B273" s="557" t="s">
        <v>516</v>
      </c>
      <c r="C273" s="545">
        <v>500000</v>
      </c>
      <c r="D273" s="545">
        <v>0</v>
      </c>
      <c r="E273" s="545">
        <f>+C273+D273</f>
        <v>500000</v>
      </c>
      <c r="F273" s="545">
        <v>0</v>
      </c>
      <c r="G273" s="545">
        <v>0</v>
      </c>
      <c r="H273" s="544">
        <f>+E273-F273</f>
        <v>500000</v>
      </c>
      <c r="I273" s="543">
        <f>+F273/E273</f>
        <v>0</v>
      </c>
    </row>
    <row r="274" spans="1:9" hidden="1" x14ac:dyDescent="0.25">
      <c r="A274" s="561">
        <v>512</v>
      </c>
      <c r="B274" s="565" t="s">
        <v>515</v>
      </c>
      <c r="C274" s="544">
        <v>0</v>
      </c>
      <c r="D274" s="544">
        <v>0</v>
      </c>
      <c r="E274" s="544">
        <f>+C274+D274</f>
        <v>0</v>
      </c>
      <c r="F274" s="544">
        <v>0</v>
      </c>
      <c r="G274" s="544">
        <v>0</v>
      </c>
      <c r="H274" s="544">
        <f>+E274-F274</f>
        <v>0</v>
      </c>
      <c r="I274" s="543"/>
    </row>
    <row r="275" spans="1:9" hidden="1" x14ac:dyDescent="0.25">
      <c r="A275" s="558">
        <v>51201</v>
      </c>
      <c r="B275" s="557" t="s">
        <v>515</v>
      </c>
      <c r="C275" s="545">
        <v>0</v>
      </c>
      <c r="D275" s="545">
        <v>0</v>
      </c>
      <c r="E275" s="544">
        <f>+C275+D275</f>
        <v>0</v>
      </c>
      <c r="F275" s="545">
        <v>0</v>
      </c>
      <c r="G275" s="545">
        <v>0</v>
      </c>
      <c r="H275" s="544">
        <f>+E275-F275</f>
        <v>0</v>
      </c>
      <c r="I275" s="543"/>
    </row>
    <row r="276" spans="1:9" ht="22.5" x14ac:dyDescent="0.25">
      <c r="A276" s="561">
        <v>515</v>
      </c>
      <c r="B276" s="565" t="s">
        <v>514</v>
      </c>
      <c r="C276" s="544">
        <f>C277</f>
        <v>500000</v>
      </c>
      <c r="D276" s="544">
        <f>D277</f>
        <v>3600</v>
      </c>
      <c r="E276" s="544">
        <f>+C276+D276</f>
        <v>503600</v>
      </c>
      <c r="F276" s="544">
        <v>0</v>
      </c>
      <c r="G276" s="544">
        <v>0</v>
      </c>
      <c r="H276" s="544">
        <f>+E276-F276</f>
        <v>503600</v>
      </c>
      <c r="I276" s="543">
        <f>+F276/E276</f>
        <v>0</v>
      </c>
    </row>
    <row r="277" spans="1:9" x14ac:dyDescent="0.25">
      <c r="A277" s="558">
        <v>51501</v>
      </c>
      <c r="B277" s="557" t="s">
        <v>513</v>
      </c>
      <c r="C277" s="545">
        <v>500000</v>
      </c>
      <c r="D277" s="545">
        <v>3600</v>
      </c>
      <c r="E277" s="545">
        <f>+C277+D277</f>
        <v>503600</v>
      </c>
      <c r="F277" s="545">
        <v>0</v>
      </c>
      <c r="G277" s="545">
        <v>0</v>
      </c>
      <c r="H277" s="544">
        <f>+E277-F277</f>
        <v>503600</v>
      </c>
      <c r="I277" s="543">
        <f>+F277/E277</f>
        <v>0</v>
      </c>
    </row>
    <row r="278" spans="1:9" x14ac:dyDescent="0.25">
      <c r="A278" s="561">
        <v>519</v>
      </c>
      <c r="B278" s="565" t="s">
        <v>512</v>
      </c>
      <c r="C278" s="544">
        <f>C279</f>
        <v>29997</v>
      </c>
      <c r="D278" s="544">
        <f>D279</f>
        <v>0</v>
      </c>
      <c r="E278" s="544">
        <f>+C278+D278</f>
        <v>29997</v>
      </c>
      <c r="F278" s="544">
        <v>0</v>
      </c>
      <c r="G278" s="544">
        <v>0</v>
      </c>
      <c r="H278" s="544">
        <f>+E278-F278</f>
        <v>29997</v>
      </c>
      <c r="I278" s="543"/>
    </row>
    <row r="279" spans="1:9" x14ac:dyDescent="0.25">
      <c r="A279" s="558">
        <v>51901</v>
      </c>
      <c r="B279" s="557" t="s">
        <v>511</v>
      </c>
      <c r="C279" s="545">
        <v>29997</v>
      </c>
      <c r="D279" s="545">
        <v>0</v>
      </c>
      <c r="E279" s="545">
        <f>+C279+D279</f>
        <v>29997</v>
      </c>
      <c r="F279" s="545">
        <v>0</v>
      </c>
      <c r="G279" s="545">
        <v>0</v>
      </c>
      <c r="H279" s="544">
        <f>+E279-F279</f>
        <v>29997</v>
      </c>
      <c r="I279" s="543"/>
    </row>
    <row r="280" spans="1:9" hidden="1" x14ac:dyDescent="0.25">
      <c r="A280" s="562">
        <v>5200</v>
      </c>
      <c r="B280" s="565" t="s">
        <v>510</v>
      </c>
      <c r="C280" s="544">
        <v>0</v>
      </c>
      <c r="D280" s="544">
        <v>0</v>
      </c>
      <c r="E280" s="544">
        <f>+C280+D280</f>
        <v>0</v>
      </c>
      <c r="F280" s="544">
        <v>0</v>
      </c>
      <c r="G280" s="544">
        <v>0</v>
      </c>
      <c r="H280" s="544">
        <f>+E280-F280</f>
        <v>0</v>
      </c>
      <c r="I280" s="543"/>
    </row>
    <row r="281" spans="1:9" hidden="1" x14ac:dyDescent="0.25">
      <c r="A281" s="561">
        <v>521</v>
      </c>
      <c r="B281" s="565" t="s">
        <v>509</v>
      </c>
      <c r="C281" s="544">
        <v>0</v>
      </c>
      <c r="D281" s="544">
        <v>0</v>
      </c>
      <c r="E281" s="544">
        <f>+C281+D281</f>
        <v>0</v>
      </c>
      <c r="F281" s="544">
        <v>0</v>
      </c>
      <c r="G281" s="544">
        <v>0</v>
      </c>
      <c r="H281" s="544">
        <f>+E281-F281</f>
        <v>0</v>
      </c>
      <c r="I281" s="543"/>
    </row>
    <row r="282" spans="1:9" hidden="1" x14ac:dyDescent="0.25">
      <c r="A282" s="558">
        <v>52101</v>
      </c>
      <c r="B282" s="557" t="s">
        <v>509</v>
      </c>
      <c r="C282" s="545">
        <v>0</v>
      </c>
      <c r="D282" s="545">
        <v>0</v>
      </c>
      <c r="E282" s="544">
        <f>+C282+D282</f>
        <v>0</v>
      </c>
      <c r="F282" s="545">
        <v>0</v>
      </c>
      <c r="G282" s="545">
        <v>0</v>
      </c>
      <c r="H282" s="544">
        <f>+E282-F282</f>
        <v>0</v>
      </c>
      <c r="I282" s="543"/>
    </row>
    <row r="283" spans="1:9" hidden="1" x14ac:dyDescent="0.25">
      <c r="A283" s="561">
        <v>523</v>
      </c>
      <c r="B283" s="565" t="s">
        <v>508</v>
      </c>
      <c r="C283" s="544">
        <v>0</v>
      </c>
      <c r="D283" s="544">
        <v>0</v>
      </c>
      <c r="E283" s="544">
        <f>+C283+D283</f>
        <v>0</v>
      </c>
      <c r="F283" s="544">
        <v>0</v>
      </c>
      <c r="G283" s="544">
        <v>0</v>
      </c>
      <c r="H283" s="544">
        <f>+E283-F283</f>
        <v>0</v>
      </c>
      <c r="I283" s="543"/>
    </row>
    <row r="284" spans="1:9" hidden="1" x14ac:dyDescent="0.25">
      <c r="A284" s="558">
        <v>52301</v>
      </c>
      <c r="B284" s="557" t="s">
        <v>508</v>
      </c>
      <c r="C284" s="545">
        <v>0</v>
      </c>
      <c r="D284" s="545">
        <v>0</v>
      </c>
      <c r="E284" s="544">
        <f>+C284+D284</f>
        <v>0</v>
      </c>
      <c r="F284" s="545">
        <v>0</v>
      </c>
      <c r="G284" s="545">
        <v>0</v>
      </c>
      <c r="H284" s="544">
        <f>+E284-F284</f>
        <v>0</v>
      </c>
      <c r="I284" s="543"/>
    </row>
    <row r="285" spans="1:9" hidden="1" x14ac:dyDescent="0.25">
      <c r="A285" s="562">
        <v>5300</v>
      </c>
      <c r="B285" s="565" t="s">
        <v>507</v>
      </c>
      <c r="C285" s="545">
        <v>0</v>
      </c>
      <c r="D285" s="545">
        <v>0</v>
      </c>
      <c r="E285" s="544">
        <f>+C285+D285</f>
        <v>0</v>
      </c>
      <c r="F285" s="545">
        <v>0</v>
      </c>
      <c r="G285" s="545">
        <v>0</v>
      </c>
      <c r="H285" s="544">
        <f>+E285-F285</f>
        <v>0</v>
      </c>
      <c r="I285" s="543"/>
    </row>
    <row r="286" spans="1:9" hidden="1" x14ac:dyDescent="0.25">
      <c r="A286" s="561">
        <v>532</v>
      </c>
      <c r="B286" s="557" t="s">
        <v>506</v>
      </c>
      <c r="C286" s="545">
        <v>0</v>
      </c>
      <c r="D286" s="545">
        <v>0</v>
      </c>
      <c r="E286" s="544">
        <f>+C286+D286</f>
        <v>0</v>
      </c>
      <c r="F286" s="545">
        <v>0</v>
      </c>
      <c r="G286" s="545">
        <v>0</v>
      </c>
      <c r="H286" s="544">
        <f>+E286-F286</f>
        <v>0</v>
      </c>
      <c r="I286" s="543"/>
    </row>
    <row r="287" spans="1:9" hidden="1" x14ac:dyDescent="0.25">
      <c r="A287" s="558">
        <v>53201</v>
      </c>
      <c r="B287" s="557" t="s">
        <v>506</v>
      </c>
      <c r="C287" s="545">
        <v>0</v>
      </c>
      <c r="D287" s="545">
        <v>0</v>
      </c>
      <c r="E287" s="544">
        <f>+C287+D287</f>
        <v>0</v>
      </c>
      <c r="F287" s="545">
        <v>0</v>
      </c>
      <c r="G287" s="545">
        <v>0</v>
      </c>
      <c r="H287" s="544">
        <f>+E287-F287</f>
        <v>0</v>
      </c>
      <c r="I287" s="543"/>
    </row>
    <row r="288" spans="1:9" x14ac:dyDescent="0.25">
      <c r="A288" s="562">
        <v>5400</v>
      </c>
      <c r="B288" s="565" t="s">
        <v>505</v>
      </c>
      <c r="C288" s="544">
        <f>C289</f>
        <v>500000</v>
      </c>
      <c r="D288" s="544">
        <f>D289</f>
        <v>0</v>
      </c>
      <c r="E288" s="544">
        <f>+C288+D288</f>
        <v>500000</v>
      </c>
      <c r="F288" s="544">
        <v>0</v>
      </c>
      <c r="G288" s="544">
        <v>0</v>
      </c>
      <c r="H288" s="544">
        <f>+E288-F288</f>
        <v>500000</v>
      </c>
      <c r="I288" s="543">
        <f>+F288/E288</f>
        <v>0</v>
      </c>
    </row>
    <row r="289" spans="1:9" x14ac:dyDescent="0.25">
      <c r="A289" s="561">
        <v>541</v>
      </c>
      <c r="B289" s="565" t="s">
        <v>505</v>
      </c>
      <c r="C289" s="544">
        <f>C290</f>
        <v>500000</v>
      </c>
      <c r="D289" s="544">
        <f>D290</f>
        <v>0</v>
      </c>
      <c r="E289" s="544">
        <f>+C289+D289</f>
        <v>500000</v>
      </c>
      <c r="F289" s="544">
        <v>0</v>
      </c>
      <c r="G289" s="544">
        <v>0</v>
      </c>
      <c r="H289" s="544">
        <f>+E289-F289</f>
        <v>500000</v>
      </c>
      <c r="I289" s="543">
        <f>+F289/E289</f>
        <v>0</v>
      </c>
    </row>
    <row r="290" spans="1:9" x14ac:dyDescent="0.25">
      <c r="A290" s="558">
        <v>54101</v>
      </c>
      <c r="B290" s="557" t="s">
        <v>504</v>
      </c>
      <c r="C290" s="545">
        <v>500000</v>
      </c>
      <c r="D290" s="545">
        <v>0</v>
      </c>
      <c r="E290" s="545">
        <f>+C290+D290</f>
        <v>500000</v>
      </c>
      <c r="F290" s="545">
        <v>0</v>
      </c>
      <c r="G290" s="545">
        <v>0</v>
      </c>
      <c r="H290" s="544">
        <f>+E290-F290</f>
        <v>500000</v>
      </c>
      <c r="I290" s="543">
        <f>+F290/E290</f>
        <v>0</v>
      </c>
    </row>
    <row r="291" spans="1:9" hidden="1" x14ac:dyDescent="0.25">
      <c r="A291" s="561">
        <v>549</v>
      </c>
      <c r="B291" s="565" t="s">
        <v>503</v>
      </c>
      <c r="C291" s="544">
        <v>0</v>
      </c>
      <c r="D291" s="544">
        <v>0</v>
      </c>
      <c r="E291" s="544">
        <f>+C291+D291</f>
        <v>0</v>
      </c>
      <c r="F291" s="544">
        <v>0</v>
      </c>
      <c r="G291" s="544">
        <v>0</v>
      </c>
      <c r="H291" s="544">
        <f>+E291-F291</f>
        <v>0</v>
      </c>
      <c r="I291" s="543"/>
    </row>
    <row r="292" spans="1:9" hidden="1" x14ac:dyDescent="0.25">
      <c r="A292" s="558">
        <v>54901</v>
      </c>
      <c r="B292" s="557" t="s">
        <v>503</v>
      </c>
      <c r="C292" s="545">
        <v>0</v>
      </c>
      <c r="D292" s="545">
        <v>0</v>
      </c>
      <c r="E292" s="544">
        <f>+C292+D292</f>
        <v>0</v>
      </c>
      <c r="F292" s="545">
        <v>0</v>
      </c>
      <c r="G292" s="545">
        <v>0</v>
      </c>
      <c r="H292" s="544">
        <f>+E292-F292</f>
        <v>0</v>
      </c>
      <c r="I292" s="543"/>
    </row>
    <row r="293" spans="1:9" x14ac:dyDescent="0.25">
      <c r="A293" s="562">
        <v>5600</v>
      </c>
      <c r="B293" s="565" t="s">
        <v>502</v>
      </c>
      <c r="C293" s="544">
        <f>C294</f>
        <v>3781215</v>
      </c>
      <c r="D293" s="544">
        <f>D294</f>
        <v>0</v>
      </c>
      <c r="E293" s="544">
        <f>+C293+D293</f>
        <v>3781215</v>
      </c>
      <c r="F293" s="544">
        <v>37908.800000000003</v>
      </c>
      <c r="G293" s="544">
        <v>37908.800000000003</v>
      </c>
      <c r="H293" s="544">
        <f>+E293-F293</f>
        <v>3743306.2</v>
      </c>
      <c r="I293" s="543">
        <f>+F293/E293</f>
        <v>1.0025560567172192E-2</v>
      </c>
    </row>
    <row r="294" spans="1:9" x14ac:dyDescent="0.25">
      <c r="A294" s="561">
        <v>562</v>
      </c>
      <c r="B294" s="565" t="s">
        <v>501</v>
      </c>
      <c r="C294" s="544">
        <f>C295+C296</f>
        <v>3781215</v>
      </c>
      <c r="D294" s="544">
        <f>D295+D296</f>
        <v>0</v>
      </c>
      <c r="E294" s="544">
        <f>+C294+D294</f>
        <v>3781215</v>
      </c>
      <c r="F294" s="544">
        <v>37908.800000000003</v>
      </c>
      <c r="G294" s="544">
        <v>37908.800000000003</v>
      </c>
      <c r="H294" s="544">
        <f>+E294-F294</f>
        <v>3743306.2</v>
      </c>
      <c r="I294" s="543">
        <f>+F294/E294</f>
        <v>1.0025560567172192E-2</v>
      </c>
    </row>
    <row r="295" spans="1:9" x14ac:dyDescent="0.25">
      <c r="A295" s="558">
        <v>56201</v>
      </c>
      <c r="B295" s="557" t="s">
        <v>501</v>
      </c>
      <c r="C295" s="545">
        <v>2241215</v>
      </c>
      <c r="D295" s="545">
        <v>0</v>
      </c>
      <c r="E295" s="545">
        <f>+C295+D295</f>
        <v>2241215</v>
      </c>
      <c r="F295" s="545"/>
      <c r="G295" s="545">
        <v>37908.800000000003</v>
      </c>
      <c r="H295" s="544">
        <f>+E295-F295</f>
        <v>2241215</v>
      </c>
      <c r="I295" s="543">
        <f>+F295/E295</f>
        <v>0</v>
      </c>
    </row>
    <row r="296" spans="1:9" x14ac:dyDescent="0.25">
      <c r="A296" s="558">
        <v>56301</v>
      </c>
      <c r="B296" s="557" t="s">
        <v>500</v>
      </c>
      <c r="C296" s="545">
        <v>1540000</v>
      </c>
      <c r="D296" s="545">
        <v>0</v>
      </c>
      <c r="E296" s="544"/>
      <c r="F296" s="545"/>
      <c r="G296" s="545"/>
      <c r="H296" s="544"/>
      <c r="I296" s="543"/>
    </row>
    <row r="297" spans="1:9" ht="22.5" hidden="1" x14ac:dyDescent="0.25">
      <c r="A297" s="561">
        <v>564</v>
      </c>
      <c r="B297" s="565" t="s">
        <v>499</v>
      </c>
      <c r="C297" s="544">
        <v>0</v>
      </c>
      <c r="D297" s="544">
        <v>0</v>
      </c>
      <c r="E297" s="544">
        <f>+C297+D297</f>
        <v>0</v>
      </c>
      <c r="F297" s="544">
        <v>0</v>
      </c>
      <c r="G297" s="544">
        <v>0</v>
      </c>
      <c r="H297" s="544">
        <f>+E297-F297</f>
        <v>0</v>
      </c>
      <c r="I297" s="543"/>
    </row>
    <row r="298" spans="1:9" ht="22.5" hidden="1" x14ac:dyDescent="0.25">
      <c r="A298" s="558">
        <v>56401</v>
      </c>
      <c r="B298" s="557" t="s">
        <v>499</v>
      </c>
      <c r="C298" s="545">
        <v>0</v>
      </c>
      <c r="D298" s="545">
        <v>0</v>
      </c>
      <c r="E298" s="544">
        <f>+C298+D298</f>
        <v>0</v>
      </c>
      <c r="F298" s="545">
        <v>0</v>
      </c>
      <c r="G298" s="545">
        <v>0</v>
      </c>
      <c r="H298" s="544">
        <f>+E298-F298</f>
        <v>0</v>
      </c>
      <c r="I298" s="543"/>
    </row>
    <row r="299" spans="1:9" hidden="1" x14ac:dyDescent="0.25">
      <c r="A299" s="564">
        <v>565</v>
      </c>
      <c r="B299" s="560" t="s">
        <v>498</v>
      </c>
      <c r="C299" s="544">
        <v>0</v>
      </c>
      <c r="D299" s="544">
        <v>0</v>
      </c>
      <c r="E299" s="544">
        <f>+C299+D299</f>
        <v>0</v>
      </c>
      <c r="F299" s="544">
        <v>0</v>
      </c>
      <c r="G299" s="544">
        <v>0</v>
      </c>
      <c r="H299" s="544">
        <f>+E299-F299</f>
        <v>0</v>
      </c>
      <c r="I299" s="543"/>
    </row>
    <row r="300" spans="1:9" hidden="1" x14ac:dyDescent="0.25">
      <c r="A300" s="563">
        <v>56501</v>
      </c>
      <c r="B300" s="559" t="s">
        <v>498</v>
      </c>
      <c r="C300" s="545">
        <v>0</v>
      </c>
      <c r="D300" s="545">
        <v>0</v>
      </c>
      <c r="E300" s="544">
        <f>+C300+D300</f>
        <v>0</v>
      </c>
      <c r="F300" s="545">
        <v>0</v>
      </c>
      <c r="G300" s="545">
        <v>0</v>
      </c>
      <c r="H300" s="544">
        <f>+E300-F300</f>
        <v>0</v>
      </c>
      <c r="I300" s="543"/>
    </row>
    <row r="301" spans="1:9" ht="22.5" hidden="1" x14ac:dyDescent="0.25">
      <c r="A301" s="564">
        <v>566</v>
      </c>
      <c r="B301" s="560" t="s">
        <v>497</v>
      </c>
      <c r="C301" s="544">
        <v>0</v>
      </c>
      <c r="D301" s="544">
        <v>0</v>
      </c>
      <c r="E301" s="544">
        <f>+C301+D301</f>
        <v>0</v>
      </c>
      <c r="F301" s="544">
        <v>0</v>
      </c>
      <c r="G301" s="544">
        <v>0</v>
      </c>
      <c r="H301" s="544">
        <f>+E301-F301</f>
        <v>0</v>
      </c>
      <c r="I301" s="543"/>
    </row>
    <row r="302" spans="1:9" hidden="1" x14ac:dyDescent="0.25">
      <c r="A302" s="563">
        <v>56601</v>
      </c>
      <c r="B302" s="559" t="s">
        <v>496</v>
      </c>
      <c r="C302" s="545">
        <v>0</v>
      </c>
      <c r="D302" s="545">
        <v>0</v>
      </c>
      <c r="E302" s="544">
        <f>+C302+D302</f>
        <v>0</v>
      </c>
      <c r="F302" s="545">
        <v>0</v>
      </c>
      <c r="G302" s="545">
        <v>0</v>
      </c>
      <c r="H302" s="544">
        <f>+E302-F302</f>
        <v>0</v>
      </c>
      <c r="I302" s="543"/>
    </row>
    <row r="303" spans="1:9" hidden="1" x14ac:dyDescent="0.25">
      <c r="A303" s="564">
        <v>567</v>
      </c>
      <c r="B303" s="560" t="s">
        <v>495</v>
      </c>
      <c r="C303" s="544">
        <v>0</v>
      </c>
      <c r="D303" s="544">
        <v>0</v>
      </c>
      <c r="E303" s="544">
        <f>+C303+D303</f>
        <v>0</v>
      </c>
      <c r="F303" s="544">
        <v>0</v>
      </c>
      <c r="G303" s="544">
        <v>0</v>
      </c>
      <c r="H303" s="544">
        <f>+E303-F303</f>
        <v>0</v>
      </c>
      <c r="I303" s="543"/>
    </row>
    <row r="304" spans="1:9" hidden="1" x14ac:dyDescent="0.25">
      <c r="A304" s="563">
        <v>56701</v>
      </c>
      <c r="B304" s="559" t="s">
        <v>494</v>
      </c>
      <c r="C304" s="545">
        <v>0</v>
      </c>
      <c r="D304" s="545">
        <v>0</v>
      </c>
      <c r="E304" s="544">
        <f>+C304+D304</f>
        <v>0</v>
      </c>
      <c r="F304" s="545">
        <v>0</v>
      </c>
      <c r="G304" s="545">
        <v>0</v>
      </c>
      <c r="H304" s="544">
        <f>+E304-F304</f>
        <v>0</v>
      </c>
      <c r="I304" s="543"/>
    </row>
    <row r="305" spans="1:9" hidden="1" x14ac:dyDescent="0.25">
      <c r="A305" s="564">
        <v>569</v>
      </c>
      <c r="B305" s="560" t="s">
        <v>493</v>
      </c>
      <c r="C305" s="544">
        <v>0</v>
      </c>
      <c r="D305" s="544">
        <v>0</v>
      </c>
      <c r="E305" s="544">
        <f>+C305+D305</f>
        <v>0</v>
      </c>
      <c r="F305" s="544">
        <v>0</v>
      </c>
      <c r="G305" s="544">
        <v>0</v>
      </c>
      <c r="H305" s="544">
        <f>+E305-F305</f>
        <v>0</v>
      </c>
      <c r="I305" s="543"/>
    </row>
    <row r="306" spans="1:9" hidden="1" x14ac:dyDescent="0.25">
      <c r="A306" s="563">
        <v>56901</v>
      </c>
      <c r="B306" s="559" t="s">
        <v>492</v>
      </c>
      <c r="C306" s="545">
        <v>0</v>
      </c>
      <c r="D306" s="545">
        <v>0</v>
      </c>
      <c r="E306" s="544">
        <f>+C306+D306</f>
        <v>0</v>
      </c>
      <c r="F306" s="545">
        <v>0</v>
      </c>
      <c r="G306" s="545">
        <v>0</v>
      </c>
      <c r="H306" s="544">
        <f>+E306-F306</f>
        <v>0</v>
      </c>
      <c r="I306" s="543"/>
    </row>
    <row r="307" spans="1:9" hidden="1" x14ac:dyDescent="0.25">
      <c r="A307" s="563">
        <v>56902</v>
      </c>
      <c r="B307" s="559" t="s">
        <v>491</v>
      </c>
      <c r="C307" s="545">
        <v>0</v>
      </c>
      <c r="D307" s="545">
        <v>0</v>
      </c>
      <c r="E307" s="544">
        <f>+C307+D307</f>
        <v>0</v>
      </c>
      <c r="F307" s="545">
        <v>0</v>
      </c>
      <c r="G307" s="545">
        <v>0</v>
      </c>
      <c r="H307" s="544">
        <f>+E307-F307</f>
        <v>0</v>
      </c>
      <c r="I307" s="543"/>
    </row>
    <row r="308" spans="1:9" hidden="1" x14ac:dyDescent="0.25">
      <c r="A308" s="562">
        <v>5800</v>
      </c>
      <c r="B308" s="559" t="s">
        <v>158</v>
      </c>
      <c r="C308" s="545">
        <v>0</v>
      </c>
      <c r="D308" s="545">
        <v>0</v>
      </c>
      <c r="E308" s="544">
        <f>+C308+D308</f>
        <v>0</v>
      </c>
      <c r="F308" s="545">
        <v>0</v>
      </c>
      <c r="G308" s="545">
        <v>0</v>
      </c>
      <c r="H308" s="544">
        <f>+E308-F308</f>
        <v>0</v>
      </c>
      <c r="I308" s="543"/>
    </row>
    <row r="309" spans="1:9" hidden="1" x14ac:dyDescent="0.25">
      <c r="A309" s="561">
        <v>581</v>
      </c>
      <c r="B309" s="559" t="s">
        <v>490</v>
      </c>
      <c r="C309" s="545">
        <v>0</v>
      </c>
      <c r="D309" s="545">
        <v>0</v>
      </c>
      <c r="E309" s="544">
        <f>+C309+D309</f>
        <v>0</v>
      </c>
      <c r="F309" s="545">
        <v>0</v>
      </c>
      <c r="G309" s="545">
        <v>0</v>
      </c>
      <c r="H309" s="544">
        <f>+E309-F309</f>
        <v>0</v>
      </c>
      <c r="I309" s="543"/>
    </row>
    <row r="310" spans="1:9" hidden="1" x14ac:dyDescent="0.25">
      <c r="A310" s="558">
        <v>58101</v>
      </c>
      <c r="B310" s="559" t="s">
        <v>490</v>
      </c>
      <c r="C310" s="545">
        <v>0</v>
      </c>
      <c r="D310" s="545">
        <v>0</v>
      </c>
      <c r="E310" s="544">
        <f>+C310+D310</f>
        <v>0</v>
      </c>
      <c r="F310" s="545">
        <v>0</v>
      </c>
      <c r="G310" s="545">
        <v>0</v>
      </c>
      <c r="H310" s="544">
        <f>+E310-F310</f>
        <v>0</v>
      </c>
      <c r="I310" s="543"/>
    </row>
    <row r="311" spans="1:9" hidden="1" x14ac:dyDescent="0.25">
      <c r="A311" s="562">
        <v>5900</v>
      </c>
      <c r="B311" s="560" t="s">
        <v>489</v>
      </c>
      <c r="C311" s="544">
        <v>0</v>
      </c>
      <c r="D311" s="544">
        <v>0</v>
      </c>
      <c r="E311" s="544">
        <f>+C311+D311</f>
        <v>0</v>
      </c>
      <c r="F311" s="544">
        <v>0</v>
      </c>
      <c r="G311" s="544">
        <v>0</v>
      </c>
      <c r="H311" s="544">
        <f>+E311-F311</f>
        <v>0</v>
      </c>
      <c r="I311" s="543"/>
    </row>
    <row r="312" spans="1:9" hidden="1" x14ac:dyDescent="0.25">
      <c r="A312" s="561">
        <v>591</v>
      </c>
      <c r="B312" s="560" t="s">
        <v>488</v>
      </c>
      <c r="C312" s="544">
        <v>0</v>
      </c>
      <c r="D312" s="544">
        <v>0</v>
      </c>
      <c r="E312" s="544">
        <f>+C312+D312</f>
        <v>0</v>
      </c>
      <c r="F312" s="544">
        <v>0</v>
      </c>
      <c r="G312" s="544">
        <v>0</v>
      </c>
      <c r="H312" s="544">
        <f>+E312-F312</f>
        <v>0</v>
      </c>
      <c r="I312" s="543"/>
    </row>
    <row r="313" spans="1:9" hidden="1" x14ac:dyDescent="0.25">
      <c r="A313" s="558">
        <v>59101</v>
      </c>
      <c r="B313" s="559" t="s">
        <v>488</v>
      </c>
      <c r="C313" s="545">
        <v>0</v>
      </c>
      <c r="D313" s="545">
        <v>0</v>
      </c>
      <c r="E313" s="544">
        <f>+C313+D313</f>
        <v>0</v>
      </c>
      <c r="F313" s="545">
        <v>0</v>
      </c>
      <c r="G313" s="545">
        <v>0</v>
      </c>
      <c r="H313" s="544">
        <f>+E313-F313</f>
        <v>0</v>
      </c>
      <c r="I313" s="543"/>
    </row>
    <row r="314" spans="1:9" x14ac:dyDescent="0.25">
      <c r="A314" s="558"/>
      <c r="B314" s="557"/>
      <c r="C314" s="545">
        <v>0</v>
      </c>
      <c r="D314" s="545">
        <v>0</v>
      </c>
      <c r="E314" s="544">
        <f>+C314+D314</f>
        <v>0</v>
      </c>
      <c r="F314" s="545">
        <v>0</v>
      </c>
      <c r="G314" s="545">
        <v>0</v>
      </c>
      <c r="H314" s="544">
        <f>+E314-F314</f>
        <v>0</v>
      </c>
      <c r="I314" s="543"/>
    </row>
    <row r="315" spans="1:9" x14ac:dyDescent="0.25">
      <c r="A315" s="550">
        <v>6000</v>
      </c>
      <c r="B315" s="554" t="s">
        <v>156</v>
      </c>
      <c r="C315" s="544">
        <f>C316+C337</f>
        <v>117900000</v>
      </c>
      <c r="D315" s="544">
        <f>D316+D337</f>
        <v>19281485.990000002</v>
      </c>
      <c r="E315" s="544">
        <f>+C315+D315</f>
        <v>137181485.99000001</v>
      </c>
      <c r="F315" s="544">
        <v>0</v>
      </c>
      <c r="G315" s="544">
        <v>0</v>
      </c>
      <c r="H315" s="544">
        <f>+E315-F315</f>
        <v>137181485.99000001</v>
      </c>
      <c r="I315" s="543">
        <f>+F315/E315</f>
        <v>0</v>
      </c>
    </row>
    <row r="316" spans="1:9" x14ac:dyDescent="0.25">
      <c r="A316" s="552"/>
      <c r="B316" s="554" t="s">
        <v>487</v>
      </c>
      <c r="C316" s="544">
        <f>C317</f>
        <v>51600000</v>
      </c>
      <c r="D316" s="544">
        <f>D317</f>
        <v>0</v>
      </c>
      <c r="E316" s="544">
        <f>+C316+D316</f>
        <v>51600000</v>
      </c>
      <c r="F316" s="544">
        <v>0</v>
      </c>
      <c r="G316" s="544">
        <v>0</v>
      </c>
      <c r="H316" s="544">
        <f>+E316-F316</f>
        <v>51600000</v>
      </c>
      <c r="I316" s="543">
        <f>+F316/E316</f>
        <v>0</v>
      </c>
    </row>
    <row r="317" spans="1:9" x14ac:dyDescent="0.25">
      <c r="A317" s="550">
        <v>6100</v>
      </c>
      <c r="B317" s="554" t="s">
        <v>480</v>
      </c>
      <c r="C317" s="544">
        <f>C318+C323</f>
        <v>51600000</v>
      </c>
      <c r="D317" s="544">
        <f>D318+D323</f>
        <v>0</v>
      </c>
      <c r="E317" s="544">
        <f>+C317+D317</f>
        <v>51600000</v>
      </c>
      <c r="F317" s="544">
        <v>0</v>
      </c>
      <c r="G317" s="544">
        <v>0</v>
      </c>
      <c r="H317" s="544">
        <f>+E317-F317</f>
        <v>51600000</v>
      </c>
      <c r="I317" s="543">
        <f>+F317/E317</f>
        <v>0</v>
      </c>
    </row>
    <row r="318" spans="1:9" ht="33.75" x14ac:dyDescent="0.25">
      <c r="A318" s="552">
        <v>613</v>
      </c>
      <c r="B318" s="554" t="s">
        <v>479</v>
      </c>
      <c r="C318" s="544">
        <f>C319+C320+C321+C322</f>
        <v>3029354.2074363991</v>
      </c>
      <c r="D318" s="544">
        <f>D319+D320+D321+D322</f>
        <v>0</v>
      </c>
      <c r="E318" s="544">
        <f>+C318+D318</f>
        <v>3029354.2074363991</v>
      </c>
      <c r="F318" s="544">
        <v>0</v>
      </c>
      <c r="G318" s="544">
        <v>0</v>
      </c>
      <c r="H318" s="544">
        <f>+E318-F318</f>
        <v>3029354.2074363991</v>
      </c>
      <c r="I318" s="543">
        <f>+F318/E318</f>
        <v>0</v>
      </c>
    </row>
    <row r="319" spans="1:9" ht="22.5" x14ac:dyDescent="0.25">
      <c r="A319" s="551">
        <v>61305</v>
      </c>
      <c r="B319" s="553" t="s">
        <v>475</v>
      </c>
      <c r="C319" s="545">
        <v>1009784.7358121331</v>
      </c>
      <c r="D319" s="545"/>
      <c r="E319" s="544">
        <f>+C319+D319</f>
        <v>1009784.7358121331</v>
      </c>
      <c r="F319" s="545">
        <v>0</v>
      </c>
      <c r="G319" s="545">
        <v>0</v>
      </c>
      <c r="H319" s="544">
        <f>+E319-F319</f>
        <v>1009784.7358121331</v>
      </c>
      <c r="I319" s="543">
        <f>+F319/E319</f>
        <v>0</v>
      </c>
    </row>
    <row r="320" spans="1:9" ht="22.5" x14ac:dyDescent="0.25">
      <c r="A320" s="551">
        <v>61309</v>
      </c>
      <c r="B320" s="553" t="s">
        <v>486</v>
      </c>
      <c r="C320" s="545">
        <v>0</v>
      </c>
      <c r="D320" s="545">
        <v>0</v>
      </c>
      <c r="E320" s="544">
        <f>+C320+D320</f>
        <v>0</v>
      </c>
      <c r="F320" s="545">
        <v>0</v>
      </c>
      <c r="G320" s="545">
        <v>0</v>
      </c>
      <c r="H320" s="544">
        <f>+E320-F320</f>
        <v>0</v>
      </c>
      <c r="I320" s="543"/>
    </row>
    <row r="321" spans="1:9" x14ac:dyDescent="0.25">
      <c r="A321" s="551">
        <v>61310</v>
      </c>
      <c r="B321" s="553" t="s">
        <v>478</v>
      </c>
      <c r="C321" s="545">
        <v>2019569.4716242661</v>
      </c>
      <c r="D321" s="545">
        <v>0</v>
      </c>
      <c r="E321" s="544">
        <f>+C321+D321</f>
        <v>2019569.4716242661</v>
      </c>
      <c r="F321" s="545">
        <v>0</v>
      </c>
      <c r="G321" s="545">
        <v>0</v>
      </c>
      <c r="H321" s="544">
        <f>+E321-F321</f>
        <v>2019569.4716242661</v>
      </c>
      <c r="I321" s="543">
        <f>+F321/E321</f>
        <v>0</v>
      </c>
    </row>
    <row r="322" spans="1:9" x14ac:dyDescent="0.25">
      <c r="A322" s="551">
        <v>61315</v>
      </c>
      <c r="B322" s="553" t="s">
        <v>471</v>
      </c>
      <c r="C322" s="545">
        <v>0</v>
      </c>
      <c r="D322" s="545">
        <v>0</v>
      </c>
      <c r="E322" s="544">
        <f>+C322+D322</f>
        <v>0</v>
      </c>
      <c r="F322" s="545">
        <v>0</v>
      </c>
      <c r="G322" s="545">
        <v>0</v>
      </c>
      <c r="H322" s="544">
        <f>+E322-F322</f>
        <v>0</v>
      </c>
      <c r="I322" s="543"/>
    </row>
    <row r="323" spans="1:9" ht="22.5" x14ac:dyDescent="0.25">
      <c r="A323" s="552">
        <v>614</v>
      </c>
      <c r="B323" s="554" t="s">
        <v>476</v>
      </c>
      <c r="C323" s="544">
        <f>C324+C325+C326+C327+C328</f>
        <v>48570645.792563602</v>
      </c>
      <c r="D323" s="544">
        <f>D324+D325+D326+D327+D328</f>
        <v>0</v>
      </c>
      <c r="E323" s="544">
        <f>+C323+D323</f>
        <v>48570645.792563602</v>
      </c>
      <c r="F323" s="544">
        <v>0</v>
      </c>
      <c r="G323" s="544">
        <v>0</v>
      </c>
      <c r="H323" s="544">
        <f>+E323-F323</f>
        <v>48570645.792563602</v>
      </c>
      <c r="I323" s="543">
        <f>+F323/E323</f>
        <v>0</v>
      </c>
    </row>
    <row r="324" spans="1:9" x14ac:dyDescent="0.25">
      <c r="A324" s="551">
        <v>61404</v>
      </c>
      <c r="B324" s="553" t="s">
        <v>483</v>
      </c>
      <c r="C324" s="545">
        <v>0</v>
      </c>
      <c r="D324" s="545">
        <v>0</v>
      </c>
      <c r="E324" s="544">
        <f>+C324+D324</f>
        <v>0</v>
      </c>
      <c r="F324" s="545">
        <v>0</v>
      </c>
      <c r="G324" s="545">
        <v>0</v>
      </c>
      <c r="H324" s="544">
        <f>+E324-F324</f>
        <v>0</v>
      </c>
      <c r="I324" s="543"/>
    </row>
    <row r="325" spans="1:9" x14ac:dyDescent="0.25">
      <c r="A325" s="551">
        <v>61405</v>
      </c>
      <c r="B325" s="553" t="s">
        <v>485</v>
      </c>
      <c r="C325" s="545">
        <v>0</v>
      </c>
      <c r="D325" s="545">
        <v>0</v>
      </c>
      <c r="E325" s="544">
        <f>+C325+D325</f>
        <v>0</v>
      </c>
      <c r="F325" s="545">
        <v>0</v>
      </c>
      <c r="G325" s="545">
        <v>0</v>
      </c>
      <c r="H325" s="544">
        <f>+E325-F325</f>
        <v>0</v>
      </c>
      <c r="I325" s="543"/>
    </row>
    <row r="326" spans="1:9" x14ac:dyDescent="0.25">
      <c r="A326" s="551">
        <v>61406</v>
      </c>
      <c r="B326" s="553" t="s">
        <v>474</v>
      </c>
      <c r="C326" s="545">
        <v>4175459.8825831702</v>
      </c>
      <c r="D326" s="545">
        <v>0</v>
      </c>
      <c r="E326" s="544">
        <f>+C326+D326</f>
        <v>4175459.8825831702</v>
      </c>
      <c r="F326" s="545">
        <v>0</v>
      </c>
      <c r="G326" s="545">
        <v>0</v>
      </c>
      <c r="H326" s="544">
        <f>+E326-F326</f>
        <v>4175459.8825831702</v>
      </c>
      <c r="I326" s="543">
        <f>+F326/E326</f>
        <v>0</v>
      </c>
    </row>
    <row r="327" spans="1:9" ht="22.5" x14ac:dyDescent="0.25">
      <c r="A327" s="551">
        <v>61408</v>
      </c>
      <c r="B327" s="553" t="s">
        <v>473</v>
      </c>
      <c r="C327" s="545">
        <v>43363053.628180042</v>
      </c>
      <c r="D327" s="545">
        <v>0</v>
      </c>
      <c r="E327" s="544">
        <f>+C327+D327</f>
        <v>43363053.628180042</v>
      </c>
      <c r="F327" s="545">
        <v>0</v>
      </c>
      <c r="G327" s="545">
        <v>0</v>
      </c>
      <c r="H327" s="544">
        <f>+E327-F327</f>
        <v>43363053.628180042</v>
      </c>
      <c r="I327" s="543">
        <f>+F327/E327</f>
        <v>0</v>
      </c>
    </row>
    <row r="328" spans="1:9" ht="22.5" x14ac:dyDescent="0.25">
      <c r="A328" s="551">
        <v>61409</v>
      </c>
      <c r="B328" s="553" t="s">
        <v>472</v>
      </c>
      <c r="C328" s="545">
        <v>1032132.2818003914</v>
      </c>
      <c r="D328" s="545">
        <v>0</v>
      </c>
      <c r="E328" s="544">
        <f>+C328+D328</f>
        <v>1032132.2818003914</v>
      </c>
      <c r="F328" s="545">
        <v>0</v>
      </c>
      <c r="G328" s="545">
        <v>0</v>
      </c>
      <c r="H328" s="544">
        <f>+E328-F328</f>
        <v>1032132.2818003914</v>
      </c>
      <c r="I328" s="543">
        <f>+F328/E328</f>
        <v>0</v>
      </c>
    </row>
    <row r="329" spans="1:9" hidden="1" x14ac:dyDescent="0.25">
      <c r="A329" s="551">
        <v>61415</v>
      </c>
      <c r="B329" s="553" t="s">
        <v>471</v>
      </c>
      <c r="C329" s="545">
        <v>0</v>
      </c>
      <c r="D329" s="545">
        <v>0</v>
      </c>
      <c r="E329" s="544">
        <f>+C329+D329</f>
        <v>0</v>
      </c>
      <c r="F329" s="545">
        <v>0</v>
      </c>
      <c r="G329" s="545">
        <v>0</v>
      </c>
      <c r="H329" s="544">
        <f>+E329-F329</f>
        <v>0</v>
      </c>
      <c r="I329" s="543"/>
    </row>
    <row r="330" spans="1:9" ht="22.5" hidden="1" x14ac:dyDescent="0.25">
      <c r="A330" s="547">
        <v>61424</v>
      </c>
      <c r="B330" s="546" t="s">
        <v>470</v>
      </c>
      <c r="C330" s="545">
        <v>0</v>
      </c>
      <c r="D330" s="545">
        <v>0</v>
      </c>
      <c r="E330" s="544">
        <f>+C330+D330</f>
        <v>0</v>
      </c>
      <c r="F330" s="545">
        <v>0</v>
      </c>
      <c r="G330" s="545">
        <v>0</v>
      </c>
      <c r="H330" s="544">
        <f>+E330-F330</f>
        <v>0</v>
      </c>
      <c r="I330" s="543"/>
    </row>
    <row r="331" spans="1:9" hidden="1" x14ac:dyDescent="0.25">
      <c r="A331" s="547">
        <v>61425</v>
      </c>
      <c r="B331" s="546" t="s">
        <v>469</v>
      </c>
      <c r="C331" s="545">
        <v>0</v>
      </c>
      <c r="D331" s="545">
        <v>0</v>
      </c>
      <c r="E331" s="544">
        <f>+C331+D331</f>
        <v>0</v>
      </c>
      <c r="F331" s="545">
        <v>0</v>
      </c>
      <c r="G331" s="545">
        <v>0</v>
      </c>
      <c r="H331" s="544">
        <f>+E331-F331</f>
        <v>0</v>
      </c>
      <c r="I331" s="543"/>
    </row>
    <row r="332" spans="1:9" hidden="1" x14ac:dyDescent="0.25">
      <c r="A332" s="556">
        <v>6200</v>
      </c>
      <c r="B332" s="548" t="s">
        <v>484</v>
      </c>
      <c r="C332" s="544">
        <v>0</v>
      </c>
      <c r="D332" s="544">
        <v>0</v>
      </c>
      <c r="E332" s="544">
        <f>+C332+D332</f>
        <v>0</v>
      </c>
      <c r="F332" s="544">
        <v>0</v>
      </c>
      <c r="G332" s="544">
        <v>0</v>
      </c>
      <c r="H332" s="544">
        <f>+E332-F332</f>
        <v>0</v>
      </c>
      <c r="I332" s="543"/>
    </row>
    <row r="333" spans="1:9" ht="22.5" hidden="1" x14ac:dyDescent="0.25">
      <c r="A333" s="552">
        <v>624</v>
      </c>
      <c r="B333" s="548" t="s">
        <v>476</v>
      </c>
      <c r="C333" s="544">
        <v>0</v>
      </c>
      <c r="D333" s="544">
        <v>0</v>
      </c>
      <c r="E333" s="544">
        <f>+C333+D333</f>
        <v>0</v>
      </c>
      <c r="F333" s="544">
        <v>0</v>
      </c>
      <c r="G333" s="544">
        <v>0</v>
      </c>
      <c r="H333" s="544">
        <f>+E333-F333</f>
        <v>0</v>
      </c>
      <c r="I333" s="543"/>
    </row>
    <row r="334" spans="1:9" hidden="1" x14ac:dyDescent="0.25">
      <c r="A334" s="547">
        <v>62404</v>
      </c>
      <c r="B334" s="546" t="s">
        <v>483</v>
      </c>
      <c r="C334" s="545">
        <v>0</v>
      </c>
      <c r="D334" s="545">
        <v>0</v>
      </c>
      <c r="E334" s="544">
        <f>+C334+D334</f>
        <v>0</v>
      </c>
      <c r="F334" s="545">
        <v>0</v>
      </c>
      <c r="G334" s="545">
        <v>0</v>
      </c>
      <c r="H334" s="544">
        <f>+E334-F334</f>
        <v>0</v>
      </c>
      <c r="I334" s="543"/>
    </row>
    <row r="335" spans="1:9" hidden="1" x14ac:dyDescent="0.25">
      <c r="A335" s="547">
        <v>61406</v>
      </c>
      <c r="B335" s="546" t="s">
        <v>482</v>
      </c>
      <c r="C335" s="545">
        <v>0</v>
      </c>
      <c r="D335" s="545">
        <v>0</v>
      </c>
      <c r="E335" s="544">
        <f>+C335+D335</f>
        <v>0</v>
      </c>
      <c r="F335" s="545">
        <v>0</v>
      </c>
      <c r="G335" s="545">
        <v>0</v>
      </c>
      <c r="H335" s="544">
        <f>+E335-F335</f>
        <v>0</v>
      </c>
      <c r="I335" s="543"/>
    </row>
    <row r="336" spans="1:9" x14ac:dyDescent="0.25">
      <c r="A336" s="547"/>
      <c r="B336" s="546"/>
      <c r="C336" s="545">
        <v>0</v>
      </c>
      <c r="D336" s="545">
        <v>0</v>
      </c>
      <c r="E336" s="544">
        <f>+C336+D336</f>
        <v>0</v>
      </c>
      <c r="F336" s="545">
        <v>0</v>
      </c>
      <c r="G336" s="545">
        <v>0</v>
      </c>
      <c r="H336" s="544">
        <f>+E336-F336</f>
        <v>0</v>
      </c>
      <c r="I336" s="543"/>
    </row>
    <row r="337" spans="1:14" x14ac:dyDescent="0.25">
      <c r="A337" s="555"/>
      <c r="B337" s="556" t="s">
        <v>481</v>
      </c>
      <c r="C337" s="544">
        <f>C338</f>
        <v>66300000</v>
      </c>
      <c r="D337" s="544">
        <f>D338</f>
        <v>19281485.990000002</v>
      </c>
      <c r="E337" s="544">
        <f>+C337+D337</f>
        <v>85581485.99000001</v>
      </c>
      <c r="F337" s="544">
        <v>0</v>
      </c>
      <c r="G337" s="544">
        <v>0</v>
      </c>
      <c r="H337" s="544">
        <f>+E337-F337</f>
        <v>85581485.99000001</v>
      </c>
      <c r="I337" s="543">
        <f>+F337/E337</f>
        <v>0</v>
      </c>
    </row>
    <row r="338" spans="1:14" x14ac:dyDescent="0.25">
      <c r="A338" s="556">
        <v>6100</v>
      </c>
      <c r="B338" s="548" t="s">
        <v>480</v>
      </c>
      <c r="C338" s="544">
        <f>C344</f>
        <v>66300000</v>
      </c>
      <c r="D338" s="544">
        <f>D344</f>
        <v>19281485.990000002</v>
      </c>
      <c r="E338" s="544">
        <f>+C338+D338</f>
        <v>85581485.99000001</v>
      </c>
      <c r="F338" s="544">
        <v>0</v>
      </c>
      <c r="G338" s="544">
        <v>0</v>
      </c>
      <c r="H338" s="544">
        <f>+E338-F338</f>
        <v>85581485.99000001</v>
      </c>
      <c r="I338" s="543">
        <f>+F338/E338</f>
        <v>0</v>
      </c>
    </row>
    <row r="339" spans="1:14" ht="33.75" hidden="1" x14ac:dyDescent="0.25">
      <c r="A339" s="555">
        <v>613</v>
      </c>
      <c r="B339" s="554" t="s">
        <v>479</v>
      </c>
      <c r="C339" s="544">
        <v>0</v>
      </c>
      <c r="D339" s="544">
        <v>0</v>
      </c>
      <c r="E339" s="544">
        <f>+C339+D339</f>
        <v>0</v>
      </c>
      <c r="F339" s="544">
        <v>0</v>
      </c>
      <c r="G339" s="544">
        <v>0</v>
      </c>
      <c r="H339" s="544">
        <f>+E339-F339</f>
        <v>0</v>
      </c>
      <c r="I339" s="543"/>
    </row>
    <row r="340" spans="1:14" ht="22.5" hidden="1" x14ac:dyDescent="0.25">
      <c r="A340" s="547">
        <v>61305</v>
      </c>
      <c r="B340" s="553" t="s">
        <v>475</v>
      </c>
      <c r="C340" s="545">
        <v>0</v>
      </c>
      <c r="D340" s="545">
        <v>0</v>
      </c>
      <c r="E340" s="544">
        <f>+C340+D340</f>
        <v>0</v>
      </c>
      <c r="F340" s="545">
        <v>0</v>
      </c>
      <c r="G340" s="545">
        <v>0</v>
      </c>
      <c r="H340" s="544">
        <f>+E340-F340</f>
        <v>0</v>
      </c>
      <c r="I340" s="543"/>
    </row>
    <row r="341" spans="1:14" hidden="1" x14ac:dyDescent="0.25">
      <c r="A341" s="547">
        <v>61310</v>
      </c>
      <c r="B341" s="553" t="s">
        <v>478</v>
      </c>
      <c r="C341" s="545">
        <v>0</v>
      </c>
      <c r="D341" s="545">
        <v>0</v>
      </c>
      <c r="E341" s="544">
        <f>+C341+D341</f>
        <v>0</v>
      </c>
      <c r="F341" s="545">
        <v>0</v>
      </c>
      <c r="G341" s="545">
        <v>0</v>
      </c>
      <c r="H341" s="544">
        <f>+E341-F341</f>
        <v>0</v>
      </c>
      <c r="I341" s="543"/>
    </row>
    <row r="342" spans="1:14" ht="33.75" hidden="1" x14ac:dyDescent="0.25">
      <c r="A342" s="547">
        <v>61313</v>
      </c>
      <c r="B342" s="553" t="s">
        <v>477</v>
      </c>
      <c r="C342" s="545">
        <v>0</v>
      </c>
      <c r="D342" s="545">
        <v>0</v>
      </c>
      <c r="E342" s="544">
        <f>+C342+D342</f>
        <v>0</v>
      </c>
      <c r="F342" s="545">
        <v>0</v>
      </c>
      <c r="G342" s="545">
        <v>0</v>
      </c>
      <c r="H342" s="544">
        <f>+E342-F342</f>
        <v>0</v>
      </c>
      <c r="I342" s="543"/>
    </row>
    <row r="343" spans="1:14" hidden="1" x14ac:dyDescent="0.25">
      <c r="A343" s="547">
        <v>61315</v>
      </c>
      <c r="B343" s="553" t="s">
        <v>471</v>
      </c>
      <c r="C343" s="545">
        <v>0</v>
      </c>
      <c r="D343" s="545">
        <v>0</v>
      </c>
      <c r="E343" s="544">
        <f>+C343+D343</f>
        <v>0</v>
      </c>
      <c r="F343" s="545">
        <v>0</v>
      </c>
      <c r="G343" s="545">
        <v>0</v>
      </c>
      <c r="H343" s="544">
        <f>+E343-F343</f>
        <v>0</v>
      </c>
      <c r="I343" s="543"/>
    </row>
    <row r="344" spans="1:14" s="514" customFormat="1" ht="22.5" x14ac:dyDescent="0.2">
      <c r="A344" s="552">
        <v>614</v>
      </c>
      <c r="B344" s="554" t="s">
        <v>476</v>
      </c>
      <c r="C344" s="544">
        <f>C346+C347+C348+C349+C350+C351</f>
        <v>66300000</v>
      </c>
      <c r="D344" s="544">
        <f>D346+D347+D348+D349+D350+D351+D345</f>
        <v>19281485.990000002</v>
      </c>
      <c r="E344" s="544">
        <f>+C344+D344</f>
        <v>85581485.99000001</v>
      </c>
      <c r="F344" s="544">
        <v>0</v>
      </c>
      <c r="G344" s="544">
        <v>0</v>
      </c>
      <c r="H344" s="544">
        <f>+E344-F344</f>
        <v>85581485.99000001</v>
      </c>
      <c r="I344" s="543">
        <f>+F344/E344</f>
        <v>0</v>
      </c>
      <c r="M344" s="515"/>
      <c r="N344" s="515"/>
    </row>
    <row r="345" spans="1:14" s="514" customFormat="1" ht="22.5" x14ac:dyDescent="0.2">
      <c r="A345" s="551">
        <v>61305</v>
      </c>
      <c r="B345" s="553" t="s">
        <v>475</v>
      </c>
      <c r="C345" s="544"/>
      <c r="D345" s="545">
        <f>600000+948841.68</f>
        <v>1548841.6800000002</v>
      </c>
      <c r="E345" s="544">
        <f>+C345+D345</f>
        <v>1548841.6800000002</v>
      </c>
      <c r="F345" s="544">
        <v>0</v>
      </c>
      <c r="G345" s="544">
        <v>0</v>
      </c>
      <c r="H345" s="544">
        <f>+E345-F345</f>
        <v>1548841.6800000002</v>
      </c>
      <c r="I345" s="543"/>
      <c r="M345" s="515"/>
      <c r="N345" s="515"/>
    </row>
    <row r="346" spans="1:14" s="514" customFormat="1" ht="12.75" x14ac:dyDescent="0.2">
      <c r="A346" s="551">
        <v>61406</v>
      </c>
      <c r="B346" s="553" t="s">
        <v>474</v>
      </c>
      <c r="C346" s="544">
        <v>0</v>
      </c>
      <c r="D346" s="544">
        <v>0</v>
      </c>
      <c r="E346" s="544">
        <f>+C346+D346</f>
        <v>0</v>
      </c>
      <c r="F346" s="544">
        <v>0</v>
      </c>
      <c r="G346" s="544">
        <v>0</v>
      </c>
      <c r="H346" s="544">
        <f>+E346-F346</f>
        <v>0</v>
      </c>
      <c r="I346" s="543"/>
      <c r="M346" s="515"/>
      <c r="N346" s="515"/>
    </row>
    <row r="347" spans="1:14" s="514" customFormat="1" ht="22.5" x14ac:dyDescent="0.2">
      <c r="A347" s="551">
        <v>61408</v>
      </c>
      <c r="B347" s="553" t="s">
        <v>473</v>
      </c>
      <c r="C347" s="545">
        <v>66300000</v>
      </c>
      <c r="D347" s="545">
        <v>17552833.390000001</v>
      </c>
      <c r="E347" s="544">
        <f>+C347+D347</f>
        <v>83852833.390000001</v>
      </c>
      <c r="F347" s="545">
        <v>0</v>
      </c>
      <c r="G347" s="545">
        <v>0</v>
      </c>
      <c r="H347" s="544">
        <f>+E347-F347</f>
        <v>83852833.390000001</v>
      </c>
      <c r="I347" s="543">
        <f>+F347/E347</f>
        <v>0</v>
      </c>
      <c r="M347" s="515"/>
      <c r="N347" s="515"/>
    </row>
    <row r="348" spans="1:14" s="514" customFormat="1" ht="22.5" x14ac:dyDescent="0.2">
      <c r="A348" s="551">
        <v>61409</v>
      </c>
      <c r="B348" s="553" t="s">
        <v>472</v>
      </c>
      <c r="C348" s="545">
        <v>0</v>
      </c>
      <c r="D348" s="545">
        <v>0</v>
      </c>
      <c r="E348" s="544">
        <f>+C348+D348</f>
        <v>0</v>
      </c>
      <c r="F348" s="545">
        <v>0</v>
      </c>
      <c r="G348" s="545">
        <v>0</v>
      </c>
      <c r="H348" s="544">
        <f>+E348-F348</f>
        <v>0</v>
      </c>
      <c r="I348" s="543"/>
      <c r="M348" s="515"/>
      <c r="N348" s="515"/>
    </row>
    <row r="349" spans="1:14" s="514" customFormat="1" ht="12.75" x14ac:dyDescent="0.2">
      <c r="A349" s="551">
        <v>61415</v>
      </c>
      <c r="B349" s="553" t="s">
        <v>471</v>
      </c>
      <c r="C349" s="545">
        <v>0</v>
      </c>
      <c r="D349" s="545">
        <v>0</v>
      </c>
      <c r="E349" s="544">
        <f>+C349+D349</f>
        <v>0</v>
      </c>
      <c r="F349" s="545">
        <v>0</v>
      </c>
      <c r="G349" s="545">
        <v>0</v>
      </c>
      <c r="H349" s="544">
        <f>+E349-F349</f>
        <v>0</v>
      </c>
      <c r="I349" s="543"/>
      <c r="M349" s="515"/>
      <c r="N349" s="515"/>
    </row>
    <row r="350" spans="1:14" s="514" customFormat="1" ht="22.5" x14ac:dyDescent="0.2">
      <c r="A350" s="551">
        <v>61424</v>
      </c>
      <c r="B350" s="553" t="s">
        <v>470</v>
      </c>
      <c r="C350" s="545">
        <v>0</v>
      </c>
      <c r="D350" s="545">
        <v>179810.92</v>
      </c>
      <c r="E350" s="544">
        <f>+C350+D350</f>
        <v>179810.92</v>
      </c>
      <c r="F350" s="545">
        <v>0</v>
      </c>
      <c r="G350" s="545">
        <v>0</v>
      </c>
      <c r="H350" s="544">
        <f>+E350-F350</f>
        <v>179810.92</v>
      </c>
      <c r="I350" s="543"/>
      <c r="M350" s="515"/>
      <c r="N350" s="515"/>
    </row>
    <row r="351" spans="1:14" s="514" customFormat="1" ht="12.75" x14ac:dyDescent="0.2">
      <c r="A351" s="551">
        <v>61425</v>
      </c>
      <c r="B351" s="553" t="s">
        <v>469</v>
      </c>
      <c r="C351" s="545">
        <v>0</v>
      </c>
      <c r="D351" s="545">
        <v>0</v>
      </c>
      <c r="E351" s="544">
        <f>+C351+D351</f>
        <v>0</v>
      </c>
      <c r="F351" s="545">
        <v>0</v>
      </c>
      <c r="G351" s="545">
        <v>0</v>
      </c>
      <c r="H351" s="544">
        <f>+E351-F351</f>
        <v>0</v>
      </c>
      <c r="I351" s="543"/>
      <c r="M351" s="515"/>
      <c r="N351" s="515"/>
    </row>
    <row r="352" spans="1:14" s="514" customFormat="1" ht="12.75" x14ac:dyDescent="0.2">
      <c r="A352" s="551"/>
      <c r="B352" s="553"/>
      <c r="C352" s="545"/>
      <c r="D352" s="545">
        <v>0</v>
      </c>
      <c r="E352" s="544">
        <f>+C352+D352</f>
        <v>0</v>
      </c>
      <c r="F352" s="545"/>
      <c r="G352" s="545"/>
      <c r="H352" s="544">
        <f>+E352-F352</f>
        <v>0</v>
      </c>
      <c r="I352" s="543"/>
      <c r="M352" s="515"/>
      <c r="N352" s="515"/>
    </row>
    <row r="353" spans="1:14" s="514" customFormat="1" ht="12.75" x14ac:dyDescent="0.2">
      <c r="A353" s="550">
        <v>7000</v>
      </c>
      <c r="B353" s="554" t="s">
        <v>468</v>
      </c>
      <c r="C353" s="544">
        <f>C354</f>
        <v>68632616.799999997</v>
      </c>
      <c r="D353" s="544">
        <f>D354</f>
        <v>0</v>
      </c>
      <c r="E353" s="544">
        <f>+C353+D353</f>
        <v>68632616.799999997</v>
      </c>
      <c r="F353" s="544">
        <v>0</v>
      </c>
      <c r="G353" s="544">
        <v>0</v>
      </c>
      <c r="H353" s="544">
        <f>+E353-F353</f>
        <v>68632616.799999997</v>
      </c>
      <c r="I353" s="543">
        <f>+F353/E353</f>
        <v>0</v>
      </c>
      <c r="M353" s="515"/>
      <c r="N353" s="515"/>
    </row>
    <row r="354" spans="1:14" s="514" customFormat="1" ht="22.5" x14ac:dyDescent="0.2">
      <c r="A354" s="550">
        <v>7900</v>
      </c>
      <c r="B354" s="554" t="s">
        <v>467</v>
      </c>
      <c r="C354" s="544">
        <f>C355</f>
        <v>68632616.799999997</v>
      </c>
      <c r="D354" s="544">
        <f>D355</f>
        <v>0</v>
      </c>
      <c r="E354" s="544">
        <f>+C354+D354</f>
        <v>68632616.799999997</v>
      </c>
      <c r="F354" s="544">
        <v>0</v>
      </c>
      <c r="G354" s="544">
        <v>0</v>
      </c>
      <c r="H354" s="544">
        <f>+E354-F354</f>
        <v>68632616.799999997</v>
      </c>
      <c r="I354" s="543">
        <f>+F354/E354</f>
        <v>0</v>
      </c>
      <c r="M354" s="515"/>
      <c r="N354" s="515"/>
    </row>
    <row r="355" spans="1:14" s="514" customFormat="1" ht="12.75" x14ac:dyDescent="0.2">
      <c r="A355" s="552">
        <v>799</v>
      </c>
      <c r="B355" s="554" t="s">
        <v>466</v>
      </c>
      <c r="C355" s="544">
        <f>C356</f>
        <v>68632616.799999997</v>
      </c>
      <c r="D355" s="544">
        <f>D356</f>
        <v>0</v>
      </c>
      <c r="E355" s="544">
        <f>+C355+D355</f>
        <v>68632616.799999997</v>
      </c>
      <c r="F355" s="544">
        <v>0</v>
      </c>
      <c r="G355" s="544">
        <v>0</v>
      </c>
      <c r="H355" s="544">
        <f>+E355-F355</f>
        <v>68632616.799999997</v>
      </c>
      <c r="I355" s="543">
        <f>+F355/E355</f>
        <v>0</v>
      </c>
      <c r="M355" s="515"/>
      <c r="N355" s="515"/>
    </row>
    <row r="356" spans="1:14" s="514" customFormat="1" ht="12.75" x14ac:dyDescent="0.2">
      <c r="A356" s="551">
        <v>79901</v>
      </c>
      <c r="B356" s="553" t="s">
        <v>466</v>
      </c>
      <c r="C356" s="545">
        <v>68632616.799999997</v>
      </c>
      <c r="D356" s="545">
        <v>0</v>
      </c>
      <c r="E356" s="544">
        <f>+C356+D356</f>
        <v>68632616.799999997</v>
      </c>
      <c r="F356" s="545">
        <v>0</v>
      </c>
      <c r="G356" s="545">
        <v>0</v>
      </c>
      <c r="H356" s="544">
        <f>+E356-F356</f>
        <v>68632616.799999997</v>
      </c>
      <c r="I356" s="543">
        <f>+F356/E356</f>
        <v>0</v>
      </c>
      <c r="M356" s="515"/>
      <c r="N356" s="515"/>
    </row>
    <row r="357" spans="1:14" s="514" customFormat="1" ht="12.75" x14ac:dyDescent="0.2">
      <c r="A357" s="547"/>
      <c r="B357" s="546"/>
      <c r="C357" s="545"/>
      <c r="D357" s="545">
        <v>0</v>
      </c>
      <c r="E357" s="544">
        <f>+C357+D357</f>
        <v>0</v>
      </c>
      <c r="F357" s="545"/>
      <c r="G357" s="545"/>
      <c r="H357" s="544">
        <f>+E357-F357</f>
        <v>0</v>
      </c>
      <c r="I357" s="543"/>
      <c r="M357" s="515"/>
      <c r="N357" s="515"/>
    </row>
    <row r="358" spans="1:14" s="514" customFormat="1" ht="12.75" x14ac:dyDescent="0.2">
      <c r="A358" s="550">
        <v>9000</v>
      </c>
      <c r="B358" s="548" t="s">
        <v>465</v>
      </c>
      <c r="C358" s="544">
        <f>C359+C363+C367</f>
        <v>51466984.189999998</v>
      </c>
      <c r="D358" s="544">
        <f>D359+D363+D367</f>
        <v>27504198.440000001</v>
      </c>
      <c r="E358" s="544">
        <f>+C358+D358</f>
        <v>78971182.629999995</v>
      </c>
      <c r="F358" s="544">
        <v>34230299.520000003</v>
      </c>
      <c r="G358" s="544">
        <v>33275102.66</v>
      </c>
      <c r="H358" s="544">
        <f>+E358-F358</f>
        <v>44740883.109999992</v>
      </c>
      <c r="I358" s="543">
        <f>+F358/E358</f>
        <v>0.43345304426271075</v>
      </c>
      <c r="J358" s="515"/>
      <c r="K358" s="515"/>
      <c r="M358" s="515"/>
      <c r="N358" s="515"/>
    </row>
    <row r="359" spans="1:14" s="514" customFormat="1" ht="12.75" x14ac:dyDescent="0.2">
      <c r="A359" s="550">
        <v>9100</v>
      </c>
      <c r="B359" s="548" t="s">
        <v>464</v>
      </c>
      <c r="C359" s="544">
        <f>C360</f>
        <v>14619259.189999999</v>
      </c>
      <c r="D359" s="544">
        <f>D360</f>
        <v>4010257</v>
      </c>
      <c r="E359" s="544">
        <f>+C359+D359</f>
        <v>18629516.189999998</v>
      </c>
      <c r="F359" s="544">
        <v>4010257</v>
      </c>
      <c r="G359" s="544">
        <v>4010257</v>
      </c>
      <c r="H359" s="544">
        <f>+E359-F359</f>
        <v>14619259.189999998</v>
      </c>
      <c r="I359" s="543"/>
      <c r="M359" s="515"/>
      <c r="N359" s="515"/>
    </row>
    <row r="360" spans="1:14" s="514" customFormat="1" ht="22.5" x14ac:dyDescent="0.2">
      <c r="A360" s="552">
        <v>911</v>
      </c>
      <c r="B360" s="548" t="s">
        <v>463</v>
      </c>
      <c r="C360" s="544">
        <f>C361+C362</f>
        <v>14619259.189999999</v>
      </c>
      <c r="D360" s="544">
        <f>D361+D362</f>
        <v>4010257</v>
      </c>
      <c r="E360" s="544">
        <f>+C360+D360</f>
        <v>18629516.189999998</v>
      </c>
      <c r="F360" s="544">
        <v>4010257</v>
      </c>
      <c r="G360" s="544">
        <v>4010257</v>
      </c>
      <c r="H360" s="544">
        <f>+E360-F360</f>
        <v>14619259.189999998</v>
      </c>
      <c r="I360" s="543"/>
      <c r="M360" s="515"/>
      <c r="N360" s="515"/>
    </row>
    <row r="361" spans="1:14" s="514" customFormat="1" ht="12.75" x14ac:dyDescent="0.2">
      <c r="A361" s="551">
        <v>91101</v>
      </c>
      <c r="B361" s="546" t="s">
        <v>462</v>
      </c>
      <c r="C361" s="545"/>
      <c r="D361" s="545">
        <v>0</v>
      </c>
      <c r="E361" s="544">
        <f>+C361+D361</f>
        <v>0</v>
      </c>
      <c r="F361" s="545">
        <v>0</v>
      </c>
      <c r="G361" s="545">
        <v>0</v>
      </c>
      <c r="H361" s="544">
        <f>+E361-F361</f>
        <v>0</v>
      </c>
      <c r="I361" s="543"/>
      <c r="K361" s="515"/>
      <c r="M361" s="515"/>
      <c r="N361" s="515"/>
    </row>
    <row r="362" spans="1:14" s="514" customFormat="1" ht="12.75" x14ac:dyDescent="0.2">
      <c r="A362" s="551">
        <v>91102</v>
      </c>
      <c r="B362" s="546" t="s">
        <v>461</v>
      </c>
      <c r="C362" s="545">
        <v>14619259.189999999</v>
      </c>
      <c r="D362" s="545">
        <v>4010257</v>
      </c>
      <c r="E362" s="544">
        <f>+C362+D362</f>
        <v>18629516.189999998</v>
      </c>
      <c r="F362" s="545">
        <v>4010257</v>
      </c>
      <c r="G362" s="545">
        <v>4010257</v>
      </c>
      <c r="H362" s="544">
        <f>+E362-F362</f>
        <v>14619259.189999998</v>
      </c>
      <c r="I362" s="543"/>
      <c r="K362" s="515"/>
      <c r="M362" s="515"/>
      <c r="N362" s="515"/>
    </row>
    <row r="363" spans="1:14" s="514" customFormat="1" ht="12.75" x14ac:dyDescent="0.2">
      <c r="A363" s="550">
        <v>9200</v>
      </c>
      <c r="B363" s="548" t="s">
        <v>460</v>
      </c>
      <c r="C363" s="544">
        <f>C364</f>
        <v>30093117</v>
      </c>
      <c r="D363" s="544">
        <f>D364</f>
        <v>5639507</v>
      </c>
      <c r="E363" s="544">
        <f>+C363+D363</f>
        <v>35732624</v>
      </c>
      <c r="F363" s="544">
        <v>7639506.379999999</v>
      </c>
      <c r="G363" s="544">
        <v>7639506.379999999</v>
      </c>
      <c r="H363" s="544">
        <f>+E363-F363</f>
        <v>28093117.620000001</v>
      </c>
      <c r="I363" s="543">
        <f>+F363/E363</f>
        <v>0.21379640017480941</v>
      </c>
      <c r="K363" s="515"/>
      <c r="M363" s="515"/>
      <c r="N363" s="515"/>
    </row>
    <row r="364" spans="1:14" s="514" customFormat="1" ht="22.5" x14ac:dyDescent="0.2">
      <c r="A364" s="552">
        <v>921</v>
      </c>
      <c r="B364" s="548" t="s">
        <v>459</v>
      </c>
      <c r="C364" s="544">
        <f>C365+C366</f>
        <v>30093117</v>
      </c>
      <c r="D364" s="544">
        <f>D365+D366</f>
        <v>5639507</v>
      </c>
      <c r="E364" s="544">
        <f>+C364+D364</f>
        <v>35732624</v>
      </c>
      <c r="F364" s="544">
        <v>7639506.379999999</v>
      </c>
      <c r="G364" s="544">
        <v>7639506.379999999</v>
      </c>
      <c r="H364" s="544">
        <f>+E364-F364</f>
        <v>28093117.620000001</v>
      </c>
      <c r="I364" s="543">
        <f>+F364/E364</f>
        <v>0.21379640017480941</v>
      </c>
      <c r="K364" s="515"/>
      <c r="M364" s="515"/>
      <c r="N364" s="515"/>
    </row>
    <row r="365" spans="1:14" s="514" customFormat="1" ht="12.75" x14ac:dyDescent="0.2">
      <c r="A365" s="551">
        <v>92101</v>
      </c>
      <c r="B365" s="546" t="s">
        <v>458</v>
      </c>
      <c r="C365" s="545">
        <v>0</v>
      </c>
      <c r="D365" s="545">
        <v>3742592</v>
      </c>
      <c r="E365" s="544">
        <f>+C365+D365</f>
        <v>3742592</v>
      </c>
      <c r="F365" s="545">
        <v>3742591.73</v>
      </c>
      <c r="G365" s="545">
        <v>3742591.73</v>
      </c>
      <c r="H365" s="544">
        <f>+E365-F365</f>
        <v>0.27000000001862645</v>
      </c>
      <c r="I365" s="543"/>
      <c r="K365" s="515"/>
      <c r="M365" s="515"/>
      <c r="N365" s="515"/>
    </row>
    <row r="366" spans="1:14" s="514" customFormat="1" ht="12.75" x14ac:dyDescent="0.2">
      <c r="A366" s="551">
        <v>92102</v>
      </c>
      <c r="B366" s="546" t="s">
        <v>457</v>
      </c>
      <c r="C366" s="545">
        <f>30093117</f>
        <v>30093117</v>
      </c>
      <c r="D366" s="545">
        <v>1896915</v>
      </c>
      <c r="E366" s="544">
        <f>+C366+D366</f>
        <v>31990032</v>
      </c>
      <c r="F366" s="545">
        <v>3896914.6499999994</v>
      </c>
      <c r="G366" s="545">
        <v>3896914.6499999994</v>
      </c>
      <c r="H366" s="544">
        <f>+E366-F366</f>
        <v>28093117.350000001</v>
      </c>
      <c r="I366" s="543">
        <f>+F366/E366</f>
        <v>0.12181652866117794</v>
      </c>
      <c r="M366" s="515"/>
      <c r="N366" s="515"/>
    </row>
    <row r="367" spans="1:14" s="514" customFormat="1" ht="22.5" x14ac:dyDescent="0.2">
      <c r="A367" s="550">
        <v>9900</v>
      </c>
      <c r="B367" s="548" t="s">
        <v>456</v>
      </c>
      <c r="C367" s="544">
        <f>C368</f>
        <v>6754608</v>
      </c>
      <c r="D367" s="544">
        <f>D368</f>
        <v>17854434.440000001</v>
      </c>
      <c r="E367" s="544">
        <f>+C367+D367</f>
        <v>24609042.440000001</v>
      </c>
      <c r="F367" s="544">
        <v>22580536.140000001</v>
      </c>
      <c r="G367" s="544">
        <v>21625339.280000001</v>
      </c>
      <c r="H367" s="544">
        <f>+E367-F367</f>
        <v>2028506.3000000007</v>
      </c>
      <c r="I367" s="543">
        <f>+F367/E367</f>
        <v>0.9175706935795751</v>
      </c>
      <c r="M367" s="515"/>
      <c r="N367" s="515"/>
    </row>
    <row r="368" spans="1:14" s="514" customFormat="1" ht="12.75" x14ac:dyDescent="0.2">
      <c r="A368" s="549">
        <v>991</v>
      </c>
      <c r="B368" s="548" t="s">
        <v>455</v>
      </c>
      <c r="C368" s="544">
        <f>C369+C370</f>
        <v>6754608</v>
      </c>
      <c r="D368" s="544">
        <f>D369+D370</f>
        <v>17854434.440000001</v>
      </c>
      <c r="E368" s="544">
        <f>+C368+D368</f>
        <v>24609042.440000001</v>
      </c>
      <c r="F368" s="544">
        <v>22580536.140000001</v>
      </c>
      <c r="G368" s="544">
        <v>21625339.280000001</v>
      </c>
      <c r="H368" s="544">
        <f>+E368-F368</f>
        <v>2028506.3000000007</v>
      </c>
      <c r="I368" s="543">
        <f>+F368/E368</f>
        <v>0.9175706935795751</v>
      </c>
      <c r="M368" s="515"/>
      <c r="N368" s="515"/>
    </row>
    <row r="369" spans="1:16" s="514" customFormat="1" ht="12.75" x14ac:dyDescent="0.2">
      <c r="A369" s="547">
        <v>99101</v>
      </c>
      <c r="B369" s="546" t="s">
        <v>454</v>
      </c>
      <c r="C369" s="545">
        <f>4754608+2000000</f>
        <v>6754608</v>
      </c>
      <c r="D369" s="545">
        <f>16248488.96+229356</f>
        <v>16477844.960000001</v>
      </c>
      <c r="E369" s="545">
        <f>+C369+D369</f>
        <v>23232452.960000001</v>
      </c>
      <c r="F369" s="545">
        <v>21232452.460000001</v>
      </c>
      <c r="G369" s="545">
        <v>20238056.75</v>
      </c>
      <c r="H369" s="544">
        <f>+E369-F369</f>
        <v>2000000.5</v>
      </c>
      <c r="I369" s="543">
        <f>+F369/E369</f>
        <v>0.91391350265753424</v>
      </c>
      <c r="M369" s="515"/>
      <c r="N369" s="515"/>
    </row>
    <row r="370" spans="1:16" x14ac:dyDescent="0.25">
      <c r="A370" s="547">
        <v>99101</v>
      </c>
      <c r="B370" s="546" t="s">
        <v>453</v>
      </c>
      <c r="C370" s="545"/>
      <c r="D370" s="545">
        <v>1376589.48</v>
      </c>
      <c r="E370" s="545">
        <f>+C370+D370</f>
        <v>1376589.48</v>
      </c>
      <c r="F370" s="545">
        <v>1348083.68</v>
      </c>
      <c r="G370" s="545">
        <v>1387282.53</v>
      </c>
      <c r="H370" s="544">
        <f>+E370-F370</f>
        <v>28505.800000000047</v>
      </c>
      <c r="I370" s="543">
        <f>+F370/E370</f>
        <v>0.97929244672129845</v>
      </c>
    </row>
    <row r="371" spans="1:16" x14ac:dyDescent="0.25">
      <c r="A371" s="542"/>
      <c r="B371" s="541"/>
      <c r="C371" s="539">
        <v>0</v>
      </c>
      <c r="D371" s="539">
        <v>0</v>
      </c>
      <c r="E371" s="540">
        <f>+C371+D371</f>
        <v>0</v>
      </c>
      <c r="F371" s="539">
        <v>0</v>
      </c>
      <c r="G371" s="539">
        <v>0</v>
      </c>
      <c r="H371" s="538">
        <f>+E371-F371</f>
        <v>0</v>
      </c>
      <c r="I371" s="537"/>
    </row>
    <row r="372" spans="1:16" x14ac:dyDescent="0.25">
      <c r="A372" s="534"/>
      <c r="B372" s="534"/>
      <c r="C372" s="536">
        <f>+C358+C315+C270+C252+C134+C60+C9+C353</f>
        <v>623563231.93999994</v>
      </c>
      <c r="D372" s="536">
        <f>+D358+D315+D270+D252+D134+D60+D9+D353</f>
        <v>98076622.020000011</v>
      </c>
      <c r="E372" s="536">
        <f>+E358+E315+E270+E252+E134+E60+E9+E353</f>
        <v>721639853.96000004</v>
      </c>
      <c r="F372" s="536">
        <f>+F358+F315+F270+F252+F134+F60+F9+F353</f>
        <v>155474969.89000002</v>
      </c>
      <c r="G372" s="536">
        <f>+G358+G315+G270+G252+G134+G60+G9+G353</f>
        <v>137282655.09</v>
      </c>
      <c r="H372" s="535">
        <f>+H358+H315+H270+H252+H134+H60+H9+H353</f>
        <v>566164884.06999993</v>
      </c>
      <c r="I372" s="534"/>
    </row>
    <row r="373" spans="1:16" x14ac:dyDescent="0.25">
      <c r="C373" s="517"/>
    </row>
    <row r="374" spans="1:16" x14ac:dyDescent="0.25">
      <c r="C374" s="532"/>
      <c r="D374" s="531"/>
      <c r="E374" s="530"/>
      <c r="F374" s="530"/>
      <c r="G374" s="533"/>
      <c r="I374" s="514"/>
      <c r="L374"/>
      <c r="M374"/>
      <c r="N374"/>
      <c r="O374"/>
      <c r="P374"/>
    </row>
    <row r="375" spans="1:16" x14ac:dyDescent="0.25">
      <c r="C375" s="532"/>
      <c r="D375" s="532"/>
      <c r="E375" s="532"/>
      <c r="F375" s="532"/>
      <c r="G375" s="532"/>
      <c r="H375" s="532"/>
      <c r="I375" s="532"/>
      <c r="L375"/>
      <c r="M375"/>
      <c r="N375"/>
      <c r="O375"/>
      <c r="P375"/>
    </row>
    <row r="376" spans="1:16" x14ac:dyDescent="0.25">
      <c r="C376" s="532"/>
      <c r="D376" s="531"/>
      <c r="E376" s="530"/>
      <c r="F376" s="530"/>
      <c r="G376" s="530"/>
      <c r="H376" s="514"/>
      <c r="I376" s="514"/>
      <c r="L376"/>
      <c r="M376"/>
      <c r="N376"/>
      <c r="O376"/>
      <c r="P376"/>
    </row>
    <row r="377" spans="1:16" x14ac:dyDescent="0.25">
      <c r="C377" s="516"/>
      <c r="E377" s="529"/>
      <c r="F377" s="529"/>
      <c r="G377" s="529"/>
      <c r="H377" s="514"/>
      <c r="I377" s="514"/>
      <c r="L377"/>
      <c r="M377"/>
      <c r="N377"/>
      <c r="O377"/>
      <c r="P377"/>
    </row>
    <row r="378" spans="1:16" ht="16.5" x14ac:dyDescent="0.25">
      <c r="B378" s="527"/>
      <c r="C378" s="77"/>
      <c r="D378" s="522"/>
      <c r="E378" s="521"/>
      <c r="F378" s="528"/>
      <c r="G378" s="528"/>
      <c r="H378" s="527"/>
      <c r="I378" s="526"/>
    </row>
    <row r="379" spans="1:16" ht="16.5" x14ac:dyDescent="0.3">
      <c r="B379" s="524" t="s">
        <v>452</v>
      </c>
      <c r="C379" s="77"/>
      <c r="D379" s="522"/>
      <c r="E379" s="521"/>
      <c r="F379" s="525" t="s">
        <v>451</v>
      </c>
      <c r="G379" s="525"/>
      <c r="H379" s="525"/>
      <c r="I379" s="525"/>
    </row>
    <row r="380" spans="1:16" ht="16.5" x14ac:dyDescent="0.3">
      <c r="B380" s="524" t="s">
        <v>450</v>
      </c>
      <c r="C380" s="77"/>
      <c r="D380" s="521"/>
      <c r="E380" s="521"/>
      <c r="F380" s="104" t="s">
        <v>449</v>
      </c>
      <c r="G380" s="523"/>
      <c r="H380" s="523"/>
      <c r="I380" s="523"/>
    </row>
    <row r="381" spans="1:16" ht="16.5" x14ac:dyDescent="0.25">
      <c r="B381" s="77"/>
      <c r="C381" s="77"/>
      <c r="D381" s="522"/>
      <c r="E381" s="521"/>
      <c r="F381" s="521"/>
      <c r="G381" s="521"/>
      <c r="H381" s="77"/>
      <c r="I381" s="520"/>
    </row>
    <row r="386" spans="1:16" ht="16.5" x14ac:dyDescent="0.3">
      <c r="B386" s="519"/>
    </row>
    <row r="388" spans="1:16" s="517" customFormat="1" x14ac:dyDescent="0.25">
      <c r="A388"/>
      <c r="B388"/>
      <c r="C388" s="518"/>
      <c r="D388" s="517" t="s">
        <v>46</v>
      </c>
      <c r="H388" s="516"/>
      <c r="I388"/>
      <c r="J388" s="514"/>
      <c r="K388" s="514"/>
      <c r="L388" s="514"/>
      <c r="M388" s="515"/>
      <c r="N388" s="515"/>
      <c r="O388" s="514"/>
      <c r="P388" s="514"/>
    </row>
  </sheetData>
  <mergeCells count="17">
    <mergeCell ref="H7:H8"/>
    <mergeCell ref="I7:I8"/>
    <mergeCell ref="F379:I379"/>
    <mergeCell ref="F380:I380"/>
    <mergeCell ref="F7:F8"/>
    <mergeCell ref="A7:A8"/>
    <mergeCell ref="B7:B8"/>
    <mergeCell ref="C7:C8"/>
    <mergeCell ref="D7:D8"/>
    <mergeCell ref="E7:E8"/>
    <mergeCell ref="G7:G8"/>
    <mergeCell ref="H6:I6"/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F1606-A984-4182-BEC1-7D0B0B361C8A}">
  <sheetPr>
    <tabColor theme="0" tint="-0.249977111117893"/>
  </sheetPr>
  <dimension ref="A1:J38"/>
  <sheetViews>
    <sheetView view="pageBreakPreview" zoomScaleNormal="100" zoomScaleSheetLayoutView="100" workbookViewId="0">
      <selection activeCell="O24" sqref="O24"/>
    </sheetView>
  </sheetViews>
  <sheetFormatPr baseColWidth="10" defaultColWidth="11.28515625" defaultRowHeight="16.5" x14ac:dyDescent="0.3"/>
  <cols>
    <col min="1" max="1" width="4.28515625" style="586" customWidth="1"/>
    <col min="2" max="2" width="41.7109375" style="586" customWidth="1"/>
    <col min="3" max="5" width="16.7109375" style="586" customWidth="1"/>
    <col min="6" max="16384" width="11.28515625" style="586"/>
  </cols>
  <sheetData>
    <row r="1" spans="1:7" x14ac:dyDescent="0.3">
      <c r="A1" s="174" t="s">
        <v>42</v>
      </c>
      <c r="B1" s="174"/>
      <c r="C1" s="174"/>
      <c r="D1" s="174"/>
      <c r="E1" s="174"/>
    </row>
    <row r="2" spans="1:7" x14ac:dyDescent="0.3">
      <c r="A2" s="622" t="s">
        <v>738</v>
      </c>
      <c r="B2" s="622"/>
      <c r="C2" s="622"/>
      <c r="D2" s="622"/>
      <c r="E2" s="622"/>
    </row>
    <row r="3" spans="1:7" x14ac:dyDescent="0.3">
      <c r="A3" s="625" t="str">
        <f>'[1]ETCA-I-01'!A3:G3</f>
        <v>Comision Estatal del Agua</v>
      </c>
      <c r="B3" s="625"/>
      <c r="C3" s="625"/>
      <c r="D3" s="625"/>
      <c r="E3" s="625"/>
      <c r="G3" s="624"/>
    </row>
    <row r="4" spans="1:7" x14ac:dyDescent="0.3">
      <c r="A4" s="623" t="str">
        <f>'[1]ETCA-I-03'!A4:D4</f>
        <v>Del 01 de Enero al 31 de Marzo de 2019</v>
      </c>
      <c r="B4" s="623"/>
      <c r="C4" s="623"/>
      <c r="D4" s="623"/>
      <c r="E4" s="623"/>
    </row>
    <row r="5" spans="1:7" ht="17.25" thickBot="1" x14ac:dyDescent="0.35">
      <c r="A5" s="621"/>
      <c r="B5" s="622" t="s">
        <v>742</v>
      </c>
      <c r="C5" s="622"/>
      <c r="D5" s="99"/>
      <c r="E5" s="621"/>
    </row>
    <row r="6" spans="1:7" s="54" customFormat="1" ht="30" customHeight="1" x14ac:dyDescent="0.25">
      <c r="A6" s="620" t="s">
        <v>741</v>
      </c>
      <c r="B6" s="619"/>
      <c r="C6" s="618" t="s">
        <v>740</v>
      </c>
      <c r="D6" s="617" t="s">
        <v>739</v>
      </c>
      <c r="E6" s="616" t="s">
        <v>738</v>
      </c>
    </row>
    <row r="7" spans="1:7" s="54" customFormat="1" ht="30" customHeight="1" thickBot="1" x14ac:dyDescent="0.3">
      <c r="A7" s="615"/>
      <c r="B7" s="614"/>
      <c r="C7" s="613" t="s">
        <v>737</v>
      </c>
      <c r="D7" s="613" t="s">
        <v>736</v>
      </c>
      <c r="E7" s="612" t="s">
        <v>735</v>
      </c>
    </row>
    <row r="8" spans="1:7" s="54" customFormat="1" ht="21" customHeight="1" x14ac:dyDescent="0.25">
      <c r="A8" s="611" t="s">
        <v>734</v>
      </c>
      <c r="B8" s="610"/>
      <c r="C8" s="610"/>
      <c r="D8" s="610"/>
      <c r="E8" s="609"/>
    </row>
    <row r="9" spans="1:7" s="54" customFormat="1" ht="20.25" customHeight="1" x14ac:dyDescent="0.25">
      <c r="A9" s="601">
        <v>1</v>
      </c>
      <c r="B9" s="604" t="s">
        <v>733</v>
      </c>
      <c r="C9" s="603">
        <v>446913961</v>
      </c>
      <c r="D9" s="602">
        <f>115913072.36+4010257</f>
        <v>119923329.36</v>
      </c>
      <c r="E9" s="597">
        <f>IF(B9="","",C9-D9)</f>
        <v>326990631.63999999</v>
      </c>
    </row>
    <row r="10" spans="1:7" s="54" customFormat="1" ht="20.25" customHeight="1" x14ac:dyDescent="0.25">
      <c r="A10" s="601">
        <v>2</v>
      </c>
      <c r="B10" s="604"/>
      <c r="C10" s="603"/>
      <c r="D10" s="602"/>
      <c r="E10" s="597" t="str">
        <f>IF(B10="","",C10-D10)</f>
        <v/>
      </c>
    </row>
    <row r="11" spans="1:7" s="54" customFormat="1" ht="20.25" customHeight="1" x14ac:dyDescent="0.25">
      <c r="A11" s="601">
        <v>3</v>
      </c>
      <c r="B11" s="604"/>
      <c r="C11" s="603"/>
      <c r="D11" s="602"/>
      <c r="E11" s="597" t="str">
        <f>IF(B11="","",C11-D11)</f>
        <v/>
      </c>
    </row>
    <row r="12" spans="1:7" s="54" customFormat="1" ht="20.25" customHeight="1" x14ac:dyDescent="0.25">
      <c r="A12" s="601">
        <v>4</v>
      </c>
      <c r="B12" s="604"/>
      <c r="C12" s="603"/>
      <c r="D12" s="602"/>
      <c r="E12" s="597" t="str">
        <f>IF(B12="","",C12-D12)</f>
        <v/>
      </c>
    </row>
    <row r="13" spans="1:7" s="54" customFormat="1" ht="20.25" customHeight="1" x14ac:dyDescent="0.25">
      <c r="A13" s="601">
        <v>5</v>
      </c>
      <c r="B13" s="604"/>
      <c r="C13" s="603"/>
      <c r="D13" s="602"/>
      <c r="E13" s="597" t="str">
        <f>IF(B13="","",C13-D13)</f>
        <v/>
      </c>
    </row>
    <row r="14" spans="1:7" s="54" customFormat="1" ht="20.25" customHeight="1" x14ac:dyDescent="0.25">
      <c r="A14" s="601">
        <v>6</v>
      </c>
      <c r="B14" s="604"/>
      <c r="C14" s="603"/>
      <c r="D14" s="602"/>
      <c r="E14" s="597" t="str">
        <f>IF(B14="","",C14-D14)</f>
        <v/>
      </c>
    </row>
    <row r="15" spans="1:7" s="54" customFormat="1" ht="20.25" customHeight="1" x14ac:dyDescent="0.25">
      <c r="A15" s="601">
        <v>7</v>
      </c>
      <c r="B15" s="604"/>
      <c r="C15" s="603"/>
      <c r="D15" s="602"/>
      <c r="E15" s="597" t="str">
        <f>IF(B15="","",C15-D15)</f>
        <v/>
      </c>
    </row>
    <row r="16" spans="1:7" s="54" customFormat="1" ht="20.25" customHeight="1" x14ac:dyDescent="0.25">
      <c r="A16" s="601">
        <v>8</v>
      </c>
      <c r="B16" s="604"/>
      <c r="C16" s="603"/>
      <c r="D16" s="602"/>
      <c r="E16" s="597" t="str">
        <f>IF(B16="","",C16-D16)</f>
        <v/>
      </c>
    </row>
    <row r="17" spans="1:5" s="54" customFormat="1" ht="20.25" customHeight="1" x14ac:dyDescent="0.25">
      <c r="A17" s="601">
        <v>9</v>
      </c>
      <c r="B17" s="604"/>
      <c r="C17" s="603"/>
      <c r="D17" s="602"/>
      <c r="E17" s="597" t="str">
        <f>IF(B17="","",C17-D17)</f>
        <v/>
      </c>
    </row>
    <row r="18" spans="1:5" s="54" customFormat="1" ht="20.25" customHeight="1" x14ac:dyDescent="0.25">
      <c r="A18" s="601">
        <v>10</v>
      </c>
      <c r="B18" s="604"/>
      <c r="C18" s="603"/>
      <c r="D18" s="602"/>
      <c r="E18" s="597" t="str">
        <f>IF(B18="","",C18-D18)</f>
        <v/>
      </c>
    </row>
    <row r="19" spans="1:5" s="54" customFormat="1" ht="20.25" customHeight="1" x14ac:dyDescent="0.25">
      <c r="A19" s="601"/>
      <c r="B19" s="608" t="s">
        <v>732</v>
      </c>
      <c r="C19" s="599">
        <f>SUM(C9:C18)</f>
        <v>446913961</v>
      </c>
      <c r="D19" s="598">
        <f>SUM(D9:D18)</f>
        <v>119923329.36</v>
      </c>
      <c r="E19" s="597">
        <f>SUM(E9:E18)</f>
        <v>326990631.63999999</v>
      </c>
    </row>
    <row r="20" spans="1:5" s="54" customFormat="1" ht="21" customHeight="1" x14ac:dyDescent="0.25">
      <c r="A20" s="607" t="s">
        <v>731</v>
      </c>
      <c r="B20" s="606"/>
      <c r="C20" s="606"/>
      <c r="D20" s="606"/>
      <c r="E20" s="605"/>
    </row>
    <row r="21" spans="1:5" s="54" customFormat="1" ht="20.25" customHeight="1" x14ac:dyDescent="0.25">
      <c r="A21" s="601">
        <v>1</v>
      </c>
      <c r="B21" s="604"/>
      <c r="C21" s="603"/>
      <c r="D21" s="602"/>
      <c r="E21" s="597" t="str">
        <f>IF(B21="","",C21-D21)</f>
        <v/>
      </c>
    </row>
    <row r="22" spans="1:5" s="54" customFormat="1" ht="20.25" customHeight="1" x14ac:dyDescent="0.25">
      <c r="A22" s="601">
        <v>2</v>
      </c>
      <c r="B22" s="604"/>
      <c r="C22" s="603"/>
      <c r="D22" s="602"/>
      <c r="E22" s="597" t="str">
        <f>IF(B22="","",C22-D22)</f>
        <v/>
      </c>
    </row>
    <row r="23" spans="1:5" s="54" customFormat="1" ht="20.25" customHeight="1" x14ac:dyDescent="0.25">
      <c r="A23" s="601">
        <v>3</v>
      </c>
      <c r="B23" s="604"/>
      <c r="C23" s="603"/>
      <c r="D23" s="602"/>
      <c r="E23" s="597" t="str">
        <f>IF(B23="","",C23-D23)</f>
        <v/>
      </c>
    </row>
    <row r="24" spans="1:5" s="54" customFormat="1" ht="20.25" customHeight="1" x14ac:dyDescent="0.25">
      <c r="A24" s="601">
        <v>4</v>
      </c>
      <c r="B24" s="604"/>
      <c r="C24" s="603"/>
      <c r="D24" s="602"/>
      <c r="E24" s="597" t="str">
        <f>IF(B24="","",C24-D24)</f>
        <v/>
      </c>
    </row>
    <row r="25" spans="1:5" s="54" customFormat="1" ht="20.25" customHeight="1" x14ac:dyDescent="0.25">
      <c r="A25" s="601">
        <v>5</v>
      </c>
      <c r="B25" s="604"/>
      <c r="C25" s="603"/>
      <c r="D25" s="602"/>
      <c r="E25" s="597" t="str">
        <f>IF(B25="","",C25-D25)</f>
        <v/>
      </c>
    </row>
    <row r="26" spans="1:5" s="54" customFormat="1" ht="20.25" customHeight="1" x14ac:dyDescent="0.25">
      <c r="A26" s="601">
        <v>6</v>
      </c>
      <c r="B26" s="604"/>
      <c r="C26" s="603"/>
      <c r="D26" s="602"/>
      <c r="E26" s="597" t="str">
        <f>IF(B26="","",C26-D26)</f>
        <v/>
      </c>
    </row>
    <row r="27" spans="1:5" s="54" customFormat="1" ht="20.25" customHeight="1" x14ac:dyDescent="0.25">
      <c r="A27" s="601">
        <v>7</v>
      </c>
      <c r="B27" s="604"/>
      <c r="C27" s="603"/>
      <c r="D27" s="602"/>
      <c r="E27" s="597" t="str">
        <f>IF(B27="","",C27-D27)</f>
        <v/>
      </c>
    </row>
    <row r="28" spans="1:5" s="54" customFormat="1" ht="20.25" customHeight="1" x14ac:dyDescent="0.25">
      <c r="A28" s="601">
        <v>8</v>
      </c>
      <c r="B28" s="604"/>
      <c r="C28" s="603"/>
      <c r="D28" s="602"/>
      <c r="E28" s="597" t="str">
        <f>IF(B28="","",C28-D29)</f>
        <v/>
      </c>
    </row>
    <row r="29" spans="1:5" s="54" customFormat="1" ht="20.25" customHeight="1" x14ac:dyDescent="0.25">
      <c r="A29" s="601">
        <v>9</v>
      </c>
      <c r="B29" s="604"/>
      <c r="C29" s="603"/>
      <c r="D29" s="602"/>
      <c r="E29" s="597" t="str">
        <f>IF(B29="","",C29-#REF!)</f>
        <v/>
      </c>
    </row>
    <row r="30" spans="1:5" s="54" customFormat="1" ht="20.25" customHeight="1" x14ac:dyDescent="0.25">
      <c r="A30" s="601">
        <v>10</v>
      </c>
      <c r="B30" s="604"/>
      <c r="C30" s="603"/>
      <c r="D30" s="602"/>
      <c r="E30" s="597" t="str">
        <f>IF(B30="","",C30-D30)</f>
        <v/>
      </c>
    </row>
    <row r="31" spans="1:5" s="596" customFormat="1" ht="39.950000000000003" customHeight="1" thickBot="1" x14ac:dyDescent="0.35">
      <c r="A31" s="601"/>
      <c r="B31" s="600" t="s">
        <v>730</v>
      </c>
      <c r="C31" s="599">
        <f>SUM(C21:C30)</f>
        <v>0</v>
      </c>
      <c r="D31" s="598">
        <f>SUM(D21:D30)</f>
        <v>0</v>
      </c>
      <c r="E31" s="597">
        <f>SUM(E21:E30)</f>
        <v>0</v>
      </c>
    </row>
    <row r="32" spans="1:5" ht="30" customHeight="1" thickBot="1" x14ac:dyDescent="0.35">
      <c r="A32" s="595"/>
      <c r="B32" s="594" t="s">
        <v>729</v>
      </c>
      <c r="C32" s="593">
        <f>SUM(C19,C31)</f>
        <v>446913961</v>
      </c>
      <c r="D32" s="593">
        <f>SUM(D19,D31)</f>
        <v>119923329.36</v>
      </c>
      <c r="E32" s="592">
        <f>SUM(E19,E31)</f>
        <v>326990631.63999999</v>
      </c>
    </row>
    <row r="33" spans="1:10" ht="17.100000000000001" customHeight="1" x14ac:dyDescent="0.3">
      <c r="A33" s="591" t="s">
        <v>728</v>
      </c>
    </row>
    <row r="34" spans="1:10" ht="17.100000000000001" customHeight="1" x14ac:dyDescent="0.3">
      <c r="A34" s="590"/>
      <c r="B34" s="589"/>
      <c r="C34" s="588"/>
      <c r="D34" s="588"/>
      <c r="E34" s="588"/>
    </row>
    <row r="35" spans="1:10" ht="17.100000000000001" customHeight="1" x14ac:dyDescent="0.3">
      <c r="A35" s="590"/>
      <c r="B35" s="589"/>
      <c r="C35" s="588"/>
      <c r="D35" s="588"/>
      <c r="E35" s="588"/>
    </row>
    <row r="36" spans="1:10" ht="17.100000000000001" customHeight="1" x14ac:dyDescent="0.3">
      <c r="A36" s="590"/>
      <c r="B36" s="589"/>
      <c r="C36" s="588"/>
      <c r="D36" s="588"/>
      <c r="E36" s="588"/>
    </row>
    <row r="37" spans="1:10" ht="17.100000000000001" customHeight="1" x14ac:dyDescent="0.3">
      <c r="A37" s="590"/>
      <c r="B37" s="589"/>
      <c r="C37" s="588"/>
      <c r="D37" s="588"/>
      <c r="E37" s="588"/>
    </row>
    <row r="38" spans="1:10" ht="17.100000000000001" customHeight="1" x14ac:dyDescent="0.3">
      <c r="A38" s="586" t="s">
        <v>46</v>
      </c>
      <c r="J38" s="587"/>
    </row>
  </sheetData>
  <sheetProtection sheet="1" scenarios="1" insertHyperlinks="0"/>
  <mergeCells count="8">
    <mergeCell ref="A1:E1"/>
    <mergeCell ref="A3:E3"/>
    <mergeCell ref="A4:E4"/>
    <mergeCell ref="A20:E20"/>
    <mergeCell ref="A2:E2"/>
    <mergeCell ref="A6:B7"/>
    <mergeCell ref="A8:E8"/>
    <mergeCell ref="B5:C5"/>
  </mergeCells>
  <printOptions horizontalCentered="1"/>
  <pageMargins left="0.39370078740157483" right="0.39370078740157483" top="0.74803149606299213" bottom="0.74803149606299213" header="0.31496062992125984" footer="0.31496062992125984"/>
  <pageSetup scale="9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609E4-93FC-4FEB-B617-6C31EB59665A}">
  <sheetPr>
    <tabColor theme="0" tint="-0.249977111117893"/>
  </sheetPr>
  <dimension ref="A1:I38"/>
  <sheetViews>
    <sheetView view="pageBreakPreview" topLeftCell="A4" zoomScale="90" zoomScaleNormal="100" zoomScaleSheetLayoutView="90" workbookViewId="0">
      <selection activeCell="O24" sqref="O24"/>
    </sheetView>
  </sheetViews>
  <sheetFormatPr baseColWidth="10" defaultColWidth="11.28515625" defaultRowHeight="16.5" x14ac:dyDescent="0.3"/>
  <cols>
    <col min="1" max="1" width="4.85546875" style="586" customWidth="1"/>
    <col min="2" max="2" width="41" style="586" customWidth="1"/>
    <col min="3" max="4" width="25.7109375" style="586" customWidth="1"/>
    <col min="5" max="16384" width="11.28515625" style="586"/>
  </cols>
  <sheetData>
    <row r="1" spans="1:6" x14ac:dyDescent="0.3">
      <c r="A1" s="635"/>
      <c r="B1" s="174" t="s">
        <v>42</v>
      </c>
      <c r="C1" s="174"/>
      <c r="D1" s="174"/>
    </row>
    <row r="2" spans="1:6" x14ac:dyDescent="0.3">
      <c r="B2" s="622" t="s">
        <v>747</v>
      </c>
      <c r="C2" s="622"/>
      <c r="D2" s="622"/>
      <c r="F2" s="624"/>
    </row>
    <row r="3" spans="1:6" x14ac:dyDescent="0.3">
      <c r="B3" s="625" t="str">
        <f>'[1]ETCA-I-01'!A3</f>
        <v>Comision Estatal del Agua</v>
      </c>
      <c r="C3" s="625"/>
      <c r="D3" s="625"/>
    </row>
    <row r="4" spans="1:6" x14ac:dyDescent="0.3">
      <c r="B4" s="623" t="str">
        <f>'[1]ETCA-I-03'!A4</f>
        <v>Del 01 de Enero al 31 de Marzo de 2019</v>
      </c>
      <c r="C4" s="623"/>
      <c r="D4" s="623"/>
    </row>
    <row r="5" spans="1:6" x14ac:dyDescent="0.3">
      <c r="A5" s="634"/>
      <c r="B5" s="633" t="s">
        <v>746</v>
      </c>
      <c r="C5" s="633"/>
      <c r="D5" s="226"/>
    </row>
    <row r="6" spans="1:6" ht="6.75" customHeight="1" thickBot="1" x14ac:dyDescent="0.35"/>
    <row r="7" spans="1:6" s="54" customFormat="1" ht="27.95" customHeight="1" x14ac:dyDescent="0.25">
      <c r="A7" s="620" t="s">
        <v>741</v>
      </c>
      <c r="B7" s="619"/>
      <c r="C7" s="632" t="s">
        <v>110</v>
      </c>
      <c r="D7" s="631" t="s">
        <v>333</v>
      </c>
    </row>
    <row r="8" spans="1:6" s="54" customFormat="1" ht="4.5" customHeight="1" thickBot="1" x14ac:dyDescent="0.3">
      <c r="A8" s="615"/>
      <c r="B8" s="614"/>
      <c r="C8" s="630"/>
      <c r="D8" s="629"/>
    </row>
    <row r="9" spans="1:6" s="54" customFormat="1" ht="21" customHeight="1" x14ac:dyDescent="0.25">
      <c r="A9" s="611" t="s">
        <v>734</v>
      </c>
      <c r="B9" s="610"/>
      <c r="C9" s="610"/>
      <c r="D9" s="609"/>
    </row>
    <row r="10" spans="1:6" s="54" customFormat="1" ht="18" customHeight="1" x14ac:dyDescent="0.25">
      <c r="A10" s="601">
        <v>1</v>
      </c>
      <c r="B10" s="604" t="s">
        <v>745</v>
      </c>
      <c r="C10" s="628">
        <f>30093116.46+7639506.38</f>
        <v>37732622.840000004</v>
      </c>
      <c r="D10" s="627">
        <v>37732622.840000004</v>
      </c>
    </row>
    <row r="11" spans="1:6" s="54" customFormat="1" ht="18" customHeight="1" x14ac:dyDescent="0.25">
      <c r="A11" s="601">
        <v>2</v>
      </c>
      <c r="B11" s="604"/>
      <c r="C11" s="628"/>
      <c r="D11" s="627"/>
    </row>
    <row r="12" spans="1:6" s="54" customFormat="1" ht="18" customHeight="1" x14ac:dyDescent="0.25">
      <c r="A12" s="601">
        <v>3</v>
      </c>
      <c r="B12" s="604"/>
      <c r="C12" s="628"/>
      <c r="D12" s="627"/>
    </row>
    <row r="13" spans="1:6" s="54" customFormat="1" ht="18" customHeight="1" x14ac:dyDescent="0.25">
      <c r="A13" s="601">
        <v>4</v>
      </c>
      <c r="B13" s="604"/>
      <c r="C13" s="628"/>
      <c r="D13" s="627"/>
    </row>
    <row r="14" spans="1:6" s="54" customFormat="1" ht="18" customHeight="1" x14ac:dyDescent="0.25">
      <c r="A14" s="601">
        <v>5</v>
      </c>
      <c r="B14" s="604"/>
      <c r="C14" s="628"/>
      <c r="D14" s="627"/>
    </row>
    <row r="15" spans="1:6" s="54" customFormat="1" ht="18" customHeight="1" x14ac:dyDescent="0.25">
      <c r="A15" s="601">
        <v>6</v>
      </c>
      <c r="B15" s="604"/>
      <c r="C15" s="628"/>
      <c r="D15" s="627"/>
    </row>
    <row r="16" spans="1:6" s="54" customFormat="1" ht="18" customHeight="1" x14ac:dyDescent="0.25">
      <c r="A16" s="601">
        <v>7</v>
      </c>
      <c r="B16" s="604"/>
      <c r="C16" s="628"/>
      <c r="D16" s="627"/>
    </row>
    <row r="17" spans="1:4" s="54" customFormat="1" ht="18" customHeight="1" x14ac:dyDescent="0.25">
      <c r="A17" s="601">
        <v>8</v>
      </c>
      <c r="B17" s="604"/>
      <c r="C17" s="628"/>
      <c r="D17" s="627"/>
    </row>
    <row r="18" spans="1:4" s="54" customFormat="1" ht="18" customHeight="1" x14ac:dyDescent="0.25">
      <c r="A18" s="601">
        <v>9</v>
      </c>
      <c r="B18" s="604"/>
      <c r="C18" s="628"/>
      <c r="D18" s="627"/>
    </row>
    <row r="19" spans="1:4" s="54" customFormat="1" ht="18" customHeight="1" x14ac:dyDescent="0.25">
      <c r="A19" s="601">
        <v>10</v>
      </c>
      <c r="B19" s="604"/>
      <c r="C19" s="628"/>
      <c r="D19" s="627"/>
    </row>
    <row r="20" spans="1:4" s="54" customFormat="1" ht="18" customHeight="1" x14ac:dyDescent="0.25">
      <c r="A20" s="601"/>
      <c r="B20" s="608" t="s">
        <v>744</v>
      </c>
      <c r="C20" s="599">
        <f>SUM(C10:C19)</f>
        <v>37732622.840000004</v>
      </c>
      <c r="D20" s="597">
        <f>SUM(D10:D19)</f>
        <v>37732622.840000004</v>
      </c>
    </row>
    <row r="21" spans="1:4" s="54" customFormat="1" ht="21" customHeight="1" x14ac:dyDescent="0.25">
      <c r="A21" s="607" t="s">
        <v>731</v>
      </c>
      <c r="B21" s="606"/>
      <c r="C21" s="606"/>
      <c r="D21" s="605"/>
    </row>
    <row r="22" spans="1:4" s="54" customFormat="1" ht="18" customHeight="1" x14ac:dyDescent="0.25">
      <c r="A22" s="601">
        <v>1</v>
      </c>
      <c r="B22" s="604"/>
      <c r="C22" s="628"/>
      <c r="D22" s="627"/>
    </row>
    <row r="23" spans="1:4" s="54" customFormat="1" ht="18" customHeight="1" x14ac:dyDescent="0.25">
      <c r="A23" s="601">
        <v>2</v>
      </c>
      <c r="B23" s="604"/>
      <c r="C23" s="628"/>
      <c r="D23" s="627"/>
    </row>
    <row r="24" spans="1:4" s="54" customFormat="1" ht="18" customHeight="1" x14ac:dyDescent="0.25">
      <c r="A24" s="601">
        <v>3</v>
      </c>
      <c r="B24" s="604"/>
      <c r="C24" s="628"/>
      <c r="D24" s="627"/>
    </row>
    <row r="25" spans="1:4" s="54" customFormat="1" ht="18" customHeight="1" x14ac:dyDescent="0.25">
      <c r="A25" s="601">
        <v>4</v>
      </c>
      <c r="B25" s="604"/>
      <c r="C25" s="628"/>
      <c r="D25" s="627"/>
    </row>
    <row r="26" spans="1:4" s="54" customFormat="1" ht="18" customHeight="1" x14ac:dyDescent="0.25">
      <c r="A26" s="601">
        <v>5</v>
      </c>
      <c r="B26" s="604"/>
      <c r="C26" s="628"/>
      <c r="D26" s="627"/>
    </row>
    <row r="27" spans="1:4" s="54" customFormat="1" ht="18" customHeight="1" x14ac:dyDescent="0.25">
      <c r="A27" s="601">
        <v>6</v>
      </c>
      <c r="B27" s="604"/>
      <c r="C27" s="628"/>
      <c r="D27" s="627"/>
    </row>
    <row r="28" spans="1:4" s="54" customFormat="1" ht="18" customHeight="1" x14ac:dyDescent="0.25">
      <c r="A28" s="601">
        <v>7</v>
      </c>
      <c r="B28" s="604"/>
      <c r="C28" s="628"/>
      <c r="D28" s="627"/>
    </row>
    <row r="29" spans="1:4" s="54" customFormat="1" ht="18" customHeight="1" x14ac:dyDescent="0.25">
      <c r="A29" s="601">
        <v>8</v>
      </c>
      <c r="B29" s="604"/>
      <c r="C29" s="628"/>
      <c r="D29" s="627"/>
    </row>
    <row r="30" spans="1:4" s="54" customFormat="1" ht="18" customHeight="1" x14ac:dyDescent="0.25">
      <c r="A30" s="601">
        <v>9</v>
      </c>
      <c r="B30" s="604"/>
      <c r="C30" s="628"/>
      <c r="D30" s="627"/>
    </row>
    <row r="31" spans="1:4" s="54" customFormat="1" ht="18" customHeight="1" x14ac:dyDescent="0.25">
      <c r="A31" s="601">
        <v>10</v>
      </c>
      <c r="B31" s="604"/>
      <c r="C31" s="628" t="s">
        <v>46</v>
      </c>
      <c r="D31" s="627"/>
    </row>
    <row r="32" spans="1:4" s="596" customFormat="1" ht="18" customHeight="1" thickBot="1" x14ac:dyDescent="0.35">
      <c r="A32" s="601"/>
      <c r="B32" s="600" t="s">
        <v>743</v>
      </c>
      <c r="C32" s="599">
        <f>SUM(C22:C31)</f>
        <v>0</v>
      </c>
      <c r="D32" s="597">
        <f>SUM(D22:D31)</f>
        <v>0</v>
      </c>
    </row>
    <row r="33" spans="1:9" ht="27.95" customHeight="1" thickBot="1" x14ac:dyDescent="0.35">
      <c r="A33" s="595"/>
      <c r="B33" s="594" t="s">
        <v>729</v>
      </c>
      <c r="C33" s="593">
        <f>SUM(C32,C20)</f>
        <v>37732622.840000004</v>
      </c>
      <c r="D33" s="626">
        <f>SUM(D32,D20)</f>
        <v>37732622.840000004</v>
      </c>
    </row>
    <row r="34" spans="1:9" s="596" customFormat="1" ht="18" customHeight="1" x14ac:dyDescent="0.3">
      <c r="A34" s="591" t="s">
        <v>728</v>
      </c>
      <c r="B34" s="586"/>
      <c r="C34" s="586"/>
      <c r="D34" s="586"/>
      <c r="E34" s="586"/>
    </row>
    <row r="35" spans="1:9" s="596" customFormat="1" ht="18" customHeight="1" x14ac:dyDescent="0.3">
      <c r="A35" s="586"/>
      <c r="B35" s="586"/>
      <c r="C35" s="586"/>
      <c r="D35" s="586"/>
      <c r="E35" s="586"/>
    </row>
    <row r="36" spans="1:9" s="596" customFormat="1" ht="18" customHeight="1" x14ac:dyDescent="0.3">
      <c r="A36" s="586"/>
      <c r="B36" s="586"/>
      <c r="C36" s="586"/>
      <c r="D36" s="586"/>
      <c r="E36" s="586"/>
    </row>
    <row r="37" spans="1:9" ht="17.100000000000001" customHeight="1" x14ac:dyDescent="0.3">
      <c r="A37" s="590"/>
      <c r="B37" s="589"/>
      <c r="C37" s="588"/>
      <c r="D37" s="588"/>
    </row>
    <row r="38" spans="1:9" ht="17.100000000000001" customHeight="1" x14ac:dyDescent="0.3">
      <c r="I38" s="587"/>
    </row>
  </sheetData>
  <sheetProtection sheet="1" scenarios="1" insertHyperlinks="0"/>
  <mergeCells count="10">
    <mergeCell ref="A7:B8"/>
    <mergeCell ref="A9:D9"/>
    <mergeCell ref="A21:D21"/>
    <mergeCell ref="C7:C8"/>
    <mergeCell ref="D7:D8"/>
    <mergeCell ref="B1:D1"/>
    <mergeCell ref="B2:D2"/>
    <mergeCell ref="B3:D3"/>
    <mergeCell ref="B4:D4"/>
    <mergeCell ref="B5:C5"/>
  </mergeCells>
  <printOptions horizontalCentered="1"/>
  <pageMargins left="0.39370078740157483" right="0.39370078740157483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F50AF-D23E-4B1B-8191-A999C9497035}">
  <sheetPr>
    <tabColor theme="0" tint="-0.249977111117893"/>
  </sheetPr>
  <dimension ref="A1:J91"/>
  <sheetViews>
    <sheetView view="pageBreakPreview" topLeftCell="A58" zoomScale="130" zoomScaleNormal="120" zoomScaleSheetLayoutView="130" workbookViewId="0">
      <selection activeCell="O24" sqref="O24"/>
    </sheetView>
  </sheetViews>
  <sheetFormatPr baseColWidth="10" defaultColWidth="11.42578125" defaultRowHeight="15" x14ac:dyDescent="0.25"/>
  <cols>
    <col min="1" max="1" width="1.85546875" customWidth="1"/>
    <col min="2" max="2" width="0.85546875" customWidth="1"/>
    <col min="3" max="3" width="48.28515625" customWidth="1"/>
    <col min="5" max="5" width="12.85546875" customWidth="1"/>
  </cols>
  <sheetData>
    <row r="1" spans="1:9" ht="15.75" x14ac:dyDescent="0.25">
      <c r="A1" s="174" t="s">
        <v>42</v>
      </c>
      <c r="B1" s="174"/>
      <c r="C1" s="174"/>
      <c r="D1" s="174"/>
      <c r="E1" s="174"/>
      <c r="F1" s="174"/>
      <c r="G1" s="174"/>
      <c r="H1" s="174"/>
      <c r="I1" s="174"/>
    </row>
    <row r="2" spans="1:9" ht="15.75" customHeight="1" x14ac:dyDescent="0.25">
      <c r="A2" s="173" t="s">
        <v>115</v>
      </c>
      <c r="B2" s="173"/>
      <c r="C2" s="173"/>
      <c r="D2" s="173"/>
      <c r="E2" s="173"/>
      <c r="F2" s="173"/>
      <c r="G2" s="173"/>
      <c r="H2" s="173"/>
      <c r="I2" s="173"/>
    </row>
    <row r="3" spans="1:9" ht="16.5" customHeight="1" x14ac:dyDescent="0.25">
      <c r="A3" s="173" t="str">
        <f>'[1]ETCA-I-01'!A3:G3</f>
        <v>Comision Estatal del Agua</v>
      </c>
      <c r="B3" s="173"/>
      <c r="C3" s="173"/>
      <c r="D3" s="173"/>
      <c r="E3" s="173"/>
      <c r="F3" s="173"/>
      <c r="G3" s="173"/>
      <c r="H3" s="173"/>
      <c r="I3" s="173"/>
    </row>
    <row r="4" spans="1:9" ht="15.75" customHeight="1" x14ac:dyDescent="0.25">
      <c r="A4" s="172" t="str">
        <f>'[1]ETCA-I-10'!A4:K4</f>
        <v>Del 01 de Enero al 31 de Marzo de 2019</v>
      </c>
      <c r="B4" s="172"/>
      <c r="C4" s="172"/>
      <c r="D4" s="172"/>
      <c r="E4" s="172"/>
      <c r="F4" s="172"/>
      <c r="G4" s="172"/>
      <c r="H4" s="172"/>
      <c r="I4" s="172"/>
    </row>
    <row r="5" spans="1:9" ht="15.75" customHeight="1" thickBot="1" x14ac:dyDescent="0.3">
      <c r="A5" s="171" t="s">
        <v>40</v>
      </c>
      <c r="B5" s="171"/>
      <c r="C5" s="171"/>
      <c r="D5" s="171"/>
      <c r="E5" s="171"/>
      <c r="F5" s="171"/>
      <c r="G5" s="171"/>
      <c r="H5" s="171"/>
      <c r="I5" s="171"/>
    </row>
    <row r="6" spans="1:9" ht="15.75" thickBot="1" x14ac:dyDescent="0.3">
      <c r="A6" s="170"/>
      <c r="B6" s="169"/>
      <c r="C6" s="168"/>
      <c r="D6" s="167" t="s">
        <v>33</v>
      </c>
      <c r="E6" s="166"/>
      <c r="F6" s="166"/>
      <c r="G6" s="166"/>
      <c r="H6" s="165"/>
      <c r="I6" s="160" t="s">
        <v>114</v>
      </c>
    </row>
    <row r="7" spans="1:9" x14ac:dyDescent="0.25">
      <c r="A7" s="164" t="s">
        <v>113</v>
      </c>
      <c r="B7" s="163"/>
      <c r="C7" s="162"/>
      <c r="D7" s="160" t="s">
        <v>112</v>
      </c>
      <c r="E7" s="161" t="s">
        <v>111</v>
      </c>
      <c r="F7" s="160" t="s">
        <v>30</v>
      </c>
      <c r="G7" s="160" t="s">
        <v>110</v>
      </c>
      <c r="H7" s="160" t="s">
        <v>109</v>
      </c>
      <c r="I7" s="159"/>
    </row>
    <row r="8" spans="1:9" ht="15.75" thickBot="1" x14ac:dyDescent="0.3">
      <c r="A8" s="158" t="s">
        <v>108</v>
      </c>
      <c r="B8" s="157"/>
      <c r="C8" s="156"/>
      <c r="D8" s="154"/>
      <c r="E8" s="155"/>
      <c r="F8" s="154"/>
      <c r="G8" s="154"/>
      <c r="H8" s="154"/>
      <c r="I8" s="154"/>
    </row>
    <row r="9" spans="1:9" x14ac:dyDescent="0.25">
      <c r="A9" s="153"/>
      <c r="B9" s="152"/>
      <c r="C9" s="151"/>
      <c r="D9" s="150"/>
      <c r="E9" s="150"/>
      <c r="F9" s="150"/>
      <c r="G9" s="150"/>
      <c r="H9" s="150"/>
      <c r="I9" s="150"/>
    </row>
    <row r="10" spans="1:9" x14ac:dyDescent="0.25">
      <c r="A10" s="122" t="s">
        <v>107</v>
      </c>
      <c r="B10" s="114"/>
      <c r="C10" s="149"/>
      <c r="D10" s="148"/>
      <c r="E10" s="148"/>
      <c r="F10" s="148"/>
      <c r="G10" s="148"/>
      <c r="H10" s="148"/>
      <c r="I10" s="148"/>
    </row>
    <row r="11" spans="1:9" x14ac:dyDescent="0.25">
      <c r="A11" s="115"/>
      <c r="B11" s="121" t="s">
        <v>106</v>
      </c>
      <c r="C11" s="120"/>
      <c r="D11" s="117">
        <v>0</v>
      </c>
      <c r="E11" s="117">
        <v>0</v>
      </c>
      <c r="F11" s="117">
        <f>+D11+E11</f>
        <v>0</v>
      </c>
      <c r="G11" s="117">
        <v>0</v>
      </c>
      <c r="H11" s="117">
        <v>0</v>
      </c>
      <c r="I11" s="116">
        <f>+H11-D11</f>
        <v>0</v>
      </c>
    </row>
    <row r="12" spans="1:9" x14ac:dyDescent="0.25">
      <c r="A12" s="115"/>
      <c r="B12" s="121" t="s">
        <v>105</v>
      </c>
      <c r="C12" s="120"/>
      <c r="D12" s="117">
        <v>0</v>
      </c>
      <c r="E12" s="117">
        <v>0</v>
      </c>
      <c r="F12" s="117">
        <f>+D12+E12</f>
        <v>0</v>
      </c>
      <c r="G12" s="117">
        <v>0</v>
      </c>
      <c r="H12" s="117">
        <v>0</v>
      </c>
      <c r="I12" s="116">
        <f>+H12-D12</f>
        <v>0</v>
      </c>
    </row>
    <row r="13" spans="1:9" x14ac:dyDescent="0.25">
      <c r="A13" s="115"/>
      <c r="B13" s="121" t="s">
        <v>104</v>
      </c>
      <c r="C13" s="120"/>
      <c r="D13" s="117">
        <v>0</v>
      </c>
      <c r="E13" s="117">
        <v>0</v>
      </c>
      <c r="F13" s="117">
        <f>+D13+E13</f>
        <v>0</v>
      </c>
      <c r="G13" s="117">
        <v>0</v>
      </c>
      <c r="H13" s="117">
        <v>0</v>
      </c>
      <c r="I13" s="116">
        <f>+H13-D13</f>
        <v>0</v>
      </c>
    </row>
    <row r="14" spans="1:9" x14ac:dyDescent="0.25">
      <c r="A14" s="115"/>
      <c r="B14" s="121" t="s">
        <v>103</v>
      </c>
      <c r="C14" s="120"/>
      <c r="D14" s="117">
        <v>0</v>
      </c>
      <c r="E14" s="117">
        <v>0</v>
      </c>
      <c r="F14" s="117">
        <f>+D14+E14</f>
        <v>0</v>
      </c>
      <c r="G14" s="117">
        <v>0</v>
      </c>
      <c r="H14" s="117">
        <v>0</v>
      </c>
      <c r="I14" s="116">
        <f>+H14-D14</f>
        <v>0</v>
      </c>
    </row>
    <row r="15" spans="1:9" x14ac:dyDescent="0.25">
      <c r="A15" s="115"/>
      <c r="B15" s="121" t="s">
        <v>102</v>
      </c>
      <c r="C15" s="120"/>
      <c r="D15" s="117">
        <v>0</v>
      </c>
      <c r="E15" s="117">
        <v>0</v>
      </c>
      <c r="F15" s="117">
        <f>+D15+E15</f>
        <v>0</v>
      </c>
      <c r="G15" s="117">
        <v>0</v>
      </c>
      <c r="H15" s="117">
        <v>0</v>
      </c>
      <c r="I15" s="116">
        <f>+H15-D15</f>
        <v>0</v>
      </c>
    </row>
    <row r="16" spans="1:9" x14ac:dyDescent="0.25">
      <c r="A16" s="115"/>
      <c r="B16" s="121" t="s">
        <v>101</v>
      </c>
      <c r="C16" s="120"/>
      <c r="D16" s="117">
        <v>0</v>
      </c>
      <c r="E16" s="117">
        <v>0</v>
      </c>
      <c r="F16" s="117">
        <f>+D16+E16</f>
        <v>0</v>
      </c>
      <c r="G16" s="117">
        <v>0</v>
      </c>
      <c r="H16" s="117"/>
      <c r="I16" s="116">
        <f>+H16-D16</f>
        <v>0</v>
      </c>
    </row>
    <row r="17" spans="1:9" x14ac:dyDescent="0.25">
      <c r="A17" s="115"/>
      <c r="B17" s="121" t="s">
        <v>100</v>
      </c>
      <c r="C17" s="120"/>
      <c r="D17" s="117">
        <v>247188231</v>
      </c>
      <c r="E17" s="117">
        <v>63159914.5</v>
      </c>
      <c r="F17" s="117">
        <f>+D17+E17</f>
        <v>310348145.5</v>
      </c>
      <c r="G17" s="117">
        <v>108413053.13</v>
      </c>
      <c r="H17" s="117">
        <v>108413053.13</v>
      </c>
      <c r="I17" s="116">
        <f>+H17-D17</f>
        <v>-138775177.87</v>
      </c>
    </row>
    <row r="18" spans="1:9" x14ac:dyDescent="0.25">
      <c r="A18" s="147"/>
      <c r="B18" s="121" t="s">
        <v>99</v>
      </c>
      <c r="C18" s="120"/>
      <c r="D18" s="146">
        <f>SUM(D20:D30)</f>
        <v>0</v>
      </c>
      <c r="E18" s="146">
        <f>SUM(E20:E30)</f>
        <v>0</v>
      </c>
      <c r="F18" s="146">
        <f>SUM(F20:F30)</f>
        <v>0</v>
      </c>
      <c r="G18" s="146">
        <f>SUM(G20:G30)</f>
        <v>0</v>
      </c>
      <c r="H18" s="146">
        <f>SUM(H20:H30)</f>
        <v>0</v>
      </c>
      <c r="I18" s="146">
        <f>SUM(I20:I30)</f>
        <v>0</v>
      </c>
    </row>
    <row r="19" spans="1:9" x14ac:dyDescent="0.25">
      <c r="A19" s="147"/>
      <c r="B19" s="121" t="s">
        <v>98</v>
      </c>
      <c r="C19" s="120"/>
      <c r="D19" s="146"/>
      <c r="E19" s="146"/>
      <c r="F19" s="146"/>
      <c r="G19" s="146"/>
      <c r="H19" s="146"/>
      <c r="I19" s="146"/>
    </row>
    <row r="20" spans="1:9" x14ac:dyDescent="0.25">
      <c r="A20" s="115"/>
      <c r="B20" s="128"/>
      <c r="C20" s="133" t="s">
        <v>97</v>
      </c>
      <c r="D20" s="117">
        <v>0</v>
      </c>
      <c r="E20" s="117">
        <v>0</v>
      </c>
      <c r="F20" s="117">
        <f>+D20+E20</f>
        <v>0</v>
      </c>
      <c r="G20" s="117">
        <v>0</v>
      </c>
      <c r="H20" s="117">
        <v>0</v>
      </c>
      <c r="I20" s="116">
        <f>+H20-D20</f>
        <v>0</v>
      </c>
    </row>
    <row r="21" spans="1:9" x14ac:dyDescent="0.25">
      <c r="A21" s="115"/>
      <c r="B21" s="128"/>
      <c r="C21" s="133" t="s">
        <v>96</v>
      </c>
      <c r="D21" s="117">
        <v>0</v>
      </c>
      <c r="E21" s="117">
        <v>0</v>
      </c>
      <c r="F21" s="117">
        <f>+D21+E21</f>
        <v>0</v>
      </c>
      <c r="G21" s="117">
        <v>0</v>
      </c>
      <c r="H21" s="117">
        <v>0</v>
      </c>
      <c r="I21" s="116">
        <f>+H21-D21</f>
        <v>0</v>
      </c>
    </row>
    <row r="22" spans="1:9" x14ac:dyDescent="0.25">
      <c r="A22" s="115"/>
      <c r="B22" s="128"/>
      <c r="C22" s="133" t="s">
        <v>95</v>
      </c>
      <c r="D22" s="117">
        <v>0</v>
      </c>
      <c r="E22" s="117">
        <v>0</v>
      </c>
      <c r="F22" s="117">
        <f>+D22+E22</f>
        <v>0</v>
      </c>
      <c r="G22" s="117">
        <v>0</v>
      </c>
      <c r="H22" s="117">
        <v>0</v>
      </c>
      <c r="I22" s="116">
        <f>+H22-D22</f>
        <v>0</v>
      </c>
    </row>
    <row r="23" spans="1:9" x14ac:dyDescent="0.25">
      <c r="A23" s="115"/>
      <c r="B23" s="128"/>
      <c r="C23" s="133" t="s">
        <v>94</v>
      </c>
      <c r="D23" s="117">
        <v>0</v>
      </c>
      <c r="E23" s="117">
        <v>0</v>
      </c>
      <c r="F23" s="117">
        <f>+D23+E23</f>
        <v>0</v>
      </c>
      <c r="G23" s="117">
        <v>0</v>
      </c>
      <c r="H23" s="117">
        <v>0</v>
      </c>
      <c r="I23" s="116">
        <f>+H23-D23</f>
        <v>0</v>
      </c>
    </row>
    <row r="24" spans="1:9" x14ac:dyDescent="0.25">
      <c r="A24" s="115"/>
      <c r="B24" s="128"/>
      <c r="C24" s="133" t="s">
        <v>93</v>
      </c>
      <c r="D24" s="117">
        <v>0</v>
      </c>
      <c r="E24" s="117">
        <v>0</v>
      </c>
      <c r="F24" s="117">
        <f>+D24+E24</f>
        <v>0</v>
      </c>
      <c r="G24" s="117">
        <v>0</v>
      </c>
      <c r="H24" s="117">
        <v>0</v>
      </c>
      <c r="I24" s="116">
        <f>+H24-D24</f>
        <v>0</v>
      </c>
    </row>
    <row r="25" spans="1:9" x14ac:dyDescent="0.25">
      <c r="A25" s="115"/>
      <c r="B25" s="128"/>
      <c r="C25" s="133" t="s">
        <v>92</v>
      </c>
      <c r="D25" s="117">
        <v>0</v>
      </c>
      <c r="E25" s="117">
        <v>0</v>
      </c>
      <c r="F25" s="117">
        <f>+D25+E25</f>
        <v>0</v>
      </c>
      <c r="G25" s="117">
        <v>0</v>
      </c>
      <c r="H25" s="117">
        <v>0</v>
      </c>
      <c r="I25" s="116">
        <f>+H25-D25</f>
        <v>0</v>
      </c>
    </row>
    <row r="26" spans="1:9" x14ac:dyDescent="0.25">
      <c r="A26" s="115"/>
      <c r="B26" s="128"/>
      <c r="C26" s="133" t="s">
        <v>91</v>
      </c>
      <c r="D26" s="117">
        <v>0</v>
      </c>
      <c r="E26" s="117">
        <v>0</v>
      </c>
      <c r="F26" s="117">
        <f>+D26+E26</f>
        <v>0</v>
      </c>
      <c r="G26" s="117">
        <v>0</v>
      </c>
      <c r="H26" s="117">
        <v>0</v>
      </c>
      <c r="I26" s="116">
        <f>+H26-D26</f>
        <v>0</v>
      </c>
    </row>
    <row r="27" spans="1:9" x14ac:dyDescent="0.25">
      <c r="A27" s="115"/>
      <c r="B27" s="128"/>
      <c r="C27" s="133" t="s">
        <v>90</v>
      </c>
      <c r="D27" s="117">
        <v>0</v>
      </c>
      <c r="E27" s="117">
        <v>0</v>
      </c>
      <c r="F27" s="117">
        <f>+D27+E27</f>
        <v>0</v>
      </c>
      <c r="G27" s="117">
        <v>0</v>
      </c>
      <c r="H27" s="117">
        <v>0</v>
      </c>
      <c r="I27" s="116">
        <f>+H27-D27</f>
        <v>0</v>
      </c>
    </row>
    <row r="28" spans="1:9" x14ac:dyDescent="0.25">
      <c r="A28" s="115"/>
      <c r="B28" s="128"/>
      <c r="C28" s="133" t="s">
        <v>89</v>
      </c>
      <c r="D28" s="117">
        <v>0</v>
      </c>
      <c r="E28" s="117">
        <v>0</v>
      </c>
      <c r="F28" s="117">
        <f>+D28+E28</f>
        <v>0</v>
      </c>
      <c r="G28" s="117">
        <v>0</v>
      </c>
      <c r="H28" s="117">
        <v>0</v>
      </c>
      <c r="I28" s="116">
        <f>+H28-D28</f>
        <v>0</v>
      </c>
    </row>
    <row r="29" spans="1:9" x14ac:dyDescent="0.25">
      <c r="A29" s="115"/>
      <c r="B29" s="128"/>
      <c r="C29" s="133" t="s">
        <v>88</v>
      </c>
      <c r="D29" s="117">
        <v>0</v>
      </c>
      <c r="E29" s="117">
        <v>0</v>
      </c>
      <c r="F29" s="117">
        <f>+D29+E29</f>
        <v>0</v>
      </c>
      <c r="G29" s="117">
        <v>0</v>
      </c>
      <c r="H29" s="117">
        <v>0</v>
      </c>
      <c r="I29" s="116">
        <f>+H29-D29</f>
        <v>0</v>
      </c>
    </row>
    <row r="30" spans="1:9" x14ac:dyDescent="0.25">
      <c r="A30" s="115"/>
      <c r="B30" s="128"/>
      <c r="C30" s="133" t="s">
        <v>87</v>
      </c>
      <c r="D30" s="117">
        <v>0</v>
      </c>
      <c r="E30" s="117">
        <v>0</v>
      </c>
      <c r="F30" s="117">
        <f>+D30+E30</f>
        <v>0</v>
      </c>
      <c r="G30" s="117">
        <v>0</v>
      </c>
      <c r="H30" s="117">
        <v>0</v>
      </c>
      <c r="I30" s="116">
        <f>+H30-D30</f>
        <v>0</v>
      </c>
    </row>
    <row r="31" spans="1:9" x14ac:dyDescent="0.25">
      <c r="A31" s="115"/>
      <c r="B31" s="121" t="s">
        <v>86</v>
      </c>
      <c r="C31" s="120"/>
      <c r="D31" s="116">
        <f>SUM(D32:D36)</f>
        <v>0</v>
      </c>
      <c r="E31" s="116">
        <f>SUM(E32:E36)</f>
        <v>0</v>
      </c>
      <c r="F31" s="116">
        <f>SUM(F32:F36)</f>
        <v>0</v>
      </c>
      <c r="G31" s="116">
        <f>SUM(G32:G36)</f>
        <v>0</v>
      </c>
      <c r="H31" s="116">
        <f>SUM(H32:H36)</f>
        <v>0</v>
      </c>
      <c r="I31" s="116">
        <f>SUM(I32:I36)</f>
        <v>0</v>
      </c>
    </row>
    <row r="32" spans="1:9" x14ac:dyDescent="0.25">
      <c r="A32" s="115"/>
      <c r="B32" s="128"/>
      <c r="C32" s="133" t="s">
        <v>85</v>
      </c>
      <c r="D32" s="117">
        <v>0</v>
      </c>
      <c r="E32" s="117">
        <v>0</v>
      </c>
      <c r="F32" s="117">
        <v>0</v>
      </c>
      <c r="G32" s="117"/>
      <c r="H32" s="117">
        <v>0</v>
      </c>
      <c r="I32" s="116">
        <f>+H32-D32</f>
        <v>0</v>
      </c>
    </row>
    <row r="33" spans="1:9" x14ac:dyDescent="0.25">
      <c r="A33" s="115"/>
      <c r="B33" s="128"/>
      <c r="C33" s="133" t="s">
        <v>84</v>
      </c>
      <c r="D33" s="117">
        <v>0</v>
      </c>
      <c r="E33" s="117">
        <v>0</v>
      </c>
      <c r="F33" s="117">
        <f>+D33+E33</f>
        <v>0</v>
      </c>
      <c r="G33" s="117"/>
      <c r="H33" s="117">
        <v>0</v>
      </c>
      <c r="I33" s="116">
        <f>+H33-D33</f>
        <v>0</v>
      </c>
    </row>
    <row r="34" spans="1:9" ht="15.75" thickBot="1" x14ac:dyDescent="0.3">
      <c r="A34" s="132"/>
      <c r="B34" s="131"/>
      <c r="C34" s="145" t="s">
        <v>83</v>
      </c>
      <c r="D34" s="129">
        <v>0</v>
      </c>
      <c r="E34" s="129">
        <v>0</v>
      </c>
      <c r="F34" s="129">
        <f>+D34+E34</f>
        <v>0</v>
      </c>
      <c r="G34" s="129"/>
      <c r="H34" s="129"/>
      <c r="I34" s="108">
        <f>+H34-D34</f>
        <v>0</v>
      </c>
    </row>
    <row r="35" spans="1:9" x14ac:dyDescent="0.25">
      <c r="A35" s="115"/>
      <c r="B35" s="128"/>
      <c r="C35" s="133" t="s">
        <v>82</v>
      </c>
      <c r="D35" s="117">
        <v>0</v>
      </c>
      <c r="E35" s="117">
        <v>0</v>
      </c>
      <c r="F35" s="117">
        <f>+D35+E35</f>
        <v>0</v>
      </c>
      <c r="G35" s="117"/>
      <c r="H35" s="117"/>
      <c r="I35" s="116">
        <f>+H35-D35</f>
        <v>0</v>
      </c>
    </row>
    <row r="36" spans="1:9" x14ac:dyDescent="0.25">
      <c r="A36" s="115"/>
      <c r="B36" s="128"/>
      <c r="C36" s="133" t="s">
        <v>81</v>
      </c>
      <c r="D36" s="117">
        <v>0</v>
      </c>
      <c r="E36" s="117">
        <v>0</v>
      </c>
      <c r="F36" s="117">
        <f>+D36+E36</f>
        <v>0</v>
      </c>
      <c r="G36" s="117"/>
      <c r="H36" s="117"/>
      <c r="I36" s="116">
        <f>+H36-D36</f>
        <v>0</v>
      </c>
    </row>
    <row r="37" spans="1:9" x14ac:dyDescent="0.25">
      <c r="A37" s="115"/>
      <c r="B37" s="144" t="s">
        <v>80</v>
      </c>
      <c r="C37" s="143"/>
      <c r="D37" s="117">
        <v>310075000.99109751</v>
      </c>
      <c r="E37" s="117">
        <v>966287.91999999993</v>
      </c>
      <c r="F37" s="126">
        <f>+D37+E37</f>
        <v>311041288.91109753</v>
      </c>
      <c r="G37" s="117">
        <v>53547373.610000007</v>
      </c>
      <c r="H37" s="117">
        <v>53547373.610000007</v>
      </c>
      <c r="I37" s="142">
        <f>+H37-D37</f>
        <v>-256527627.3810975</v>
      </c>
    </row>
    <row r="38" spans="1:9" x14ac:dyDescent="0.25">
      <c r="A38" s="115"/>
      <c r="B38" s="121" t="s">
        <v>79</v>
      </c>
      <c r="C38" s="120"/>
      <c r="D38" s="116">
        <f>SUM(D39)</f>
        <v>0</v>
      </c>
      <c r="E38" s="116">
        <f>SUM(E39)</f>
        <v>0</v>
      </c>
      <c r="F38" s="116">
        <f>SUM(F39)</f>
        <v>0</v>
      </c>
      <c r="G38" s="116">
        <f>SUM(G39)</f>
        <v>0</v>
      </c>
      <c r="H38" s="116">
        <f>SUM(H39)</f>
        <v>0</v>
      </c>
      <c r="I38" s="116">
        <f>SUM(I39)</f>
        <v>0</v>
      </c>
    </row>
    <row r="39" spans="1:9" x14ac:dyDescent="0.25">
      <c r="A39" s="115"/>
      <c r="B39" s="128"/>
      <c r="C39" s="133" t="s">
        <v>78</v>
      </c>
      <c r="D39" s="117">
        <v>0</v>
      </c>
      <c r="E39" s="117"/>
      <c r="F39" s="117">
        <f>+D39+E39</f>
        <v>0</v>
      </c>
      <c r="G39" s="117"/>
      <c r="H39" s="117"/>
      <c r="I39" s="116">
        <f>+H39-D39</f>
        <v>0</v>
      </c>
    </row>
    <row r="40" spans="1:9" x14ac:dyDescent="0.25">
      <c r="A40" s="115"/>
      <c r="B40" s="121" t="s">
        <v>77</v>
      </c>
      <c r="C40" s="120"/>
      <c r="D40" s="116">
        <f>SUM(D41:D42)</f>
        <v>0</v>
      </c>
      <c r="E40" s="116">
        <f>SUM(E41:E42)</f>
        <v>0</v>
      </c>
      <c r="F40" s="116">
        <f>SUM(F41:F42)</f>
        <v>0</v>
      </c>
      <c r="G40" s="116">
        <f>SUM(G41:G42)</f>
        <v>0</v>
      </c>
      <c r="H40" s="116">
        <f>SUM(H41:H42)</f>
        <v>0</v>
      </c>
      <c r="I40" s="116">
        <f>SUM(I41:I42)</f>
        <v>0</v>
      </c>
    </row>
    <row r="41" spans="1:9" x14ac:dyDescent="0.25">
      <c r="A41" s="115"/>
      <c r="B41" s="128"/>
      <c r="C41" s="133" t="s">
        <v>76</v>
      </c>
      <c r="D41" s="117">
        <v>0</v>
      </c>
      <c r="E41" s="117">
        <v>0</v>
      </c>
      <c r="F41" s="117">
        <f>+D41+E41</f>
        <v>0</v>
      </c>
      <c r="G41" s="117"/>
      <c r="H41" s="117"/>
      <c r="I41" s="116">
        <f>H41-D41</f>
        <v>0</v>
      </c>
    </row>
    <row r="42" spans="1:9" x14ac:dyDescent="0.25">
      <c r="A42" s="115"/>
      <c r="B42" s="128"/>
      <c r="C42" s="133" t="s">
        <v>75</v>
      </c>
      <c r="D42" s="117">
        <v>0</v>
      </c>
      <c r="E42" s="117">
        <v>0</v>
      </c>
      <c r="F42" s="117">
        <f>+D42+E42</f>
        <v>0</v>
      </c>
      <c r="G42" s="117"/>
      <c r="H42" s="117"/>
      <c r="I42" s="116">
        <f>H42-D42</f>
        <v>0</v>
      </c>
    </row>
    <row r="43" spans="1:9" ht="8.25" customHeight="1" x14ac:dyDescent="0.25">
      <c r="A43" s="115"/>
      <c r="B43" s="128"/>
      <c r="C43" s="133"/>
      <c r="D43" s="116"/>
      <c r="E43" s="116"/>
      <c r="F43" s="116"/>
      <c r="G43" s="116"/>
      <c r="H43" s="116"/>
      <c r="I43" s="116"/>
    </row>
    <row r="44" spans="1:9" ht="15" customHeight="1" x14ac:dyDescent="0.25">
      <c r="A44" s="141" t="s">
        <v>74</v>
      </c>
      <c r="B44" s="140"/>
      <c r="C44" s="139"/>
      <c r="D44" s="135">
        <f>+D11+D12+D13+D14+D15+D16+D17+D18+D31+D37+D38+D40</f>
        <v>557263231.99109745</v>
      </c>
      <c r="E44" s="135">
        <f>+E11+E12+E13+E14+E15+E16+E17+E18+E31+E37+E38+E40</f>
        <v>64126202.420000002</v>
      </c>
      <c r="F44" s="135">
        <f>+F11+F12+F13+F14+F15+F16+F17+F18+F31+F37+F38+F40</f>
        <v>621389434.41109753</v>
      </c>
      <c r="G44" s="135">
        <f>+G11+G12+G13+G14+G15+G16+G17+G18+G31+G37+G38+G40</f>
        <v>161960426.74000001</v>
      </c>
      <c r="H44" s="135">
        <f>+H11+H12+H13+H14+H15+H16+H17+H18+H31+H37+H38+H40</f>
        <v>161960426.74000001</v>
      </c>
      <c r="I44" s="135">
        <f>+I11+I12+I13+I14+I15+I16+I17+I18+I31+I37+I38+I40</f>
        <v>-395302805.2510975</v>
      </c>
    </row>
    <row r="45" spans="1:9" x14ac:dyDescent="0.25">
      <c r="A45" s="141" t="s">
        <v>73</v>
      </c>
      <c r="B45" s="140"/>
      <c r="C45" s="139"/>
      <c r="D45" s="135"/>
      <c r="E45" s="135"/>
      <c r="F45" s="135"/>
      <c r="G45" s="135"/>
      <c r="H45" s="135"/>
      <c r="I45" s="135"/>
    </row>
    <row r="46" spans="1:9" ht="8.25" customHeight="1" x14ac:dyDescent="0.25">
      <c r="A46" s="138"/>
      <c r="B46" s="137"/>
      <c r="C46" s="136"/>
      <c r="D46" s="135"/>
      <c r="E46" s="135"/>
      <c r="F46" s="135"/>
      <c r="G46" s="135"/>
      <c r="H46" s="135"/>
      <c r="I46" s="135"/>
    </row>
    <row r="47" spans="1:9" x14ac:dyDescent="0.25">
      <c r="A47" s="122" t="s">
        <v>72</v>
      </c>
      <c r="B47" s="114"/>
      <c r="C47" s="113"/>
      <c r="D47" s="134"/>
      <c r="E47" s="134"/>
      <c r="F47" s="134"/>
      <c r="G47" s="134"/>
      <c r="H47" s="134"/>
      <c r="I47" s="116" t="str">
        <f>IF(($H$44-$D$44)&lt;=0," ",$H$44-$D$44)</f>
        <v xml:space="preserve"> </v>
      </c>
    </row>
    <row r="48" spans="1:9" ht="11.25" customHeight="1" x14ac:dyDescent="0.25">
      <c r="A48" s="115"/>
      <c r="B48" s="128"/>
      <c r="C48" s="133"/>
      <c r="D48" s="116"/>
      <c r="E48" s="116"/>
      <c r="F48" s="116"/>
      <c r="G48" s="116"/>
      <c r="H48" s="116"/>
      <c r="I48" s="116"/>
    </row>
    <row r="49" spans="1:9" x14ac:dyDescent="0.25">
      <c r="A49" s="122" t="s">
        <v>71</v>
      </c>
      <c r="B49" s="114"/>
      <c r="C49" s="113"/>
      <c r="D49" s="116"/>
      <c r="E49" s="116"/>
      <c r="F49" s="116"/>
      <c r="G49" s="116"/>
      <c r="H49" s="116"/>
      <c r="I49" s="116"/>
    </row>
    <row r="50" spans="1:9" x14ac:dyDescent="0.25">
      <c r="A50" s="115"/>
      <c r="B50" s="121" t="s">
        <v>70</v>
      </c>
      <c r="C50" s="120"/>
      <c r="D50" s="116">
        <f>SUM(D51:D58)</f>
        <v>0</v>
      </c>
      <c r="E50" s="116">
        <f>SUM(E51:E58)</f>
        <v>0</v>
      </c>
      <c r="F50" s="116">
        <f>SUM(F51:F58)</f>
        <v>0</v>
      </c>
      <c r="G50" s="116">
        <f>SUM(G51:G58)</f>
        <v>0</v>
      </c>
      <c r="H50" s="116">
        <f>SUM(H51:H58)</f>
        <v>0</v>
      </c>
      <c r="I50" s="116">
        <f>SUM(I51:I58)</f>
        <v>0</v>
      </c>
    </row>
    <row r="51" spans="1:9" x14ac:dyDescent="0.25">
      <c r="A51" s="115"/>
      <c r="B51" s="128"/>
      <c r="C51" s="133" t="s">
        <v>69</v>
      </c>
      <c r="D51" s="117">
        <v>0</v>
      </c>
      <c r="E51" s="117">
        <v>0</v>
      </c>
      <c r="F51" s="117">
        <f>+D51+E51</f>
        <v>0</v>
      </c>
      <c r="G51" s="117">
        <v>0</v>
      </c>
      <c r="H51" s="117">
        <v>0</v>
      </c>
      <c r="I51" s="116">
        <f>H51-D51</f>
        <v>0</v>
      </c>
    </row>
    <row r="52" spans="1:9" x14ac:dyDescent="0.25">
      <c r="A52" s="115"/>
      <c r="B52" s="128"/>
      <c r="C52" s="133" t="s">
        <v>68</v>
      </c>
      <c r="D52" s="117">
        <v>0</v>
      </c>
      <c r="E52" s="117"/>
      <c r="F52" s="117">
        <f>+D52+E52</f>
        <v>0</v>
      </c>
      <c r="G52" s="117"/>
      <c r="H52" s="117"/>
      <c r="I52" s="116">
        <f>H52-D52</f>
        <v>0</v>
      </c>
    </row>
    <row r="53" spans="1:9" x14ac:dyDescent="0.25">
      <c r="A53" s="115"/>
      <c r="B53" s="128"/>
      <c r="C53" s="133" t="s">
        <v>67</v>
      </c>
      <c r="D53" s="117">
        <v>0</v>
      </c>
      <c r="E53" s="117"/>
      <c r="F53" s="117">
        <f>+D53+E53</f>
        <v>0</v>
      </c>
      <c r="G53" s="117"/>
      <c r="H53" s="117"/>
      <c r="I53" s="116">
        <f>H53-D53</f>
        <v>0</v>
      </c>
    </row>
    <row r="54" spans="1:9" ht="19.5" x14ac:dyDescent="0.25">
      <c r="A54" s="115"/>
      <c r="B54" s="128"/>
      <c r="C54" s="127" t="s">
        <v>66</v>
      </c>
      <c r="D54" s="117">
        <v>0</v>
      </c>
      <c r="E54" s="117"/>
      <c r="F54" s="117">
        <f>+D54+E54</f>
        <v>0</v>
      </c>
      <c r="G54" s="117"/>
      <c r="H54" s="117"/>
      <c r="I54" s="116">
        <f>H54-D54</f>
        <v>0</v>
      </c>
    </row>
    <row r="55" spans="1:9" x14ac:dyDescent="0.25">
      <c r="A55" s="115"/>
      <c r="B55" s="128"/>
      <c r="C55" s="133" t="s">
        <v>65</v>
      </c>
      <c r="D55" s="117">
        <v>0</v>
      </c>
      <c r="E55" s="117">
        <v>0</v>
      </c>
      <c r="F55" s="117">
        <f>+D55+E55</f>
        <v>0</v>
      </c>
      <c r="G55" s="117">
        <v>0</v>
      </c>
      <c r="H55" s="117">
        <v>0</v>
      </c>
      <c r="I55" s="116">
        <f>H55-D55</f>
        <v>0</v>
      </c>
    </row>
    <row r="56" spans="1:9" x14ac:dyDescent="0.25">
      <c r="A56" s="115"/>
      <c r="B56" s="128"/>
      <c r="C56" s="133" t="s">
        <v>64</v>
      </c>
      <c r="D56" s="117">
        <v>0</v>
      </c>
      <c r="E56" s="117"/>
      <c r="F56" s="117">
        <f>+D56+E56</f>
        <v>0</v>
      </c>
      <c r="G56" s="117"/>
      <c r="H56" s="117"/>
      <c r="I56" s="116">
        <f>H56-D56</f>
        <v>0</v>
      </c>
    </row>
    <row r="57" spans="1:9" ht="19.5" x14ac:dyDescent="0.25">
      <c r="A57" s="115"/>
      <c r="B57" s="128"/>
      <c r="C57" s="127" t="s">
        <v>63</v>
      </c>
      <c r="D57" s="117">
        <v>0</v>
      </c>
      <c r="E57" s="117"/>
      <c r="F57" s="117">
        <f>+D57+E57</f>
        <v>0</v>
      </c>
      <c r="G57" s="117"/>
      <c r="H57" s="117"/>
      <c r="I57" s="116">
        <f>H57-D57</f>
        <v>0</v>
      </c>
    </row>
    <row r="58" spans="1:9" ht="19.5" x14ac:dyDescent="0.25">
      <c r="A58" s="115"/>
      <c r="B58" s="128"/>
      <c r="C58" s="127" t="s">
        <v>62</v>
      </c>
      <c r="D58" s="117">
        <v>0</v>
      </c>
      <c r="E58" s="117"/>
      <c r="F58" s="117">
        <f>+D58+E58</f>
        <v>0</v>
      </c>
      <c r="G58" s="117"/>
      <c r="H58" s="117"/>
      <c r="I58" s="116">
        <f>H58-D58</f>
        <v>0</v>
      </c>
    </row>
    <row r="59" spans="1:9" x14ac:dyDescent="0.25">
      <c r="A59" s="115"/>
      <c r="B59" s="121" t="s">
        <v>61</v>
      </c>
      <c r="C59" s="120"/>
      <c r="D59" s="116">
        <f>SUM(D60:D63)</f>
        <v>0</v>
      </c>
      <c r="E59" s="116">
        <f>SUM(E60:E63)</f>
        <v>0</v>
      </c>
      <c r="F59" s="116">
        <f>SUM(F60:F63)</f>
        <v>0</v>
      </c>
      <c r="G59" s="116">
        <f>SUM(G60:G63)</f>
        <v>0</v>
      </c>
      <c r="H59" s="116">
        <f>SUM(H60:H63)</f>
        <v>0</v>
      </c>
      <c r="I59" s="116">
        <f>SUM(I60:I63)</f>
        <v>0</v>
      </c>
    </row>
    <row r="60" spans="1:9" x14ac:dyDescent="0.25">
      <c r="A60" s="115"/>
      <c r="B60" s="128"/>
      <c r="C60" s="133" t="s">
        <v>60</v>
      </c>
      <c r="D60" s="117">
        <v>0</v>
      </c>
      <c r="E60" s="117"/>
      <c r="F60" s="117">
        <f>+D60+E60</f>
        <v>0</v>
      </c>
      <c r="G60" s="117"/>
      <c r="H60" s="117"/>
      <c r="I60" s="116">
        <f>H60-D60</f>
        <v>0</v>
      </c>
    </row>
    <row r="61" spans="1:9" x14ac:dyDescent="0.25">
      <c r="A61" s="115"/>
      <c r="B61" s="128"/>
      <c r="C61" s="133" t="s">
        <v>59</v>
      </c>
      <c r="D61" s="117">
        <v>0</v>
      </c>
      <c r="E61" s="117"/>
      <c r="F61" s="117">
        <v>0</v>
      </c>
      <c r="G61" s="117"/>
      <c r="H61" s="117"/>
      <c r="I61" s="116">
        <f>H61-D61</f>
        <v>0</v>
      </c>
    </row>
    <row r="62" spans="1:9" x14ac:dyDescent="0.25">
      <c r="A62" s="115"/>
      <c r="B62" s="128"/>
      <c r="C62" s="133" t="s">
        <v>58</v>
      </c>
      <c r="D62" s="117">
        <v>0</v>
      </c>
      <c r="E62" s="117"/>
      <c r="F62" s="117">
        <v>0</v>
      </c>
      <c r="G62" s="117"/>
      <c r="H62" s="117"/>
      <c r="I62" s="116">
        <f>H62-D62</f>
        <v>0</v>
      </c>
    </row>
    <row r="63" spans="1:9" x14ac:dyDescent="0.25">
      <c r="A63" s="115"/>
      <c r="B63" s="128"/>
      <c r="C63" s="133" t="s">
        <v>57</v>
      </c>
      <c r="D63" s="117">
        <v>0</v>
      </c>
      <c r="E63" s="117"/>
      <c r="F63" s="117">
        <v>0</v>
      </c>
      <c r="G63" s="117"/>
      <c r="H63" s="117"/>
      <c r="I63" s="116">
        <f>H63-D63</f>
        <v>0</v>
      </c>
    </row>
    <row r="64" spans="1:9" x14ac:dyDescent="0.25">
      <c r="A64" s="115"/>
      <c r="B64" s="121" t="s">
        <v>56</v>
      </c>
      <c r="C64" s="120"/>
      <c r="D64" s="116">
        <f>SUM(D65:D66)</f>
        <v>0</v>
      </c>
      <c r="E64" s="116">
        <f>SUM(E65:E66)</f>
        <v>0</v>
      </c>
      <c r="F64" s="116">
        <f>SUM(F65:F66)</f>
        <v>0</v>
      </c>
      <c r="G64" s="116">
        <f>SUM(G65:G66)</f>
        <v>0</v>
      </c>
      <c r="H64" s="116">
        <f>SUM(H65:H66)</f>
        <v>0</v>
      </c>
      <c r="I64" s="116">
        <f>SUM(I65:I66)</f>
        <v>0</v>
      </c>
    </row>
    <row r="65" spans="1:10" ht="20.25" thickBot="1" x14ac:dyDescent="0.3">
      <c r="A65" s="132"/>
      <c r="B65" s="131"/>
      <c r="C65" s="130" t="s">
        <v>55</v>
      </c>
      <c r="D65" s="129">
        <v>0</v>
      </c>
      <c r="E65" s="129">
        <v>0</v>
      </c>
      <c r="F65" s="129">
        <f>+D65+E65</f>
        <v>0</v>
      </c>
      <c r="G65" s="129">
        <v>0</v>
      </c>
      <c r="H65" s="129">
        <v>0</v>
      </c>
      <c r="I65" s="108">
        <f>H65-D65</f>
        <v>0</v>
      </c>
    </row>
    <row r="66" spans="1:10" x14ac:dyDescent="0.25">
      <c r="A66" s="115"/>
      <c r="B66" s="128"/>
      <c r="C66" s="127" t="s">
        <v>54</v>
      </c>
      <c r="D66" s="117">
        <v>0</v>
      </c>
      <c r="E66" s="117">
        <v>0</v>
      </c>
      <c r="F66" s="126">
        <v>0</v>
      </c>
      <c r="G66" s="117">
        <v>0</v>
      </c>
      <c r="H66" s="117">
        <v>0</v>
      </c>
      <c r="I66" s="116">
        <f>H66-D66</f>
        <v>0</v>
      </c>
    </row>
    <row r="67" spans="1:10" x14ac:dyDescent="0.25">
      <c r="A67" s="115"/>
      <c r="B67" s="121" t="s">
        <v>53</v>
      </c>
      <c r="C67" s="120"/>
      <c r="D67" s="117">
        <v>66300000</v>
      </c>
      <c r="E67" s="117">
        <v>22525531.82</v>
      </c>
      <c r="F67" s="117">
        <f>+D67+E67</f>
        <v>88825531.819999993</v>
      </c>
      <c r="G67" s="117">
        <v>22525531.82</v>
      </c>
      <c r="H67" s="117">
        <v>22525531.82</v>
      </c>
      <c r="I67" s="116">
        <f>H67-D67</f>
        <v>-43774468.18</v>
      </c>
    </row>
    <row r="68" spans="1:10" x14ac:dyDescent="0.25">
      <c r="A68" s="115"/>
      <c r="B68" s="121" t="s">
        <v>52</v>
      </c>
      <c r="C68" s="120"/>
      <c r="D68" s="117">
        <v>0</v>
      </c>
      <c r="E68" s="117">
        <v>0</v>
      </c>
      <c r="F68" s="117">
        <f>+D68+E68</f>
        <v>0</v>
      </c>
      <c r="G68" s="117">
        <v>0</v>
      </c>
      <c r="H68" s="117">
        <v>0</v>
      </c>
      <c r="I68" s="116">
        <f>H68-D68</f>
        <v>0</v>
      </c>
    </row>
    <row r="69" spans="1:10" ht="8.25" customHeight="1" x14ac:dyDescent="0.25">
      <c r="A69" s="115"/>
      <c r="B69" s="121"/>
      <c r="C69" s="120"/>
      <c r="D69" s="116"/>
      <c r="E69" s="116"/>
      <c r="F69" s="116" t="s">
        <v>46</v>
      </c>
      <c r="G69" s="116"/>
      <c r="H69" s="116"/>
      <c r="I69" s="116"/>
    </row>
    <row r="70" spans="1:10" x14ac:dyDescent="0.25">
      <c r="A70" s="125" t="s">
        <v>51</v>
      </c>
      <c r="B70" s="124"/>
      <c r="C70" s="123"/>
      <c r="D70" s="112">
        <f>+D50+D59+D64+D67+D68</f>
        <v>66300000</v>
      </c>
      <c r="E70" s="112">
        <f>+E50+E59+E64+E67+E68</f>
        <v>22525531.82</v>
      </c>
      <c r="F70" s="112">
        <f>+F50+F59+F64+F67+F68</f>
        <v>88825531.819999993</v>
      </c>
      <c r="G70" s="112">
        <f>+G50+G59+G64+G67+G68</f>
        <v>22525531.82</v>
      </c>
      <c r="H70" s="112">
        <f>+H50+H59+H64+H67+H68</f>
        <v>22525531.82</v>
      </c>
      <c r="I70" s="112">
        <f>+I50+I59+I64+I67+I68</f>
        <v>-43774468.18</v>
      </c>
    </row>
    <row r="71" spans="1:10" ht="6" customHeight="1" x14ac:dyDescent="0.25">
      <c r="A71" s="115"/>
      <c r="B71" s="121"/>
      <c r="C71" s="120"/>
      <c r="D71" s="116"/>
      <c r="E71" s="116"/>
      <c r="F71" s="116" t="s">
        <v>46</v>
      </c>
      <c r="G71" s="116"/>
      <c r="H71" s="116"/>
      <c r="I71" s="116"/>
    </row>
    <row r="72" spans="1:10" x14ac:dyDescent="0.25">
      <c r="A72" s="122" t="s">
        <v>50</v>
      </c>
      <c r="B72" s="114"/>
      <c r="C72" s="113"/>
      <c r="D72" s="112">
        <f>SUM(D73)</f>
        <v>0</v>
      </c>
      <c r="E72" s="112">
        <f>SUM(E73)</f>
        <v>0</v>
      </c>
      <c r="F72" s="112">
        <f>SUM(F73)</f>
        <v>0</v>
      </c>
      <c r="G72" s="112">
        <f>SUM(G73)</f>
        <v>0</v>
      </c>
      <c r="H72" s="112">
        <f>SUM(H73)</f>
        <v>0</v>
      </c>
      <c r="I72" s="112">
        <f>SUM(I73)</f>
        <v>0</v>
      </c>
    </row>
    <row r="73" spans="1:10" x14ac:dyDescent="0.25">
      <c r="A73" s="115"/>
      <c r="B73" s="121" t="s">
        <v>49</v>
      </c>
      <c r="C73" s="120"/>
      <c r="D73" s="117">
        <v>0</v>
      </c>
      <c r="E73" s="117"/>
      <c r="F73" s="117" t="s">
        <v>46</v>
      </c>
      <c r="G73" s="117"/>
      <c r="H73" s="117">
        <v>0</v>
      </c>
      <c r="I73" s="116">
        <f>H73-D73</f>
        <v>0</v>
      </c>
    </row>
    <row r="74" spans="1:10" ht="7.5" customHeight="1" x14ac:dyDescent="0.25">
      <c r="A74" s="115"/>
      <c r="B74" s="121"/>
      <c r="C74" s="120"/>
      <c r="D74" s="116"/>
      <c r="E74" s="116"/>
      <c r="F74" s="116" t="s">
        <v>46</v>
      </c>
      <c r="G74" s="116"/>
      <c r="H74" s="116"/>
      <c r="I74" s="116"/>
    </row>
    <row r="75" spans="1:10" x14ac:dyDescent="0.25">
      <c r="A75" s="122" t="s">
        <v>48</v>
      </c>
      <c r="B75" s="114"/>
      <c r="C75" s="113"/>
      <c r="D75" s="112">
        <f>+D44+D70+D72</f>
        <v>623563231.99109745</v>
      </c>
      <c r="E75" s="112">
        <f>+E44+E70+E72</f>
        <v>86651734.24000001</v>
      </c>
      <c r="F75" s="112">
        <f>+F44+F70+F72</f>
        <v>710214966.23109746</v>
      </c>
      <c r="G75" s="112">
        <f>+G44+G70+G72</f>
        <v>184485958.56</v>
      </c>
      <c r="H75" s="112">
        <f>+H44+H70+H72</f>
        <v>184485958.56</v>
      </c>
      <c r="I75" s="112">
        <f>+I44+I70+I72</f>
        <v>-439077273.43109751</v>
      </c>
    </row>
    <row r="76" spans="1:10" ht="6" customHeight="1" x14ac:dyDescent="0.25">
      <c r="A76" s="115"/>
      <c r="B76" s="121"/>
      <c r="C76" s="120"/>
      <c r="D76" s="116"/>
      <c r="E76" s="116"/>
      <c r="F76" s="116" t="s">
        <v>46</v>
      </c>
      <c r="G76" s="116"/>
      <c r="H76" s="116"/>
      <c r="I76" s="116"/>
    </row>
    <row r="77" spans="1:10" x14ac:dyDescent="0.25">
      <c r="A77" s="115"/>
      <c r="B77" s="114" t="s">
        <v>47</v>
      </c>
      <c r="C77" s="113"/>
      <c r="D77" s="116"/>
      <c r="E77" s="116"/>
      <c r="F77" s="116" t="s">
        <v>46</v>
      </c>
      <c r="G77" s="116"/>
      <c r="H77" s="116"/>
      <c r="I77" s="116"/>
    </row>
    <row r="78" spans="1:10" ht="21.75" customHeight="1" x14ac:dyDescent="0.25">
      <c r="A78" s="115"/>
      <c r="B78" s="119" t="s">
        <v>45</v>
      </c>
      <c r="C78" s="118"/>
      <c r="D78" s="117">
        <v>0</v>
      </c>
      <c r="E78" s="117">
        <v>0</v>
      </c>
      <c r="F78" s="117">
        <f>+D78+E78</f>
        <v>0</v>
      </c>
      <c r="G78" s="117">
        <v>0</v>
      </c>
      <c r="H78" s="117">
        <v>0</v>
      </c>
      <c r="I78" s="116">
        <f>H78-D78</f>
        <v>0</v>
      </c>
    </row>
    <row r="79" spans="1:10" ht="22.5" customHeight="1" x14ac:dyDescent="0.25">
      <c r="A79" s="115"/>
      <c r="B79" s="119" t="s">
        <v>44</v>
      </c>
      <c r="C79" s="118"/>
      <c r="D79" s="117">
        <v>0</v>
      </c>
      <c r="E79" s="117">
        <v>0</v>
      </c>
      <c r="F79" s="117">
        <f>+D79+E79</f>
        <v>0</v>
      </c>
      <c r="G79" s="117">
        <v>0</v>
      </c>
      <c r="H79" s="117">
        <v>0</v>
      </c>
      <c r="I79" s="116">
        <f>H79-D79</f>
        <v>0</v>
      </c>
    </row>
    <row r="80" spans="1:10" x14ac:dyDescent="0.25">
      <c r="A80" s="115"/>
      <c r="B80" s="114" t="s">
        <v>43</v>
      </c>
      <c r="C80" s="113"/>
      <c r="D80" s="112">
        <f>+D78+D79</f>
        <v>0</v>
      </c>
      <c r="E80" s="112">
        <f>+E78+E79</f>
        <v>0</v>
      </c>
      <c r="F80" s="112">
        <f>+F78+F79</f>
        <v>0</v>
      </c>
      <c r="G80" s="112">
        <f>+G78+G79</f>
        <v>0</v>
      </c>
      <c r="H80" s="112">
        <f>+H78+H79</f>
        <v>0</v>
      </c>
      <c r="I80" s="112">
        <f>+I78+I79</f>
        <v>0</v>
      </c>
      <c r="J80" s="107" t="str">
        <f>IF(D75&lt;&gt;'ETCA-II-01'!C20,"ERROR!!!!! EL MONTO ESTIMADO NO COINCIDE CON LO REPORTADO EN EL FORMATO ETCA-II-01 EN EL TOTAL DE INGRESOS","")</f>
        <v/>
      </c>
    </row>
    <row r="81" spans="1:10" ht="15.75" thickBot="1" x14ac:dyDescent="0.3">
      <c r="A81" s="111"/>
      <c r="B81" s="110"/>
      <c r="C81" s="109"/>
      <c r="D81" s="108"/>
      <c r="E81" s="108"/>
      <c r="F81" s="108"/>
      <c r="G81" s="108"/>
      <c r="H81" s="108"/>
      <c r="I81" s="108"/>
      <c r="J81" s="107" t="str">
        <f>IF(E75&lt;&gt;'ETCA-II-01'!D20,"ERROR!!!!! EL MONTO NO COINCIDE CON LO REPORTADO EN EL FORMATO ETCA-II-01 EN EL TOTAL DE INGRESOS","")</f>
        <v/>
      </c>
    </row>
    <row r="82" spans="1:10" x14ac:dyDescent="0.25">
      <c r="J82" s="107" t="str">
        <f>IF(F75&lt;&gt;'ETCA-II-01'!E20,"ERROR!!!!! EL MONTO NO COINCIDE CON LO REPORTADO EN EL FORMATO ETCA-II-01 EN EL TOTAL DE INGRESOS","")</f>
        <v/>
      </c>
    </row>
    <row r="83" spans="1:10" x14ac:dyDescent="0.25">
      <c r="J83" s="107" t="str">
        <f>IF(G75&lt;&gt;'ETCA-II-01'!F20,"ERROR!!!!! EL MONTO NO COINCIDE CON LO REPORTADO EN EL FORMATO ETCA-II-01 EN EL TOTAL DE INGRESOS","")</f>
        <v/>
      </c>
    </row>
    <row r="84" spans="1:10" x14ac:dyDescent="0.25">
      <c r="J84" s="107" t="str">
        <f>IF(H75&lt;&gt;'ETCA-II-01'!G20,"ERROR!!!!! EL MONTO NO COINCIDE CON LO REPORTADO EN EL FORMATO ETCA-II-01 EN EL TOTAL DE INGRESOS","")</f>
        <v/>
      </c>
    </row>
    <row r="85" spans="1:10" x14ac:dyDescent="0.25">
      <c r="J85" s="107" t="str">
        <f>IF(I75&lt;&gt;'ETCA-II-01'!H20,"ERROR!!!!! EL MONTO NO COINCIDE CON LO REPORTADO EN EL FORMATO ETCA-II-01 EN EL TOTAL DE INGRESOS","")</f>
        <v>ERROR!!!!! EL MONTO NO COINCIDE CON LO REPORTADO EN EL FORMATO ETCA-II-01 EN EL TOTAL DE INGRESOS</v>
      </c>
    </row>
    <row r="86" spans="1:10" x14ac:dyDescent="0.25">
      <c r="J86" s="107" t="str">
        <f>IF(D75&lt;&gt;'ETCA-II-01'!C45,"ERROR!!!!! EL MONTO NO COINCIDE CON LO REPORTADO EN EL FORMATO ETCA-II-01 EN EL TOTAL DE INGRESOS","")</f>
        <v/>
      </c>
    </row>
    <row r="87" spans="1:10" x14ac:dyDescent="0.25">
      <c r="J87" s="107" t="str">
        <f>IF(E75&lt;&gt;'ETCA-II-01'!D45,"ERROR!!!!! EL MONTO NO COINCIDE CON LO REPORTADO EN EL FORMATO ETCA-II-01 EN EL TOTAL DE INGRESOS","")</f>
        <v/>
      </c>
    </row>
    <row r="88" spans="1:10" x14ac:dyDescent="0.25">
      <c r="J88" s="107" t="str">
        <f>IF(F75&lt;&gt;'ETCA-II-01'!E45,"ERROR!!!!! EL MONTO NO COINCIDE CON LO REPORTADO EN EL FORMATO ETCA-II-01 EN EL TOTAL DE INGRESOS","")</f>
        <v/>
      </c>
    </row>
    <row r="89" spans="1:10" x14ac:dyDescent="0.25">
      <c r="J89" s="107" t="str">
        <f>IF(G75&lt;&gt;'ETCA-II-01'!F45,"ERROR!!!!! EL MONTO NO COINCIDE CON LO REPORTADO EN EL FORMATO ETCA-II-01 EN EL TOTAL DE INGRESOS","")</f>
        <v/>
      </c>
    </row>
    <row r="90" spans="1:10" x14ac:dyDescent="0.25">
      <c r="J90" s="107" t="str">
        <f>IF(H75&lt;&gt;'ETCA-II-01'!G45,"ERROR!!!!! EL MONTO NO COINCIDE CON LO REPORTADO EN EL FORMATO ETCA-II-01 EN EL TOTAL DE INGRESOS","")</f>
        <v/>
      </c>
    </row>
    <row r="91" spans="1:10" x14ac:dyDescent="0.25">
      <c r="J91" s="107" t="str">
        <f>IF(I75&lt;&gt;'ETCA-II-01'!H45,"ERROR!!!!! EL MONTO NO COINCIDE CON LO REPORTADO EN EL FORMATO ETCA-II-01 EN EL TOTAL DE INGRESOS","")</f>
        <v/>
      </c>
    </row>
  </sheetData>
  <sheetProtection formatColumns="0" formatRows="0" insertHyperlinks="0"/>
  <mergeCells count="63">
    <mergeCell ref="G7:G8"/>
    <mergeCell ref="H7:H8"/>
    <mergeCell ref="A5:I5"/>
    <mergeCell ref="A4:I4"/>
    <mergeCell ref="A2:I2"/>
    <mergeCell ref="A1:I1"/>
    <mergeCell ref="A3:I3"/>
    <mergeCell ref="B13:C13"/>
    <mergeCell ref="B14:C14"/>
    <mergeCell ref="A6:C6"/>
    <mergeCell ref="D6:H6"/>
    <mergeCell ref="I6:I8"/>
    <mergeCell ref="A7:C7"/>
    <mergeCell ref="A8:C8"/>
    <mergeCell ref="D7:D8"/>
    <mergeCell ref="E7:E8"/>
    <mergeCell ref="F7:F8"/>
    <mergeCell ref="A9:C9"/>
    <mergeCell ref="B17:C17"/>
    <mergeCell ref="A18:A19"/>
    <mergeCell ref="B18:C18"/>
    <mergeCell ref="B19:C19"/>
    <mergeCell ref="B16:C16"/>
    <mergeCell ref="B15:C15"/>
    <mergeCell ref="A10:C10"/>
    <mergeCell ref="B11:C11"/>
    <mergeCell ref="B12:C12"/>
    <mergeCell ref="D18:D19"/>
    <mergeCell ref="E18:E19"/>
    <mergeCell ref="G44:G46"/>
    <mergeCell ref="H44:H46"/>
    <mergeCell ref="I44:I46"/>
    <mergeCell ref="B31:C31"/>
    <mergeCell ref="B37:C37"/>
    <mergeCell ref="F18:F19"/>
    <mergeCell ref="E44:E46"/>
    <mergeCell ref="F44:F46"/>
    <mergeCell ref="G18:G19"/>
    <mergeCell ref="H18:H19"/>
    <mergeCell ref="I18:I19"/>
    <mergeCell ref="A72:C72"/>
    <mergeCell ref="B73:C73"/>
    <mergeCell ref="A47:C47"/>
    <mergeCell ref="B38:C38"/>
    <mergeCell ref="B40:C40"/>
    <mergeCell ref="D44:D46"/>
    <mergeCell ref="B74:C74"/>
    <mergeCell ref="A49:C49"/>
    <mergeCell ref="B50:C50"/>
    <mergeCell ref="B59:C59"/>
    <mergeCell ref="B64:C64"/>
    <mergeCell ref="B67:C67"/>
    <mergeCell ref="B68:C68"/>
    <mergeCell ref="B69:C69"/>
    <mergeCell ref="A70:C70"/>
    <mergeCell ref="B71:C71"/>
    <mergeCell ref="B81:C81"/>
    <mergeCell ref="A75:C75"/>
    <mergeCell ref="B76:C76"/>
    <mergeCell ref="B77:C77"/>
    <mergeCell ref="B78:C78"/>
    <mergeCell ref="B79:C79"/>
    <mergeCell ref="B80:C80"/>
  </mergeCells>
  <printOptions horizont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F475-EAA2-47A6-8E89-3F047B7F1078}">
  <sheetPr>
    <tabColor theme="0" tint="-0.249977111117893"/>
    <pageSetUpPr fitToPage="1"/>
  </sheetPr>
  <dimension ref="A1:E27"/>
  <sheetViews>
    <sheetView view="pageBreakPreview" topLeftCell="A7" zoomScale="120" zoomScaleNormal="100" zoomScaleSheetLayoutView="120" workbookViewId="0">
      <selection activeCell="O24" sqref="O24"/>
    </sheetView>
  </sheetViews>
  <sheetFormatPr baseColWidth="10" defaultColWidth="11.28515625" defaultRowHeight="16.5" x14ac:dyDescent="0.25"/>
  <cols>
    <col min="1" max="1" width="1.28515625" style="1" customWidth="1"/>
    <col min="2" max="2" width="43.85546875" style="1" customWidth="1"/>
    <col min="3" max="4" width="25.7109375" style="1" customWidth="1"/>
    <col min="5" max="5" width="62" style="77" customWidth="1"/>
    <col min="6" max="16384" width="11.28515625" style="1"/>
  </cols>
  <sheetData>
    <row r="1" spans="1:5" x14ac:dyDescent="0.25">
      <c r="A1" s="106" t="s">
        <v>42</v>
      </c>
      <c r="B1" s="106"/>
      <c r="C1" s="106"/>
      <c r="D1" s="106"/>
    </row>
    <row r="2" spans="1:5" s="103" customFormat="1" ht="15.75" x14ac:dyDescent="0.25">
      <c r="A2" s="106" t="s">
        <v>131</v>
      </c>
      <c r="B2" s="106"/>
      <c r="C2" s="106"/>
      <c r="D2" s="106"/>
      <c r="E2" s="228"/>
    </row>
    <row r="3" spans="1:5" s="103" customFormat="1" ht="15.75" x14ac:dyDescent="0.25">
      <c r="A3" s="105" t="str">
        <f>'[1]ETCA-I-01'!A3:G3</f>
        <v>Comision Estatal del Agua</v>
      </c>
      <c r="B3" s="105"/>
      <c r="C3" s="105"/>
      <c r="D3" s="105"/>
      <c r="E3" s="227"/>
    </row>
    <row r="4" spans="1:5" s="103" customFormat="1" x14ac:dyDescent="0.25">
      <c r="A4" s="104" t="str">
        <f>'[1]ETCA-I-01'!A4:G4</f>
        <v>Al 31 de Marzo de 2019</v>
      </c>
      <c r="B4" s="104"/>
      <c r="C4" s="104"/>
      <c r="D4" s="104"/>
      <c r="E4" s="227"/>
    </row>
    <row r="5" spans="1:5" s="26" customFormat="1" ht="17.25" thickBot="1" x14ac:dyDescent="0.3">
      <c r="A5" s="102"/>
      <c r="B5" s="101" t="s">
        <v>130</v>
      </c>
      <c r="C5" s="101"/>
      <c r="D5" s="226"/>
      <c r="E5" s="225"/>
    </row>
    <row r="6" spans="1:5" s="221" customFormat="1" ht="27" customHeight="1" thickBot="1" x14ac:dyDescent="0.3">
      <c r="A6" s="224" t="s">
        <v>129</v>
      </c>
      <c r="B6" s="223"/>
      <c r="C6" s="222"/>
      <c r="D6" s="179">
        <f>'ETCA-II-01'!F20</f>
        <v>184485958.56</v>
      </c>
      <c r="E6" s="178" t="str">
        <f>IF(D6&lt;&gt;'ETCA-II-01'!F45,"ERROR!!!!! EL MONTO NO COINCIDE CON LO REPORTADO EN EL FORMATO ETCA-II-01 EN EL TOTAL DEVENGADO DEL ANALÍTICO DE INGRESOS","")</f>
        <v/>
      </c>
    </row>
    <row r="7" spans="1:5" s="211" customFormat="1" ht="9.75" customHeight="1" x14ac:dyDescent="0.25">
      <c r="A7" s="220"/>
      <c r="B7" s="219"/>
      <c r="C7" s="218"/>
      <c r="D7" s="217"/>
      <c r="E7" s="216"/>
    </row>
    <row r="8" spans="1:5" s="211" customFormat="1" ht="17.25" customHeight="1" thickBot="1" x14ac:dyDescent="0.3">
      <c r="A8" s="215"/>
      <c r="B8" s="214"/>
      <c r="C8" s="213"/>
      <c r="D8" s="212"/>
      <c r="E8" s="178"/>
    </row>
    <row r="9" spans="1:5" ht="20.100000000000001" customHeight="1" thickBot="1" x14ac:dyDescent="0.3">
      <c r="A9" s="196" t="s">
        <v>128</v>
      </c>
      <c r="B9" s="195"/>
      <c r="C9" s="194"/>
      <c r="D9" s="193">
        <f>SUM(C10:C15)</f>
        <v>0</v>
      </c>
      <c r="E9" s="178"/>
    </row>
    <row r="10" spans="1:5" ht="20.100000000000001" customHeight="1" x14ac:dyDescent="0.2">
      <c r="A10" s="210"/>
      <c r="B10" s="192" t="s">
        <v>127</v>
      </c>
      <c r="C10" s="209"/>
      <c r="D10" s="183"/>
      <c r="E10" s="208" t="str">
        <f>IF(C10&lt;&gt;'[1]ETCA-I-03'!C21,"ERROR!!!, NO COINCIDEN LOS MONTOS CON LO REPORTADO EN EL FORMATO ETCA-I-03","")</f>
        <v/>
      </c>
    </row>
    <row r="11" spans="1:5" ht="20.100000000000001" customHeight="1" x14ac:dyDescent="0.2">
      <c r="A11" s="210"/>
      <c r="B11" s="191" t="s">
        <v>126</v>
      </c>
      <c r="C11" s="209"/>
      <c r="D11" s="183"/>
      <c r="E11" s="208"/>
    </row>
    <row r="12" spans="1:5" ht="33" customHeight="1" x14ac:dyDescent="0.2">
      <c r="A12" s="210"/>
      <c r="B12" s="191" t="s">
        <v>125</v>
      </c>
      <c r="C12" s="209"/>
      <c r="D12" s="183"/>
      <c r="E12" s="208" t="str">
        <f>IF(C12&lt;&gt;'[1]ETCA-I-03'!C22,"ERROR!!!, NO COINCIDEN LOS MONTOS CON LO REPORTADO EN EL FORMATO ETCA-I-03","")</f>
        <v/>
      </c>
    </row>
    <row r="13" spans="1:5" ht="20.100000000000001" customHeight="1" x14ac:dyDescent="0.2">
      <c r="A13" s="186"/>
      <c r="B13" s="191" t="s">
        <v>124</v>
      </c>
      <c r="C13" s="209"/>
      <c r="D13" s="183"/>
      <c r="E13" s="208" t="str">
        <f>IF(C13&lt;&gt;'[1]ETCA-I-03'!C23,"ERROR!!!, NO COINCIDEN LOS MONTOS CON LO REPORTADO EN EL FORMATO ETCA-I-03","")</f>
        <v/>
      </c>
    </row>
    <row r="14" spans="1:5" ht="20.100000000000001" customHeight="1" x14ac:dyDescent="0.2">
      <c r="A14" s="186"/>
      <c r="B14" s="191" t="s">
        <v>123</v>
      </c>
      <c r="C14" s="209"/>
      <c r="D14" s="183"/>
      <c r="E14" s="208" t="str">
        <f>IF(C14&lt;&gt;'[1]ETCA-I-03'!C24,"ERROR!!!, NO COINCIDEN LOS MONTOS CON LO REPORTADO EN EL FORMATO ETCA-I-03","")</f>
        <v/>
      </c>
    </row>
    <row r="15" spans="1:5" ht="24.75" customHeight="1" thickBot="1" x14ac:dyDescent="0.3">
      <c r="A15" s="207" t="s">
        <v>122</v>
      </c>
      <c r="B15" s="206"/>
      <c r="C15" s="187"/>
      <c r="D15" s="205"/>
      <c r="E15" s="178"/>
    </row>
    <row r="16" spans="1:5" ht="7.5" customHeight="1" x14ac:dyDescent="0.25">
      <c r="A16" s="204"/>
      <c r="B16" s="203"/>
      <c r="C16" s="202"/>
      <c r="D16" s="201"/>
      <c r="E16" s="178"/>
    </row>
    <row r="17" spans="1:5" ht="20.100000000000001" customHeight="1" thickBot="1" x14ac:dyDescent="0.3">
      <c r="A17" s="200"/>
      <c r="B17" s="199"/>
      <c r="C17" s="198"/>
      <c r="D17" s="197"/>
      <c r="E17" s="178"/>
    </row>
    <row r="18" spans="1:5" ht="20.100000000000001" customHeight="1" thickBot="1" x14ac:dyDescent="0.3">
      <c r="A18" s="196" t="s">
        <v>121</v>
      </c>
      <c r="B18" s="195"/>
      <c r="C18" s="194"/>
      <c r="D18" s="193">
        <f>SUM(C19:C22)</f>
        <v>33657388.979999989</v>
      </c>
      <c r="E18" s="178"/>
    </row>
    <row r="19" spans="1:5" ht="20.100000000000001" customHeight="1" x14ac:dyDescent="0.25">
      <c r="A19" s="186"/>
      <c r="B19" s="192" t="s">
        <v>120</v>
      </c>
      <c r="C19" s="190"/>
      <c r="D19" s="183"/>
      <c r="E19" s="178"/>
    </row>
    <row r="20" spans="1:5" ht="20.100000000000001" customHeight="1" x14ac:dyDescent="0.25">
      <c r="A20" s="186"/>
      <c r="B20" s="191" t="s">
        <v>7</v>
      </c>
      <c r="C20" s="190"/>
      <c r="D20" s="183"/>
      <c r="E20" s="178"/>
    </row>
    <row r="21" spans="1:5" ht="20.100000000000001" customHeight="1" thickBot="1" x14ac:dyDescent="0.3">
      <c r="A21" s="189" t="s">
        <v>119</v>
      </c>
      <c r="B21" s="188"/>
      <c r="C21" s="187">
        <v>33657388.979999989</v>
      </c>
      <c r="D21" s="183"/>
      <c r="E21" s="178"/>
    </row>
    <row r="22" spans="1:5" ht="20.100000000000001" customHeight="1" thickBot="1" x14ac:dyDescent="0.3">
      <c r="A22" s="186"/>
      <c r="B22" s="185"/>
      <c r="C22" s="184"/>
      <c r="D22" s="183"/>
      <c r="E22" s="178"/>
    </row>
    <row r="23" spans="1:5" ht="26.25" customHeight="1" thickBot="1" x14ac:dyDescent="0.3">
      <c r="A23" s="182" t="s">
        <v>118</v>
      </c>
      <c r="B23" s="181"/>
      <c r="C23" s="180"/>
      <c r="D23" s="179">
        <f>D6+D9-D18</f>
        <v>150828569.58000001</v>
      </c>
      <c r="E23" s="178" t="str">
        <f>IF(D23&lt;&gt;'[1]ETCA-I-03'!C25,"ERROR!!!!! EL MONTO NO COINCIDE CON LO REPORTADO EN EL FORMATO ETCA-I-03 EN EL TOTAL DE INGRESOS Y OTROS BENEFICIOS","")</f>
        <v/>
      </c>
    </row>
    <row r="26" spans="1:5" s="175" customFormat="1" ht="13.5" x14ac:dyDescent="0.25">
      <c r="B26" s="177" t="s">
        <v>117</v>
      </c>
      <c r="C26" s="177"/>
      <c r="D26" s="177"/>
      <c r="E26" s="176"/>
    </row>
    <row r="27" spans="1:5" s="175" customFormat="1" ht="13.5" x14ac:dyDescent="0.25">
      <c r="B27" s="177" t="s">
        <v>116</v>
      </c>
      <c r="C27" s="177"/>
      <c r="D27" s="177"/>
      <c r="E27" s="176"/>
    </row>
  </sheetData>
  <sheetProtection algorithmName="SHA-512" hashValue="ib4Udy4KUjudw8hDYJRY8TiGbUsjdlSy20par58J/ov/smjOfl+jFlNO1sOetj9oKImDakqXUG4L0Q2D9y0Ogg==" saltValue="xBjPuoKZyeF87iDxnv+AVA==" spinCount="100000" sheet="1" objects="1" scenarios="1" insertHyperlinks="0"/>
  <mergeCells count="6">
    <mergeCell ref="A6:B6"/>
    <mergeCell ref="A1:D1"/>
    <mergeCell ref="A3:D3"/>
    <mergeCell ref="A2:D2"/>
    <mergeCell ref="A4:D4"/>
    <mergeCell ref="B5:C5"/>
  </mergeCells>
  <printOptions horizontalCentered="1"/>
  <pageMargins left="0.39370078740157483" right="0.39370078740157483" top="0.74803149606299213" bottom="0.74803149606299213" header="0.31496062992125984" footer="0.31496062992125984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12289-5F2F-4DF5-9822-EB309135E59A}">
  <sheetPr>
    <tabColor theme="0" tint="-0.249977111117893"/>
  </sheetPr>
  <dimension ref="A1:G91"/>
  <sheetViews>
    <sheetView view="pageBreakPreview" topLeftCell="A49" zoomScale="98" zoomScaleNormal="100" zoomScaleSheetLayoutView="98" workbookViewId="0">
      <selection activeCell="O24" sqref="O24"/>
    </sheetView>
  </sheetViews>
  <sheetFormatPr baseColWidth="10" defaultRowHeight="15" x14ac:dyDescent="0.25"/>
  <cols>
    <col min="1" max="1" width="49.85546875" customWidth="1"/>
    <col min="2" max="2" width="13.7109375" customWidth="1"/>
    <col min="3" max="3" width="15.42578125" customWidth="1"/>
    <col min="4" max="7" width="13.7109375" customWidth="1"/>
  </cols>
  <sheetData>
    <row r="1" spans="1:7" ht="15.75" x14ac:dyDescent="0.25">
      <c r="A1" s="106" t="s">
        <v>42</v>
      </c>
      <c r="B1" s="106"/>
      <c r="C1" s="106"/>
      <c r="D1" s="106"/>
      <c r="E1" s="106"/>
      <c r="F1" s="106"/>
      <c r="G1" s="106"/>
    </row>
    <row r="2" spans="1:7" ht="15.75" x14ac:dyDescent="0.25">
      <c r="A2" s="106" t="s">
        <v>215</v>
      </c>
      <c r="B2" s="106"/>
      <c r="C2" s="106"/>
      <c r="D2" s="106"/>
      <c r="E2" s="106"/>
      <c r="F2" s="106"/>
      <c r="G2" s="106"/>
    </row>
    <row r="3" spans="1:7" ht="15.75" x14ac:dyDescent="0.25">
      <c r="A3" s="106" t="s">
        <v>214</v>
      </c>
      <c r="B3" s="106"/>
      <c r="C3" s="106"/>
      <c r="D3" s="106"/>
      <c r="E3" s="106"/>
      <c r="F3" s="106"/>
      <c r="G3" s="106"/>
    </row>
    <row r="4" spans="1:7" ht="15.75" x14ac:dyDescent="0.25">
      <c r="A4" s="105" t="str">
        <f>'[1]ETCA-I-01'!A3:G3</f>
        <v>Comision Estatal del Agua</v>
      </c>
      <c r="B4" s="105"/>
      <c r="C4" s="105"/>
      <c r="D4" s="105"/>
      <c r="E4" s="105"/>
      <c r="F4" s="105"/>
      <c r="G4" s="105"/>
    </row>
    <row r="5" spans="1:7" ht="16.5" x14ac:dyDescent="0.25">
      <c r="A5" s="104" t="str">
        <f>'[1]ETCA-I-03'!A4:D4</f>
        <v>Del 01 de Enero al 31 de Marzo de 2019</v>
      </c>
      <c r="B5" s="104"/>
      <c r="C5" s="104"/>
      <c r="D5" s="104"/>
      <c r="E5" s="104"/>
      <c r="F5" s="104"/>
      <c r="G5" s="104"/>
    </row>
    <row r="6" spans="1:7" ht="17.25" thickBot="1" x14ac:dyDescent="0.3">
      <c r="A6" s="254" t="s">
        <v>213</v>
      </c>
      <c r="B6" s="254"/>
      <c r="C6" s="254"/>
      <c r="D6" s="254"/>
      <c r="E6" s="254"/>
      <c r="F6" s="226"/>
      <c r="G6" s="26"/>
    </row>
    <row r="7" spans="1:7" ht="38.25" x14ac:dyDescent="0.25">
      <c r="A7" s="253" t="s">
        <v>212</v>
      </c>
      <c r="B7" s="252" t="s">
        <v>211</v>
      </c>
      <c r="C7" s="252" t="s">
        <v>111</v>
      </c>
      <c r="D7" s="251" t="s">
        <v>210</v>
      </c>
      <c r="E7" s="250" t="s">
        <v>209</v>
      </c>
      <c r="F7" s="250" t="s">
        <v>208</v>
      </c>
      <c r="G7" s="249" t="s">
        <v>207</v>
      </c>
    </row>
    <row r="8" spans="1:7" ht="15.75" thickBot="1" x14ac:dyDescent="0.3">
      <c r="A8" s="248"/>
      <c r="B8" s="247" t="s">
        <v>26</v>
      </c>
      <c r="C8" s="247" t="s">
        <v>25</v>
      </c>
      <c r="D8" s="246" t="s">
        <v>206</v>
      </c>
      <c r="E8" s="245" t="s">
        <v>23</v>
      </c>
      <c r="F8" s="245" t="s">
        <v>22</v>
      </c>
      <c r="G8" s="244" t="s">
        <v>205</v>
      </c>
    </row>
    <row r="9" spans="1:7" x14ac:dyDescent="0.25">
      <c r="A9" s="243" t="s">
        <v>204</v>
      </c>
      <c r="B9" s="240">
        <f>SUM(B10:B16)</f>
        <v>205993811.70999998</v>
      </c>
      <c r="C9" s="240">
        <f>SUM(C10:C16)</f>
        <v>-604721.11000000034</v>
      </c>
      <c r="D9" s="240">
        <f>B9+C9</f>
        <v>205389090.59999996</v>
      </c>
      <c r="E9" s="240">
        <f>SUM(E10:E16)</f>
        <v>52755960.460000001</v>
      </c>
      <c r="F9" s="240">
        <f>SUM(F10:F16)</f>
        <v>46456428.770000003</v>
      </c>
      <c r="G9" s="238">
        <f>D9-E9</f>
        <v>152633130.13999996</v>
      </c>
    </row>
    <row r="10" spans="1:7" x14ac:dyDescent="0.25">
      <c r="A10" s="241" t="s">
        <v>203</v>
      </c>
      <c r="B10" s="239">
        <v>116272081.35999997</v>
      </c>
      <c r="C10" s="239">
        <v>-604721.11000000034</v>
      </c>
      <c r="D10" s="240">
        <f>B10+C10</f>
        <v>115667360.24999997</v>
      </c>
      <c r="E10" s="239">
        <v>28230754.18</v>
      </c>
      <c r="F10" s="239">
        <v>24436362.960000001</v>
      </c>
      <c r="G10" s="238">
        <f>D10-E10</f>
        <v>87436606.069999963</v>
      </c>
    </row>
    <row r="11" spans="1:7" x14ac:dyDescent="0.25">
      <c r="A11" s="241" t="s">
        <v>202</v>
      </c>
      <c r="B11" s="239">
        <v>2501479.84</v>
      </c>
      <c r="C11" s="239">
        <v>-693905.25</v>
      </c>
      <c r="D11" s="240">
        <f>B11+C11</f>
        <v>1807574.5899999999</v>
      </c>
      <c r="E11" s="239">
        <v>353985.30000000005</v>
      </c>
      <c r="F11" s="239">
        <v>353985.30000000005</v>
      </c>
      <c r="G11" s="238">
        <f>D11-E11</f>
        <v>1453589.2899999998</v>
      </c>
    </row>
    <row r="12" spans="1:7" x14ac:dyDescent="0.25">
      <c r="A12" s="241" t="s">
        <v>201</v>
      </c>
      <c r="B12" s="239">
        <v>10186764.629999999</v>
      </c>
      <c r="C12" s="239">
        <v>748905.25</v>
      </c>
      <c r="D12" s="240">
        <f>B12+C12</f>
        <v>10935669.879999999</v>
      </c>
      <c r="E12" s="239">
        <v>2398191.66</v>
      </c>
      <c r="F12" s="239">
        <v>2177751.2200000002</v>
      </c>
      <c r="G12" s="238">
        <f>D12-E12</f>
        <v>8537478.2199999988</v>
      </c>
    </row>
    <row r="13" spans="1:7" x14ac:dyDescent="0.25">
      <c r="A13" s="241" t="s">
        <v>200</v>
      </c>
      <c r="B13" s="239">
        <v>39996929.230000004</v>
      </c>
      <c r="C13" s="239">
        <v>43400</v>
      </c>
      <c r="D13" s="240">
        <f>B13+C13</f>
        <v>40040329.230000004</v>
      </c>
      <c r="E13" s="239">
        <v>11237247.85</v>
      </c>
      <c r="F13" s="239">
        <v>9881112.1999999993</v>
      </c>
      <c r="G13" s="238">
        <f>D13-E13</f>
        <v>28803081.380000003</v>
      </c>
    </row>
    <row r="14" spans="1:7" x14ac:dyDescent="0.25">
      <c r="A14" s="241" t="s">
        <v>199</v>
      </c>
      <c r="B14" s="239">
        <v>36222358.650000006</v>
      </c>
      <c r="C14" s="239">
        <v>-98400</v>
      </c>
      <c r="D14" s="240">
        <f>B14+C14</f>
        <v>36123958.650000006</v>
      </c>
      <c r="E14" s="239">
        <v>10366015.149999999</v>
      </c>
      <c r="F14" s="239">
        <v>9437450.7699999996</v>
      </c>
      <c r="G14" s="238">
        <f>D14-E14</f>
        <v>25757943.500000007</v>
      </c>
    </row>
    <row r="15" spans="1:7" x14ac:dyDescent="0.25">
      <c r="A15" s="241" t="s">
        <v>198</v>
      </c>
      <c r="B15" s="239"/>
      <c r="C15" s="239"/>
      <c r="D15" s="240">
        <f>B15+C15</f>
        <v>0</v>
      </c>
      <c r="E15" s="239"/>
      <c r="F15" s="239"/>
      <c r="G15" s="238">
        <f>D15-E15</f>
        <v>0</v>
      </c>
    </row>
    <row r="16" spans="1:7" x14ac:dyDescent="0.25">
      <c r="A16" s="241" t="s">
        <v>197</v>
      </c>
      <c r="B16" s="239">
        <v>814198</v>
      </c>
      <c r="C16" s="239">
        <v>0</v>
      </c>
      <c r="D16" s="240">
        <f>B16+C16</f>
        <v>814198</v>
      </c>
      <c r="E16" s="239">
        <v>169766.32</v>
      </c>
      <c r="F16" s="239">
        <v>169766.32</v>
      </c>
      <c r="G16" s="238">
        <f>D16-E16</f>
        <v>644431.67999999993</v>
      </c>
    </row>
    <row r="17" spans="1:7" x14ac:dyDescent="0.25">
      <c r="A17" s="242" t="s">
        <v>196</v>
      </c>
      <c r="B17" s="240">
        <f>SUM(B18:B26)</f>
        <v>29616487.420000006</v>
      </c>
      <c r="C17" s="240">
        <f>SUM(C18:C26)</f>
        <v>-2095.8300000000017</v>
      </c>
      <c r="D17" s="240">
        <f>B17+C17</f>
        <v>29614391.590000007</v>
      </c>
      <c r="E17" s="240">
        <f>SUM(E18:E26)</f>
        <v>4805363.9399999995</v>
      </c>
      <c r="F17" s="240">
        <f>SUM(F18:F26)</f>
        <v>4112425.2699999996</v>
      </c>
      <c r="G17" s="238">
        <f>D17-E17</f>
        <v>24809027.650000006</v>
      </c>
    </row>
    <row r="18" spans="1:7" ht="25.5" x14ac:dyDescent="0.25">
      <c r="A18" s="241" t="s">
        <v>195</v>
      </c>
      <c r="B18" s="239">
        <v>2140406.7799999998</v>
      </c>
      <c r="C18" s="239">
        <v>59999.17</v>
      </c>
      <c r="D18" s="240">
        <f>B18+C18</f>
        <v>2200405.9499999997</v>
      </c>
      <c r="E18" s="239">
        <v>290000.84000000003</v>
      </c>
      <c r="F18" s="239">
        <v>280480.49</v>
      </c>
      <c r="G18" s="238">
        <f>D18-E18</f>
        <v>1910405.1099999996</v>
      </c>
    </row>
    <row r="19" spans="1:7" x14ac:dyDescent="0.25">
      <c r="A19" s="241" t="s">
        <v>194</v>
      </c>
      <c r="B19" s="239">
        <v>481582</v>
      </c>
      <c r="C19" s="239">
        <v>0</v>
      </c>
      <c r="D19" s="240">
        <f>B19+C19</f>
        <v>481582</v>
      </c>
      <c r="E19" s="239">
        <v>117915.12</v>
      </c>
      <c r="F19" s="239">
        <v>99322.63</v>
      </c>
      <c r="G19" s="238">
        <f>D19-E19</f>
        <v>363666.88</v>
      </c>
    </row>
    <row r="20" spans="1:7" x14ac:dyDescent="0.25">
      <c r="A20" s="241" t="s">
        <v>193</v>
      </c>
      <c r="B20" s="239">
        <v>6160974.3700000001</v>
      </c>
      <c r="C20" s="239">
        <v>0</v>
      </c>
      <c r="D20" s="240">
        <f>B20+C20</f>
        <v>6160974.3700000001</v>
      </c>
      <c r="E20" s="239">
        <v>567609.59999999998</v>
      </c>
      <c r="F20" s="239">
        <v>595905.68999999994</v>
      </c>
      <c r="G20" s="238">
        <f>D20-E20</f>
        <v>5593364.7700000005</v>
      </c>
    </row>
    <row r="21" spans="1:7" x14ac:dyDescent="0.25">
      <c r="A21" s="241" t="s">
        <v>192</v>
      </c>
      <c r="B21" s="239">
        <v>667519</v>
      </c>
      <c r="C21" s="239">
        <v>0</v>
      </c>
      <c r="D21" s="240">
        <f>B21+C21</f>
        <v>667519</v>
      </c>
      <c r="E21" s="239">
        <v>116706.32</v>
      </c>
      <c r="F21" s="239">
        <v>116706.32</v>
      </c>
      <c r="G21" s="238">
        <f>D21-E21</f>
        <v>550812.67999999993</v>
      </c>
    </row>
    <row r="22" spans="1:7" x14ac:dyDescent="0.25">
      <c r="A22" s="241" t="s">
        <v>191</v>
      </c>
      <c r="B22" s="239">
        <v>7650860.7300000004</v>
      </c>
      <c r="C22" s="239">
        <v>25000</v>
      </c>
      <c r="D22" s="240">
        <f>B22+C22</f>
        <v>7675860.7300000004</v>
      </c>
      <c r="E22" s="239">
        <v>350973.97</v>
      </c>
      <c r="F22" s="239">
        <v>362385.05</v>
      </c>
      <c r="G22" s="238">
        <f>D22-E22</f>
        <v>7324886.7600000007</v>
      </c>
    </row>
    <row r="23" spans="1:7" x14ac:dyDescent="0.25">
      <c r="A23" s="241" t="s">
        <v>190</v>
      </c>
      <c r="B23" s="239">
        <v>8047205.2999999998</v>
      </c>
      <c r="C23" s="239">
        <v>-8800</v>
      </c>
      <c r="D23" s="240">
        <f>B23+C23</f>
        <v>8038405.2999999998</v>
      </c>
      <c r="E23" s="239">
        <v>2657678.59</v>
      </c>
      <c r="F23" s="239">
        <v>2047560.67</v>
      </c>
      <c r="G23" s="238">
        <f>D23-E23</f>
        <v>5380726.71</v>
      </c>
    </row>
    <row r="24" spans="1:7" x14ac:dyDescent="0.25">
      <c r="A24" s="241" t="s">
        <v>189</v>
      </c>
      <c r="B24" s="239">
        <v>2071526.8</v>
      </c>
      <c r="C24" s="239">
        <v>0</v>
      </c>
      <c r="D24" s="240">
        <f>B24+C24</f>
        <v>2071526.8</v>
      </c>
      <c r="E24" s="239">
        <v>25063.33</v>
      </c>
      <c r="F24" s="239">
        <v>20155.32</v>
      </c>
      <c r="G24" s="238">
        <f>D24-E24</f>
        <v>2046463.47</v>
      </c>
    </row>
    <row r="25" spans="1:7" x14ac:dyDescent="0.25">
      <c r="A25" s="241" t="s">
        <v>188</v>
      </c>
      <c r="B25" s="239"/>
      <c r="C25" s="239"/>
      <c r="D25" s="240">
        <f>B25+C25</f>
        <v>0</v>
      </c>
      <c r="E25" s="239"/>
      <c r="F25" s="239"/>
      <c r="G25" s="238">
        <f>D25-E25</f>
        <v>0</v>
      </c>
    </row>
    <row r="26" spans="1:7" x14ac:dyDescent="0.25">
      <c r="A26" s="241" t="s">
        <v>187</v>
      </c>
      <c r="B26" s="239">
        <v>2396412.44</v>
      </c>
      <c r="C26" s="239">
        <v>-78295</v>
      </c>
      <c r="D26" s="240">
        <f>B26+C26</f>
        <v>2318117.44</v>
      </c>
      <c r="E26" s="239">
        <v>679416.16999999993</v>
      </c>
      <c r="F26" s="239">
        <v>589909.1</v>
      </c>
      <c r="G26" s="238">
        <f>D26-E26</f>
        <v>1638701.27</v>
      </c>
    </row>
    <row r="27" spans="1:7" x14ac:dyDescent="0.25">
      <c r="A27" s="242" t="s">
        <v>186</v>
      </c>
      <c r="B27" s="240">
        <f>SUM(B28:B36)</f>
        <v>144642119.81999999</v>
      </c>
      <c r="C27" s="240">
        <f>SUM(C28:C36)</f>
        <v>33347138.609999999</v>
      </c>
      <c r="D27" s="240">
        <f>B27+C27</f>
        <v>177989258.43000001</v>
      </c>
      <c r="E27" s="240">
        <f>SUM(E28:E36)</f>
        <v>45185609.169999994</v>
      </c>
      <c r="F27" s="240">
        <f>SUM(F28:F36)</f>
        <v>34940961.590000004</v>
      </c>
      <c r="G27" s="238">
        <f>D27-E27</f>
        <v>132803649.26000002</v>
      </c>
    </row>
    <row r="28" spans="1:7" x14ac:dyDescent="0.25">
      <c r="A28" s="241" t="s">
        <v>185</v>
      </c>
      <c r="B28" s="239">
        <v>84741042.400000006</v>
      </c>
      <c r="C28" s="239">
        <v>3244046</v>
      </c>
      <c r="D28" s="240">
        <f>B28+C28</f>
        <v>87985088.400000006</v>
      </c>
      <c r="E28" s="239">
        <v>25732230.439999998</v>
      </c>
      <c r="F28" s="239">
        <v>22604736.370000001</v>
      </c>
      <c r="G28" s="238">
        <f>D28-E28</f>
        <v>62252857.960000008</v>
      </c>
    </row>
    <row r="29" spans="1:7" x14ac:dyDescent="0.25">
      <c r="A29" s="241" t="s">
        <v>184</v>
      </c>
      <c r="B29" s="239">
        <v>5447594.5</v>
      </c>
      <c r="C29" s="239">
        <v>2700</v>
      </c>
      <c r="D29" s="240">
        <f>B29+C29</f>
        <v>5450294.5</v>
      </c>
      <c r="E29" s="239">
        <v>1278452.0200000003</v>
      </c>
      <c r="F29" s="239">
        <v>952432.38</v>
      </c>
      <c r="G29" s="238">
        <f>D29-E29</f>
        <v>4171842.4799999995</v>
      </c>
    </row>
    <row r="30" spans="1:7" x14ac:dyDescent="0.25">
      <c r="A30" s="241" t="s">
        <v>183</v>
      </c>
      <c r="B30" s="239">
        <v>14547135.59</v>
      </c>
      <c r="C30" s="239">
        <v>301900</v>
      </c>
      <c r="D30" s="240">
        <f>B30+C30</f>
        <v>14849035.59</v>
      </c>
      <c r="E30" s="239">
        <v>8139923.6900000004</v>
      </c>
      <c r="F30" s="239">
        <v>6550981.2000000002</v>
      </c>
      <c r="G30" s="238">
        <f>D30-E30</f>
        <v>6709111.8999999994</v>
      </c>
    </row>
    <row r="31" spans="1:7" x14ac:dyDescent="0.25">
      <c r="A31" s="241" t="s">
        <v>182</v>
      </c>
      <c r="B31" s="239">
        <v>20606315.139999997</v>
      </c>
      <c r="C31" s="239">
        <v>0</v>
      </c>
      <c r="D31" s="240">
        <f>B31+C31</f>
        <v>20606315.139999997</v>
      </c>
      <c r="E31" s="239">
        <v>4003689.51</v>
      </c>
      <c r="F31" s="239">
        <v>3059552.17</v>
      </c>
      <c r="G31" s="238">
        <f>D31-E31</f>
        <v>16602625.629999997</v>
      </c>
    </row>
    <row r="32" spans="1:7" ht="25.5" x14ac:dyDescent="0.25">
      <c r="A32" s="241" t="s">
        <v>181</v>
      </c>
      <c r="B32" s="239">
        <v>8138504.7400000002</v>
      </c>
      <c r="C32" s="239">
        <v>800717.61</v>
      </c>
      <c r="D32" s="240">
        <f>B32+C32</f>
        <v>8939222.3499999996</v>
      </c>
      <c r="E32" s="239">
        <v>1412007.8699999999</v>
      </c>
      <c r="F32" s="239">
        <v>853996.89</v>
      </c>
      <c r="G32" s="238">
        <f>D32-E32</f>
        <v>7527214.4799999995</v>
      </c>
    </row>
    <row r="33" spans="1:7" x14ac:dyDescent="0.25">
      <c r="A33" s="241" t="s">
        <v>180</v>
      </c>
      <c r="B33" s="239">
        <v>1067467.54</v>
      </c>
      <c r="C33" s="239">
        <v>29000</v>
      </c>
      <c r="D33" s="240">
        <f>B33+C33</f>
        <v>1096467.54</v>
      </c>
      <c r="E33" s="239">
        <v>100150</v>
      </c>
      <c r="F33" s="239">
        <v>75790</v>
      </c>
      <c r="G33" s="238">
        <f>D33-E33</f>
        <v>996317.54</v>
      </c>
    </row>
    <row r="34" spans="1:7" x14ac:dyDescent="0.25">
      <c r="A34" s="241" t="s">
        <v>179</v>
      </c>
      <c r="B34" s="239">
        <v>2980396.39</v>
      </c>
      <c r="C34" s="239">
        <v>0</v>
      </c>
      <c r="D34" s="240">
        <f>B34+C34</f>
        <v>2980396.39</v>
      </c>
      <c r="E34" s="239">
        <v>535169.13</v>
      </c>
      <c r="F34" s="239">
        <v>428114.13</v>
      </c>
      <c r="G34" s="238">
        <f>D34-E34</f>
        <v>2445227.2600000002</v>
      </c>
    </row>
    <row r="35" spans="1:7" ht="15.75" thickBot="1" x14ac:dyDescent="0.3">
      <c r="A35" s="237" t="s">
        <v>178</v>
      </c>
      <c r="B35" s="235">
        <v>83139</v>
      </c>
      <c r="C35" s="235">
        <v>0</v>
      </c>
      <c r="D35" s="236">
        <f>B35+C35</f>
        <v>83139</v>
      </c>
      <c r="E35" s="235">
        <v>2186</v>
      </c>
      <c r="F35" s="235">
        <v>2186</v>
      </c>
      <c r="G35" s="234">
        <f>D35-E35</f>
        <v>80953</v>
      </c>
    </row>
    <row r="36" spans="1:7" x14ac:dyDescent="0.25">
      <c r="A36" s="241" t="s">
        <v>177</v>
      </c>
      <c r="B36" s="239">
        <v>7030524.5200000005</v>
      </c>
      <c r="C36" s="239">
        <v>28968775</v>
      </c>
      <c r="D36" s="240">
        <f>B36+C36</f>
        <v>35999299.520000003</v>
      </c>
      <c r="E36" s="239">
        <v>3981800.5100000002</v>
      </c>
      <c r="F36" s="239">
        <v>413172.45</v>
      </c>
      <c r="G36" s="238">
        <f>D36-E36</f>
        <v>32017499.010000002</v>
      </c>
    </row>
    <row r="37" spans="1:7" x14ac:dyDescent="0.25">
      <c r="A37" s="242" t="s">
        <v>176</v>
      </c>
      <c r="B37" s="240">
        <f>SUM(B38:B46)</f>
        <v>0</v>
      </c>
      <c r="C37" s="240">
        <f>SUM(C38:C46)</f>
        <v>18547015.920000002</v>
      </c>
      <c r="D37" s="240">
        <f>B37+C37</f>
        <v>18547015.920000002</v>
      </c>
      <c r="E37" s="240">
        <f>SUM(E38:E46)</f>
        <v>18459828</v>
      </c>
      <c r="F37" s="240">
        <f>SUM(F38:F46)</f>
        <v>18459828</v>
      </c>
      <c r="G37" s="238">
        <f>D37-E37</f>
        <v>87187.920000001788</v>
      </c>
    </row>
    <row r="38" spans="1:7" x14ac:dyDescent="0.25">
      <c r="A38" s="241" t="s">
        <v>175</v>
      </c>
      <c r="B38" s="239"/>
      <c r="C38" s="239"/>
      <c r="D38" s="240">
        <f>B38+C38</f>
        <v>0</v>
      </c>
      <c r="E38" s="239"/>
      <c r="F38" s="239"/>
      <c r="G38" s="238">
        <f>D38-E38</f>
        <v>0</v>
      </c>
    </row>
    <row r="39" spans="1:7" x14ac:dyDescent="0.25">
      <c r="A39" s="241" t="s">
        <v>174</v>
      </c>
      <c r="B39" s="239">
        <v>0</v>
      </c>
      <c r="C39" s="239">
        <v>18547015.920000002</v>
      </c>
      <c r="D39" s="240">
        <f>B39+C39</f>
        <v>18547015.920000002</v>
      </c>
      <c r="E39" s="239">
        <v>18459828</v>
      </c>
      <c r="F39" s="239">
        <v>18459828</v>
      </c>
      <c r="G39" s="238">
        <f>D39-E39</f>
        <v>87187.920000001788</v>
      </c>
    </row>
    <row r="40" spans="1:7" x14ac:dyDescent="0.25">
      <c r="A40" s="241" t="s">
        <v>173</v>
      </c>
      <c r="B40" s="239"/>
      <c r="C40" s="239"/>
      <c r="D40" s="240">
        <f>B40+C40</f>
        <v>0</v>
      </c>
      <c r="E40" s="239"/>
      <c r="F40" s="239"/>
      <c r="G40" s="238">
        <f>D40-E40</f>
        <v>0</v>
      </c>
    </row>
    <row r="41" spans="1:7" x14ac:dyDescent="0.25">
      <c r="A41" s="241" t="s">
        <v>172</v>
      </c>
      <c r="B41" s="239"/>
      <c r="C41" s="239"/>
      <c r="D41" s="240">
        <f>B41+C41</f>
        <v>0</v>
      </c>
      <c r="E41" s="239"/>
      <c r="F41" s="239"/>
      <c r="G41" s="238">
        <f>D41-E41</f>
        <v>0</v>
      </c>
    </row>
    <row r="42" spans="1:7" x14ac:dyDescent="0.25">
      <c r="A42" s="241" t="s">
        <v>171</v>
      </c>
      <c r="B42" s="239"/>
      <c r="C42" s="239"/>
      <c r="D42" s="240">
        <f>B42+C42</f>
        <v>0</v>
      </c>
      <c r="E42" s="239"/>
      <c r="F42" s="239"/>
      <c r="G42" s="238">
        <f>D42-E42</f>
        <v>0</v>
      </c>
    </row>
    <row r="43" spans="1:7" x14ac:dyDescent="0.25">
      <c r="A43" s="241" t="s">
        <v>170</v>
      </c>
      <c r="B43" s="239"/>
      <c r="C43" s="239"/>
      <c r="D43" s="240">
        <f>B43+C43</f>
        <v>0</v>
      </c>
      <c r="E43" s="239"/>
      <c r="F43" s="239"/>
      <c r="G43" s="238">
        <f>D43-E43</f>
        <v>0</v>
      </c>
    </row>
    <row r="44" spans="1:7" x14ac:dyDescent="0.25">
      <c r="A44" s="241" t="s">
        <v>169</v>
      </c>
      <c r="B44" s="239"/>
      <c r="C44" s="239"/>
      <c r="D44" s="240">
        <f>B44+C44</f>
        <v>0</v>
      </c>
      <c r="E44" s="239"/>
      <c r="F44" s="239"/>
      <c r="G44" s="238">
        <f>D44-E44</f>
        <v>0</v>
      </c>
    </row>
    <row r="45" spans="1:7" x14ac:dyDescent="0.25">
      <c r="A45" s="241" t="s">
        <v>168</v>
      </c>
      <c r="B45" s="239"/>
      <c r="C45" s="239"/>
      <c r="D45" s="240">
        <f>B45+C45</f>
        <v>0</v>
      </c>
      <c r="E45" s="239"/>
      <c r="F45" s="239"/>
      <c r="G45" s="238">
        <f>D45-E45</f>
        <v>0</v>
      </c>
    </row>
    <row r="46" spans="1:7" x14ac:dyDescent="0.25">
      <c r="A46" s="241" t="s">
        <v>167</v>
      </c>
      <c r="B46" s="239"/>
      <c r="C46" s="239"/>
      <c r="D46" s="240">
        <f>B46+C46</f>
        <v>0</v>
      </c>
      <c r="E46" s="239"/>
      <c r="F46" s="239"/>
      <c r="G46" s="238">
        <f>D46-E46</f>
        <v>0</v>
      </c>
    </row>
    <row r="47" spans="1:7" x14ac:dyDescent="0.25">
      <c r="A47" s="242" t="s">
        <v>166</v>
      </c>
      <c r="B47" s="240">
        <f>SUM(B48:B56)</f>
        <v>5311212</v>
      </c>
      <c r="C47" s="240">
        <f>SUM(C48:C56)</f>
        <v>3600</v>
      </c>
      <c r="D47" s="240">
        <f>B47+C47</f>
        <v>5314812</v>
      </c>
      <c r="E47" s="240">
        <f>SUM(E48:E56)</f>
        <v>37908.800000000003</v>
      </c>
      <c r="F47" s="240">
        <f>SUM(F48:F56)</f>
        <v>37908.800000000003</v>
      </c>
      <c r="G47" s="238">
        <f>D47-E47</f>
        <v>5276903.2</v>
      </c>
    </row>
    <row r="48" spans="1:7" x14ac:dyDescent="0.25">
      <c r="A48" s="241" t="s">
        <v>165</v>
      </c>
      <c r="B48" s="239">
        <v>1029997</v>
      </c>
      <c r="C48" s="239">
        <v>3600</v>
      </c>
      <c r="D48" s="240">
        <f>B48+C48</f>
        <v>1033597</v>
      </c>
      <c r="E48" s="239">
        <v>0</v>
      </c>
      <c r="F48" s="239">
        <v>0</v>
      </c>
      <c r="G48" s="238">
        <f>D48-E48</f>
        <v>1033597</v>
      </c>
    </row>
    <row r="49" spans="1:7" x14ac:dyDescent="0.25">
      <c r="A49" s="241" t="s">
        <v>164</v>
      </c>
      <c r="B49" s="239"/>
      <c r="C49" s="239"/>
      <c r="D49" s="240">
        <f>B49+C49</f>
        <v>0</v>
      </c>
      <c r="E49" s="239"/>
      <c r="F49" s="239"/>
      <c r="G49" s="238">
        <f>D49-E49</f>
        <v>0</v>
      </c>
    </row>
    <row r="50" spans="1:7" x14ac:dyDescent="0.25">
      <c r="A50" s="241" t="s">
        <v>163</v>
      </c>
      <c r="B50" s="239"/>
      <c r="C50" s="239"/>
      <c r="D50" s="240">
        <f>B50+C50</f>
        <v>0</v>
      </c>
      <c r="E50" s="239"/>
      <c r="F50" s="239"/>
      <c r="G50" s="238">
        <f>D50-E50</f>
        <v>0</v>
      </c>
    </row>
    <row r="51" spans="1:7" x14ac:dyDescent="0.25">
      <c r="A51" s="241" t="s">
        <v>162</v>
      </c>
      <c r="B51" s="239">
        <v>500000</v>
      </c>
      <c r="C51" s="239">
        <v>0</v>
      </c>
      <c r="D51" s="240">
        <f>B51+C51</f>
        <v>500000</v>
      </c>
      <c r="E51" s="239">
        <v>0</v>
      </c>
      <c r="F51" s="239">
        <v>0</v>
      </c>
      <c r="G51" s="238">
        <f>D51-E51</f>
        <v>500000</v>
      </c>
    </row>
    <row r="52" spans="1:7" x14ac:dyDescent="0.25">
      <c r="A52" s="241" t="s">
        <v>161</v>
      </c>
      <c r="B52" s="239"/>
      <c r="C52" s="239"/>
      <c r="D52" s="240">
        <f>B52+C52</f>
        <v>0</v>
      </c>
      <c r="E52" s="239"/>
      <c r="F52" s="239"/>
      <c r="G52" s="238">
        <f>D52-E52</f>
        <v>0</v>
      </c>
    </row>
    <row r="53" spans="1:7" x14ac:dyDescent="0.25">
      <c r="A53" s="241" t="s">
        <v>160</v>
      </c>
      <c r="B53" s="239">
        <v>3781215</v>
      </c>
      <c r="C53" s="239">
        <v>0</v>
      </c>
      <c r="D53" s="240">
        <f>B53+C53</f>
        <v>3781215</v>
      </c>
      <c r="E53" s="239">
        <v>37908.800000000003</v>
      </c>
      <c r="F53" s="239">
        <v>37908.800000000003</v>
      </c>
      <c r="G53" s="238">
        <f>D53-E53</f>
        <v>3743306.2</v>
      </c>
    </row>
    <row r="54" spans="1:7" x14ac:dyDescent="0.25">
      <c r="A54" s="241" t="s">
        <v>159</v>
      </c>
      <c r="B54" s="239"/>
      <c r="C54" s="239"/>
      <c r="D54" s="240">
        <f>B54+C54</f>
        <v>0</v>
      </c>
      <c r="E54" s="239"/>
      <c r="F54" s="239"/>
      <c r="G54" s="238">
        <f>D54-E54</f>
        <v>0</v>
      </c>
    </row>
    <row r="55" spans="1:7" x14ac:dyDescent="0.25">
      <c r="A55" s="241" t="s">
        <v>158</v>
      </c>
      <c r="B55" s="239"/>
      <c r="C55" s="239"/>
      <c r="D55" s="240">
        <f>B55+C55</f>
        <v>0</v>
      </c>
      <c r="E55" s="239"/>
      <c r="F55" s="239"/>
      <c r="G55" s="238">
        <f>D55-E55</f>
        <v>0</v>
      </c>
    </row>
    <row r="56" spans="1:7" x14ac:dyDescent="0.25">
      <c r="A56" s="241" t="s">
        <v>157</v>
      </c>
      <c r="B56" s="239"/>
      <c r="C56" s="239"/>
      <c r="D56" s="240">
        <f>B56+C56</f>
        <v>0</v>
      </c>
      <c r="E56" s="239"/>
      <c r="F56" s="239"/>
      <c r="G56" s="238">
        <f>D56-E56</f>
        <v>0</v>
      </c>
    </row>
    <row r="57" spans="1:7" x14ac:dyDescent="0.25">
      <c r="A57" s="242" t="s">
        <v>156</v>
      </c>
      <c r="B57" s="240">
        <f>SUM(B58:B60)</f>
        <v>117900000</v>
      </c>
      <c r="C57" s="240">
        <f>SUM(C58:C60)</f>
        <v>19281485.309999999</v>
      </c>
      <c r="D57" s="240">
        <f>B57+C57</f>
        <v>137181485.31</v>
      </c>
      <c r="E57" s="240">
        <f>SUM(E58:E60)</f>
        <v>0</v>
      </c>
      <c r="F57" s="240">
        <f>SUM(F58:F60)</f>
        <v>0</v>
      </c>
      <c r="G57" s="238">
        <f>D57-E57</f>
        <v>137181485.31</v>
      </c>
    </row>
    <row r="58" spans="1:7" x14ac:dyDescent="0.25">
      <c r="A58" s="241" t="s">
        <v>155</v>
      </c>
      <c r="B58" s="239">
        <v>117900000</v>
      </c>
      <c r="C58" s="239">
        <f>20830327.99-1548842.68</f>
        <v>19281485.309999999</v>
      </c>
      <c r="D58" s="240">
        <f>B58+C58</f>
        <v>137181485.31</v>
      </c>
      <c r="E58" s="239">
        <v>0</v>
      </c>
      <c r="F58" s="239">
        <v>0</v>
      </c>
      <c r="G58" s="238">
        <f>D58-E58</f>
        <v>137181485.31</v>
      </c>
    </row>
    <row r="59" spans="1:7" x14ac:dyDescent="0.25">
      <c r="A59" s="241" t="s">
        <v>154</v>
      </c>
      <c r="B59" s="239"/>
      <c r="C59" s="239"/>
      <c r="D59" s="240">
        <f>B59+C59</f>
        <v>0</v>
      </c>
      <c r="E59" s="239"/>
      <c r="F59" s="239"/>
      <c r="G59" s="238">
        <f>D59-E59</f>
        <v>0</v>
      </c>
    </row>
    <row r="60" spans="1:7" x14ac:dyDescent="0.25">
      <c r="A60" s="241" t="s">
        <v>153</v>
      </c>
      <c r="B60" s="239"/>
      <c r="C60" s="239"/>
      <c r="D60" s="240">
        <f>B60+C60</f>
        <v>0</v>
      </c>
      <c r="E60" s="239"/>
      <c r="F60" s="239"/>
      <c r="G60" s="238">
        <f>D60-E60</f>
        <v>0</v>
      </c>
    </row>
    <row r="61" spans="1:7" x14ac:dyDescent="0.25">
      <c r="A61" s="242" t="s">
        <v>152</v>
      </c>
      <c r="B61" s="240">
        <f>SUM(B62:B68)</f>
        <v>68632616.799999997</v>
      </c>
      <c r="C61" s="240">
        <f>SUM(C62:C68)</f>
        <v>0</v>
      </c>
      <c r="D61" s="240">
        <f>B61+C61</f>
        <v>68632616.799999997</v>
      </c>
      <c r="E61" s="240">
        <f>SUM(E62:E68)</f>
        <v>0</v>
      </c>
      <c r="F61" s="240">
        <f>SUM(F62:F68)</f>
        <v>0</v>
      </c>
      <c r="G61" s="238">
        <f>D61-E61</f>
        <v>68632616.799999997</v>
      </c>
    </row>
    <row r="62" spans="1:7" x14ac:dyDescent="0.25">
      <c r="A62" s="241" t="s">
        <v>151</v>
      </c>
      <c r="B62" s="239"/>
      <c r="C62" s="239"/>
      <c r="D62" s="240">
        <f>B62+C62</f>
        <v>0</v>
      </c>
      <c r="E62" s="239"/>
      <c r="F62" s="239"/>
      <c r="G62" s="238">
        <f>D62-E62</f>
        <v>0</v>
      </c>
    </row>
    <row r="63" spans="1:7" ht="15.75" thickBot="1" x14ac:dyDescent="0.3">
      <c r="A63" s="237" t="s">
        <v>150</v>
      </c>
      <c r="B63" s="235"/>
      <c r="C63" s="235"/>
      <c r="D63" s="236">
        <f>B63+C63</f>
        <v>0</v>
      </c>
      <c r="E63" s="235"/>
      <c r="F63" s="235"/>
      <c r="G63" s="234">
        <f>D63-E63</f>
        <v>0</v>
      </c>
    </row>
    <row r="64" spans="1:7" x14ac:dyDescent="0.25">
      <c r="A64" s="241" t="s">
        <v>149</v>
      </c>
      <c r="B64" s="239"/>
      <c r="C64" s="239"/>
      <c r="D64" s="240">
        <f>B64+C64</f>
        <v>0</v>
      </c>
      <c r="E64" s="239"/>
      <c r="F64" s="239"/>
      <c r="G64" s="238">
        <f>D64-E64</f>
        <v>0</v>
      </c>
    </row>
    <row r="65" spans="1:7" x14ac:dyDescent="0.25">
      <c r="A65" s="241" t="s">
        <v>148</v>
      </c>
      <c r="B65" s="239"/>
      <c r="C65" s="239"/>
      <c r="D65" s="240">
        <f>B65+C65</f>
        <v>0</v>
      </c>
      <c r="E65" s="239"/>
      <c r="F65" s="239"/>
      <c r="G65" s="238">
        <f>D65-E65</f>
        <v>0</v>
      </c>
    </row>
    <row r="66" spans="1:7" x14ac:dyDescent="0.25">
      <c r="A66" s="241" t="s">
        <v>147</v>
      </c>
      <c r="B66" s="239"/>
      <c r="C66" s="239"/>
      <c r="D66" s="240">
        <f>B66+C66</f>
        <v>0</v>
      </c>
      <c r="E66" s="239"/>
      <c r="F66" s="239"/>
      <c r="G66" s="238">
        <f>D66-E66</f>
        <v>0</v>
      </c>
    </row>
    <row r="67" spans="1:7" x14ac:dyDescent="0.25">
      <c r="A67" s="241" t="s">
        <v>146</v>
      </c>
      <c r="B67" s="239"/>
      <c r="C67" s="239"/>
      <c r="D67" s="240">
        <f>B67+C67</f>
        <v>0</v>
      </c>
      <c r="E67" s="239"/>
      <c r="F67" s="239"/>
      <c r="G67" s="238">
        <f>D67-E67</f>
        <v>0</v>
      </c>
    </row>
    <row r="68" spans="1:7" x14ac:dyDescent="0.25">
      <c r="A68" s="241" t="s">
        <v>145</v>
      </c>
      <c r="B68" s="239">
        <v>68632616.799999997</v>
      </c>
      <c r="C68" s="239">
        <v>0</v>
      </c>
      <c r="D68" s="240">
        <f>B68+C68</f>
        <v>68632616.799999997</v>
      </c>
      <c r="E68" s="239">
        <v>0</v>
      </c>
      <c r="F68" s="239">
        <v>0</v>
      </c>
      <c r="G68" s="238">
        <f>D68-E68</f>
        <v>68632616.799999997</v>
      </c>
    </row>
    <row r="69" spans="1:7" x14ac:dyDescent="0.25">
      <c r="A69" s="242" t="s">
        <v>144</v>
      </c>
      <c r="B69" s="240">
        <f>SUM(B70:B72)</f>
        <v>0</v>
      </c>
      <c r="C69" s="240">
        <f>SUM(C70:C72)</f>
        <v>0</v>
      </c>
      <c r="D69" s="240">
        <f>B69+C69</f>
        <v>0</v>
      </c>
      <c r="E69" s="240">
        <f>SUM(E70:E72)</f>
        <v>0</v>
      </c>
      <c r="F69" s="240">
        <f>SUM(F70:F72)</f>
        <v>0</v>
      </c>
      <c r="G69" s="238">
        <f>D69-E69</f>
        <v>0</v>
      </c>
    </row>
    <row r="70" spans="1:7" x14ac:dyDescent="0.25">
      <c r="A70" s="241" t="s">
        <v>143</v>
      </c>
      <c r="B70" s="239"/>
      <c r="C70" s="239"/>
      <c r="D70" s="240">
        <f>B70+C70</f>
        <v>0</v>
      </c>
      <c r="E70" s="239"/>
      <c r="F70" s="239"/>
      <c r="G70" s="238">
        <f>D70-E70</f>
        <v>0</v>
      </c>
    </row>
    <row r="71" spans="1:7" x14ac:dyDescent="0.25">
      <c r="A71" s="241" t="s">
        <v>142</v>
      </c>
      <c r="B71" s="239"/>
      <c r="C71" s="239"/>
      <c r="D71" s="240">
        <f>B71+C71</f>
        <v>0</v>
      </c>
      <c r="E71" s="239"/>
      <c r="F71" s="239"/>
      <c r="G71" s="238">
        <f>D71-E71</f>
        <v>0</v>
      </c>
    </row>
    <row r="72" spans="1:7" x14ac:dyDescent="0.25">
      <c r="A72" s="241" t="s">
        <v>141</v>
      </c>
      <c r="B72" s="239"/>
      <c r="C72" s="239"/>
      <c r="D72" s="240">
        <f>B72+C72</f>
        <v>0</v>
      </c>
      <c r="E72" s="239"/>
      <c r="F72" s="239"/>
      <c r="G72" s="238">
        <f>D72-E72</f>
        <v>0</v>
      </c>
    </row>
    <row r="73" spans="1:7" x14ac:dyDescent="0.25">
      <c r="A73" s="242" t="s">
        <v>140</v>
      </c>
      <c r="B73" s="240">
        <f>SUM(B74:B80)</f>
        <v>51466984.189999998</v>
      </c>
      <c r="C73" s="240">
        <f>SUM(C74:C80)</f>
        <v>27504198.440000001</v>
      </c>
      <c r="D73" s="240">
        <f>B73+C73</f>
        <v>78971182.629999995</v>
      </c>
      <c r="E73" s="240">
        <f>SUM(E74:E80)</f>
        <v>34230299.519999996</v>
      </c>
      <c r="F73" s="240">
        <f>SUM(F74:F80)</f>
        <v>33275102.66</v>
      </c>
      <c r="G73" s="238">
        <f>D73-E73</f>
        <v>44740883.109999999</v>
      </c>
    </row>
    <row r="74" spans="1:7" x14ac:dyDescent="0.25">
      <c r="A74" s="241" t="s">
        <v>139</v>
      </c>
      <c r="B74" s="239">
        <v>14619259.189999999</v>
      </c>
      <c r="C74" s="239">
        <v>4010257</v>
      </c>
      <c r="D74" s="240">
        <f>B74+C74</f>
        <v>18629516.189999998</v>
      </c>
      <c r="E74" s="239">
        <v>4010257</v>
      </c>
      <c r="F74" s="239">
        <v>4010257</v>
      </c>
      <c r="G74" s="238">
        <f>D74-E74</f>
        <v>14619259.189999998</v>
      </c>
    </row>
    <row r="75" spans="1:7" x14ac:dyDescent="0.25">
      <c r="A75" s="241" t="s">
        <v>138</v>
      </c>
      <c r="B75" s="239">
        <v>30093117</v>
      </c>
      <c r="C75" s="239">
        <v>5639507</v>
      </c>
      <c r="D75" s="240">
        <f>B75+C75</f>
        <v>35732624</v>
      </c>
      <c r="E75" s="239">
        <v>7639506.379999999</v>
      </c>
      <c r="F75" s="239">
        <v>7639506.379999999</v>
      </c>
      <c r="G75" s="238">
        <f>D75-E75</f>
        <v>28093117.620000001</v>
      </c>
    </row>
    <row r="76" spans="1:7" x14ac:dyDescent="0.25">
      <c r="A76" s="241" t="s">
        <v>137</v>
      </c>
      <c r="B76" s="239"/>
      <c r="C76" s="239"/>
      <c r="D76" s="240">
        <f>B76+C76</f>
        <v>0</v>
      </c>
      <c r="E76" s="239"/>
      <c r="F76" s="239"/>
      <c r="G76" s="238">
        <f>D76-E76</f>
        <v>0</v>
      </c>
    </row>
    <row r="77" spans="1:7" x14ac:dyDescent="0.25">
      <c r="A77" s="241" t="s">
        <v>136</v>
      </c>
      <c r="B77" s="239"/>
      <c r="C77" s="239"/>
      <c r="D77" s="240">
        <f>B77+C77</f>
        <v>0</v>
      </c>
      <c r="E77" s="239"/>
      <c r="F77" s="239"/>
      <c r="G77" s="238">
        <f>D77-E77</f>
        <v>0</v>
      </c>
    </row>
    <row r="78" spans="1:7" x14ac:dyDescent="0.25">
      <c r="A78" s="241" t="s">
        <v>135</v>
      </c>
      <c r="B78" s="239"/>
      <c r="C78" s="239"/>
      <c r="D78" s="240">
        <f>B78+C78</f>
        <v>0</v>
      </c>
      <c r="E78" s="239"/>
      <c r="F78" s="239"/>
      <c r="G78" s="238">
        <f>D78-E78</f>
        <v>0</v>
      </c>
    </row>
    <row r="79" spans="1:7" x14ac:dyDescent="0.25">
      <c r="A79" s="241" t="s">
        <v>134</v>
      </c>
      <c r="B79" s="239"/>
      <c r="C79" s="239"/>
      <c r="D79" s="240">
        <f>B79+C79</f>
        <v>0</v>
      </c>
      <c r="E79" s="239"/>
      <c r="F79" s="239"/>
      <c r="G79" s="238">
        <f>D79-E79</f>
        <v>0</v>
      </c>
    </row>
    <row r="80" spans="1:7" ht="15.75" thickBot="1" x14ac:dyDescent="0.3">
      <c r="A80" s="237" t="s">
        <v>133</v>
      </c>
      <c r="B80" s="235">
        <v>6754608</v>
      </c>
      <c r="C80" s="235">
        <v>17854434.440000001</v>
      </c>
      <c r="D80" s="236">
        <f>B80+C80</f>
        <v>24609042.440000001</v>
      </c>
      <c r="E80" s="235">
        <v>22580536.140000001</v>
      </c>
      <c r="F80" s="235">
        <v>21625339.280000001</v>
      </c>
      <c r="G80" s="234">
        <f>D80-E80</f>
        <v>2028506.3000000007</v>
      </c>
    </row>
    <row r="81" spans="1:7" ht="15.75" thickBot="1" x14ac:dyDescent="0.3">
      <c r="A81" s="233" t="s">
        <v>132</v>
      </c>
      <c r="B81" s="232">
        <f>B73+B69+B61+B57+B47+B37+B27+B17+B9</f>
        <v>623563231.94000006</v>
      </c>
      <c r="C81" s="232">
        <f>C73+C69+C61+C57+C47+C37+C27+C17+C9</f>
        <v>98076621.340000004</v>
      </c>
      <c r="D81" s="232">
        <f>B81+C81</f>
        <v>721639853.28000009</v>
      </c>
      <c r="E81" s="232">
        <f>E73+E69+E61+E57+E47+E37+E27+E17+E9</f>
        <v>155474969.88999999</v>
      </c>
      <c r="F81" s="232">
        <f>F73+F69+F61+F57+F47+F37+F27+F17+F9</f>
        <v>137282655.09</v>
      </c>
      <c r="G81" s="231">
        <f>D81-E81</f>
        <v>566164883.3900001</v>
      </c>
    </row>
    <row r="82" spans="1:7" x14ac:dyDescent="0.25">
      <c r="A82" s="230"/>
      <c r="B82" s="229"/>
      <c r="C82" s="229"/>
      <c r="D82" s="229"/>
      <c r="E82" s="229"/>
      <c r="F82" s="229"/>
      <c r="G82" s="229"/>
    </row>
    <row r="83" spans="1:7" x14ac:dyDescent="0.25">
      <c r="A83" s="230"/>
      <c r="B83" s="229"/>
      <c r="C83" s="229"/>
      <c r="D83" s="229"/>
      <c r="E83" s="229"/>
      <c r="F83" s="229"/>
      <c r="G83" s="229"/>
    </row>
    <row r="84" spans="1:7" x14ac:dyDescent="0.25">
      <c r="A84" s="230"/>
      <c r="B84" s="229"/>
      <c r="C84" s="229"/>
      <c r="D84" s="229"/>
      <c r="E84" s="229"/>
      <c r="F84" s="229"/>
      <c r="G84" s="229"/>
    </row>
    <row r="85" spans="1:7" x14ac:dyDescent="0.25">
      <c r="A85" s="230"/>
      <c r="B85" s="229"/>
      <c r="C85" s="229"/>
      <c r="D85" s="229"/>
      <c r="E85" s="229"/>
      <c r="F85" s="229"/>
      <c r="G85" s="229"/>
    </row>
    <row r="86" spans="1:7" x14ac:dyDescent="0.25">
      <c r="A86" s="230"/>
      <c r="B86" s="229"/>
      <c r="C86" s="229"/>
      <c r="D86" s="229"/>
      <c r="E86" s="229"/>
      <c r="F86" s="229"/>
      <c r="G86" s="229"/>
    </row>
    <row r="87" spans="1:7" x14ac:dyDescent="0.25">
      <c r="A87" s="230"/>
      <c r="B87" s="229"/>
      <c r="C87" s="229"/>
      <c r="D87" s="229"/>
      <c r="E87" s="229"/>
      <c r="F87" s="229"/>
      <c r="G87" s="229"/>
    </row>
    <row r="88" spans="1:7" ht="16.5" x14ac:dyDescent="0.25">
      <c r="A88" s="1"/>
      <c r="B88" s="1"/>
      <c r="C88" s="1"/>
      <c r="D88" s="1"/>
      <c r="E88" s="1"/>
      <c r="F88" s="1"/>
      <c r="G88" s="1"/>
    </row>
    <row r="89" spans="1:7" ht="16.5" x14ac:dyDescent="0.25">
      <c r="A89" s="1"/>
      <c r="B89" s="1"/>
      <c r="C89" s="1"/>
      <c r="D89" s="1"/>
      <c r="E89" s="1"/>
      <c r="F89" s="1"/>
      <c r="G89" s="1"/>
    </row>
    <row r="90" spans="1:7" ht="16.5" x14ac:dyDescent="0.25">
      <c r="A90" s="1"/>
      <c r="B90" s="1"/>
      <c r="C90" s="1"/>
      <c r="D90" s="1"/>
      <c r="E90" s="1"/>
      <c r="F90" s="1"/>
      <c r="G90" s="1"/>
    </row>
    <row r="91" spans="1:7" ht="16.5" x14ac:dyDescent="0.25">
      <c r="A91" s="1"/>
      <c r="B91" s="1"/>
      <c r="C91" s="1"/>
      <c r="D91" s="1"/>
      <c r="E91" s="1"/>
      <c r="F91" s="1"/>
      <c r="G91" s="1"/>
    </row>
  </sheetData>
  <sheetProtection sheet="1" scenarios="1" formatColumns="0" formatRows="0"/>
  <mergeCells count="7">
    <mergeCell ref="A7:A8"/>
    <mergeCell ref="A1:G1"/>
    <mergeCell ref="A2:G2"/>
    <mergeCell ref="A3:G3"/>
    <mergeCell ref="A4:G4"/>
    <mergeCell ref="A5:G5"/>
    <mergeCell ref="A6:E6"/>
  </mergeCells>
  <pageMargins left="0.70866141732283472" right="0.70866141732283472" top="0.74803149606299213" bottom="0.74803149606299213" header="0.31496062992125984" footer="0.31496062992125984"/>
  <pageSetup scale="67" orientation="portrait" horizontalDpi="1200" verticalDpi="1200" r:id="rId1"/>
  <rowBreaks count="1" manualBreakCount="1"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144D-D3DE-4A5D-8CA6-5EFE73BBBB3A}">
  <sheetPr>
    <tabColor theme="0" tint="-0.249977111117893"/>
  </sheetPr>
  <dimension ref="A1:I160"/>
  <sheetViews>
    <sheetView view="pageBreakPreview" topLeftCell="A73" zoomScaleNormal="100" zoomScaleSheetLayoutView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38.85546875" customWidth="1"/>
    <col min="3" max="3" width="14.28515625" customWidth="1"/>
    <col min="4" max="4" width="12.5703125" customWidth="1"/>
    <col min="5" max="6" width="13.5703125" customWidth="1"/>
    <col min="7" max="7" width="13" customWidth="1"/>
    <col min="8" max="8" width="12.7109375" customWidth="1"/>
  </cols>
  <sheetData>
    <row r="1" spans="1:8" ht="15.75" x14ac:dyDescent="0.25">
      <c r="A1" s="302" t="s">
        <v>42</v>
      </c>
      <c r="B1" s="301"/>
      <c r="C1" s="301"/>
      <c r="D1" s="301"/>
      <c r="E1" s="301"/>
      <c r="F1" s="301"/>
      <c r="G1" s="301"/>
      <c r="H1" s="300"/>
    </row>
    <row r="2" spans="1:8" ht="15.75" x14ac:dyDescent="0.25">
      <c r="A2" s="299" t="str">
        <f>'[1]ETCA-I-01'!A3:G3</f>
        <v>Comision Estatal del Agua</v>
      </c>
      <c r="B2" s="105"/>
      <c r="C2" s="105"/>
      <c r="D2" s="105"/>
      <c r="E2" s="105"/>
      <c r="F2" s="105"/>
      <c r="G2" s="105"/>
      <c r="H2" s="298"/>
    </row>
    <row r="3" spans="1:8" x14ac:dyDescent="0.25">
      <c r="A3" s="297" t="s">
        <v>300</v>
      </c>
      <c r="B3" s="296"/>
      <c r="C3" s="296"/>
      <c r="D3" s="296"/>
      <c r="E3" s="296"/>
      <c r="F3" s="296"/>
      <c r="G3" s="296"/>
      <c r="H3" s="295"/>
    </row>
    <row r="4" spans="1:8" x14ac:dyDescent="0.25">
      <c r="A4" s="297" t="s">
        <v>299</v>
      </c>
      <c r="B4" s="296"/>
      <c r="C4" s="296"/>
      <c r="D4" s="296"/>
      <c r="E4" s="296"/>
      <c r="F4" s="296"/>
      <c r="G4" s="296"/>
      <c r="H4" s="295"/>
    </row>
    <row r="5" spans="1:8" x14ac:dyDescent="0.25">
      <c r="A5" s="297" t="str">
        <f>'ETCA-II-02'!A4:I4</f>
        <v>Del 01 de Enero al 31 de Marzo de 2019</v>
      </c>
      <c r="B5" s="296"/>
      <c r="C5" s="296"/>
      <c r="D5" s="296"/>
      <c r="E5" s="296"/>
      <c r="F5" s="296"/>
      <c r="G5" s="296"/>
      <c r="H5" s="295"/>
    </row>
    <row r="6" spans="1:8" ht="15.75" thickBot="1" x14ac:dyDescent="0.3">
      <c r="A6" s="286" t="s">
        <v>40</v>
      </c>
      <c r="B6" s="294"/>
      <c r="C6" s="294"/>
      <c r="D6" s="294"/>
      <c r="E6" s="294"/>
      <c r="F6" s="294"/>
      <c r="G6" s="294"/>
      <c r="H6" s="293"/>
    </row>
    <row r="7" spans="1:8" ht="15.75" thickBot="1" x14ac:dyDescent="0.3">
      <c r="A7" s="292" t="s">
        <v>298</v>
      </c>
      <c r="B7" s="291"/>
      <c r="C7" s="290" t="s">
        <v>297</v>
      </c>
      <c r="D7" s="289"/>
      <c r="E7" s="289"/>
      <c r="F7" s="289"/>
      <c r="G7" s="288"/>
      <c r="H7" s="287" t="s">
        <v>296</v>
      </c>
    </row>
    <row r="8" spans="1:8" ht="18.75" thickBot="1" x14ac:dyDescent="0.3">
      <c r="A8" s="286"/>
      <c r="B8" s="285"/>
      <c r="C8" s="283" t="s">
        <v>295</v>
      </c>
      <c r="D8" s="284" t="s">
        <v>294</v>
      </c>
      <c r="E8" s="283" t="s">
        <v>293</v>
      </c>
      <c r="F8" s="283" t="s">
        <v>110</v>
      </c>
      <c r="G8" s="283" t="s">
        <v>292</v>
      </c>
      <c r="H8" s="282"/>
    </row>
    <row r="9" spans="1:8" x14ac:dyDescent="0.25">
      <c r="A9" s="281"/>
      <c r="B9" s="279"/>
      <c r="C9" s="279"/>
      <c r="D9" s="280"/>
      <c r="E9" s="279"/>
      <c r="F9" s="279"/>
      <c r="G9" s="279"/>
      <c r="H9" s="278"/>
    </row>
    <row r="10" spans="1:8" x14ac:dyDescent="0.25">
      <c r="A10" s="277" t="s">
        <v>291</v>
      </c>
      <c r="B10" s="276"/>
      <c r="C10" s="275">
        <f>+C11+C19+C29+C39+C49+C59+C63+C72+C76</f>
        <v>557263231.94000006</v>
      </c>
      <c r="D10" s="275">
        <f>+D11+D19+D29+D39+D49+D59+D63+D72+D76</f>
        <v>75551090.030000001</v>
      </c>
      <c r="E10" s="275">
        <f>+E11+E19+E29+E39+E49+E59+E63+E72+E76</f>
        <v>632814321.97000003</v>
      </c>
      <c r="F10" s="275">
        <f>+F11+F19+F29+F39+F49+F59+F63+F72+F76</f>
        <v>155474969.88999999</v>
      </c>
      <c r="G10" s="275">
        <f>+G11+G19+G29+G39+G49+G59+G63+G72+G76</f>
        <v>137282655.09</v>
      </c>
      <c r="H10" s="275">
        <f>+H11+H19+H29+H39+H49+H59+H63+H72+H76</f>
        <v>477339352.08000004</v>
      </c>
    </row>
    <row r="11" spans="1:8" x14ac:dyDescent="0.25">
      <c r="A11" s="268" t="s">
        <v>289</v>
      </c>
      <c r="B11" s="267"/>
      <c r="C11" s="263">
        <f>SUM(C12:C18)</f>
        <v>205993811.70999998</v>
      </c>
      <c r="D11" s="263">
        <f>SUM(D12:D18)</f>
        <v>-604721.11000000034</v>
      </c>
      <c r="E11" s="263">
        <f>SUM(E12:E18)</f>
        <v>205389090.59999999</v>
      </c>
      <c r="F11" s="263">
        <f>SUM(F12:F18)</f>
        <v>52755960.460000001</v>
      </c>
      <c r="G11" s="263">
        <f>SUM(G12:G18)</f>
        <v>46456428.770000003</v>
      </c>
      <c r="H11" s="263">
        <f>SUM(H12:H18)</f>
        <v>152633130.13999999</v>
      </c>
    </row>
    <row r="12" spans="1:8" x14ac:dyDescent="0.25">
      <c r="A12" s="265"/>
      <c r="B12" s="264" t="s">
        <v>288</v>
      </c>
      <c r="C12" s="266">
        <v>116272081.35999997</v>
      </c>
      <c r="D12" s="266">
        <v>-604721.11000000034</v>
      </c>
      <c r="E12" s="263">
        <f>C12+D12</f>
        <v>115667360.24999997</v>
      </c>
      <c r="F12" s="266">
        <v>28230754.18</v>
      </c>
      <c r="G12" s="266">
        <v>24436362.960000001</v>
      </c>
      <c r="H12" s="262">
        <f>+E12-F12</f>
        <v>87436606.069999963</v>
      </c>
    </row>
    <row r="13" spans="1:8" x14ac:dyDescent="0.25">
      <c r="A13" s="265"/>
      <c r="B13" s="264" t="s">
        <v>287</v>
      </c>
      <c r="C13" s="266">
        <v>2501479.84</v>
      </c>
      <c r="D13" s="266">
        <v>-693905.25</v>
      </c>
      <c r="E13" s="263">
        <f>C13+D13</f>
        <v>1807574.5899999999</v>
      </c>
      <c r="F13" s="266">
        <v>353985.30000000005</v>
      </c>
      <c r="G13" s="266">
        <v>353985.30000000005</v>
      </c>
      <c r="H13" s="262">
        <f>+E13-F13</f>
        <v>1453589.2899999998</v>
      </c>
    </row>
    <row r="14" spans="1:8" x14ac:dyDescent="0.25">
      <c r="A14" s="265"/>
      <c r="B14" s="264" t="s">
        <v>286</v>
      </c>
      <c r="C14" s="266">
        <v>10186764.629999999</v>
      </c>
      <c r="D14" s="266">
        <v>748905.25</v>
      </c>
      <c r="E14" s="263">
        <f>C14+D14</f>
        <v>10935669.879999999</v>
      </c>
      <c r="F14" s="266">
        <v>2398191.66</v>
      </c>
      <c r="G14" s="266">
        <v>2177751.2200000002</v>
      </c>
      <c r="H14" s="262">
        <f>+E14-F14</f>
        <v>8537478.2199999988</v>
      </c>
    </row>
    <row r="15" spans="1:8" x14ac:dyDescent="0.25">
      <c r="A15" s="265"/>
      <c r="B15" s="264" t="s">
        <v>285</v>
      </c>
      <c r="C15" s="266">
        <v>39996929.230000004</v>
      </c>
      <c r="D15" s="266">
        <v>43400</v>
      </c>
      <c r="E15" s="263">
        <f>C15+D15</f>
        <v>40040329.230000004</v>
      </c>
      <c r="F15" s="266">
        <v>11237247.85</v>
      </c>
      <c r="G15" s="266">
        <v>9881112.1999999993</v>
      </c>
      <c r="H15" s="262">
        <f>+E15-F15</f>
        <v>28803081.380000003</v>
      </c>
    </row>
    <row r="16" spans="1:8" x14ac:dyDescent="0.25">
      <c r="A16" s="265"/>
      <c r="B16" s="264" t="s">
        <v>284</v>
      </c>
      <c r="C16" s="266">
        <v>36222358.650000006</v>
      </c>
      <c r="D16" s="266">
        <v>-98400</v>
      </c>
      <c r="E16" s="263">
        <f>C16+D16</f>
        <v>36123958.650000006</v>
      </c>
      <c r="F16" s="266">
        <v>10366015.149999999</v>
      </c>
      <c r="G16" s="266">
        <v>9437450.7699999996</v>
      </c>
      <c r="H16" s="262">
        <f>+E16-F16</f>
        <v>25757943.500000007</v>
      </c>
    </row>
    <row r="17" spans="1:8" x14ac:dyDescent="0.25">
      <c r="A17" s="265"/>
      <c r="B17" s="264" t="s">
        <v>283</v>
      </c>
      <c r="C17" s="266">
        <v>0</v>
      </c>
      <c r="D17" s="266">
        <v>0</v>
      </c>
      <c r="E17" s="263">
        <f>C17+D17</f>
        <v>0</v>
      </c>
      <c r="F17" s="266">
        <v>0</v>
      </c>
      <c r="G17" s="266">
        <v>0</v>
      </c>
      <c r="H17" s="262">
        <f>+E17-F17</f>
        <v>0</v>
      </c>
    </row>
    <row r="18" spans="1:8" x14ac:dyDescent="0.25">
      <c r="A18" s="265"/>
      <c r="B18" s="264" t="s">
        <v>282</v>
      </c>
      <c r="C18" s="266">
        <v>814198</v>
      </c>
      <c r="D18" s="266">
        <v>0</v>
      </c>
      <c r="E18" s="263">
        <f>C18+D18</f>
        <v>814198</v>
      </c>
      <c r="F18" s="266">
        <v>169766.32</v>
      </c>
      <c r="G18" s="266">
        <v>169766.32</v>
      </c>
      <c r="H18" s="262">
        <f>+E18-F18</f>
        <v>644431.67999999993</v>
      </c>
    </row>
    <row r="19" spans="1:8" x14ac:dyDescent="0.25">
      <c r="A19" s="268" t="s">
        <v>281</v>
      </c>
      <c r="B19" s="267"/>
      <c r="C19" s="263">
        <f>SUM(C20:C28)</f>
        <v>29616487.420000006</v>
      </c>
      <c r="D19" s="263">
        <f>SUM(D20:D28)</f>
        <v>-2095.8300000000017</v>
      </c>
      <c r="E19" s="263">
        <f>SUM(E20:E28)</f>
        <v>29614391.590000004</v>
      </c>
      <c r="F19" s="263">
        <f>SUM(F20:F28)</f>
        <v>4805363.9399999995</v>
      </c>
      <c r="G19" s="263">
        <f>SUM(G20:G28)</f>
        <v>4112425.2699999996</v>
      </c>
      <c r="H19" s="263">
        <f>SUM(H20:H28)</f>
        <v>24809027.649999999</v>
      </c>
    </row>
    <row r="20" spans="1:8" x14ac:dyDescent="0.25">
      <c r="A20" s="265"/>
      <c r="B20" s="264" t="s">
        <v>280</v>
      </c>
      <c r="C20" s="266">
        <v>2140406.7799999998</v>
      </c>
      <c r="D20" s="266">
        <v>59999.17</v>
      </c>
      <c r="E20" s="263">
        <f>C20+D20</f>
        <v>2200405.9499999997</v>
      </c>
      <c r="F20" s="266">
        <v>290000.84000000003</v>
      </c>
      <c r="G20" s="266">
        <v>280480.49</v>
      </c>
      <c r="H20" s="262">
        <f>+E20-F20</f>
        <v>1910405.1099999996</v>
      </c>
    </row>
    <row r="21" spans="1:8" x14ac:dyDescent="0.25">
      <c r="A21" s="265"/>
      <c r="B21" s="264" t="s">
        <v>279</v>
      </c>
      <c r="C21" s="266">
        <v>481582</v>
      </c>
      <c r="D21" s="266">
        <v>0</v>
      </c>
      <c r="E21" s="263">
        <f>C21+D21</f>
        <v>481582</v>
      </c>
      <c r="F21" s="266">
        <v>117915.12</v>
      </c>
      <c r="G21" s="266">
        <v>99322.63</v>
      </c>
      <c r="H21" s="262">
        <f>+E21-F21</f>
        <v>363666.88</v>
      </c>
    </row>
    <row r="22" spans="1:8" x14ac:dyDescent="0.25">
      <c r="A22" s="265"/>
      <c r="B22" s="264" t="s">
        <v>278</v>
      </c>
      <c r="C22" s="266">
        <v>6160974.3700000001</v>
      </c>
      <c r="D22" s="266">
        <v>0</v>
      </c>
      <c r="E22" s="263">
        <f>C22+D22</f>
        <v>6160974.3700000001</v>
      </c>
      <c r="F22" s="266">
        <v>567609.59999999998</v>
      </c>
      <c r="G22" s="266">
        <v>595905.68999999994</v>
      </c>
      <c r="H22" s="262">
        <f>+E22-F22</f>
        <v>5593364.7700000005</v>
      </c>
    </row>
    <row r="23" spans="1:8" x14ac:dyDescent="0.25">
      <c r="A23" s="265"/>
      <c r="B23" s="264" t="s">
        <v>277</v>
      </c>
      <c r="C23" s="266">
        <v>667519</v>
      </c>
      <c r="D23" s="266">
        <v>0</v>
      </c>
      <c r="E23" s="263">
        <f>C23+D23</f>
        <v>667519</v>
      </c>
      <c r="F23" s="266">
        <v>116706.32</v>
      </c>
      <c r="G23" s="266">
        <v>116706.32</v>
      </c>
      <c r="H23" s="262">
        <f>+E23-F23</f>
        <v>550812.67999999993</v>
      </c>
    </row>
    <row r="24" spans="1:8" x14ac:dyDescent="0.25">
      <c r="A24" s="265"/>
      <c r="B24" s="264" t="s">
        <v>276</v>
      </c>
      <c r="C24" s="266">
        <v>7650860.7300000004</v>
      </c>
      <c r="D24" s="266">
        <v>25000</v>
      </c>
      <c r="E24" s="263">
        <f>C24+D24</f>
        <v>7675860.7300000004</v>
      </c>
      <c r="F24" s="266">
        <v>350973.97</v>
      </c>
      <c r="G24" s="266">
        <v>362385.05</v>
      </c>
      <c r="H24" s="262">
        <f>+E24-F24</f>
        <v>7324886.7600000007</v>
      </c>
    </row>
    <row r="25" spans="1:8" x14ac:dyDescent="0.25">
      <c r="A25" s="265"/>
      <c r="B25" s="264" t="s">
        <v>275</v>
      </c>
      <c r="C25" s="266">
        <v>8047205.2999999998</v>
      </c>
      <c r="D25" s="266">
        <v>-8800</v>
      </c>
      <c r="E25" s="263">
        <f>C25+D25</f>
        <v>8038405.2999999998</v>
      </c>
      <c r="F25" s="266">
        <v>2657678.59</v>
      </c>
      <c r="G25" s="266">
        <v>2047560.67</v>
      </c>
      <c r="H25" s="262">
        <f>+E25-F25</f>
        <v>5380726.71</v>
      </c>
    </row>
    <row r="26" spans="1:8" x14ac:dyDescent="0.25">
      <c r="A26" s="265"/>
      <c r="B26" s="264" t="s">
        <v>274</v>
      </c>
      <c r="C26" s="266">
        <v>2071526.8</v>
      </c>
      <c r="D26" s="266">
        <v>0</v>
      </c>
      <c r="E26" s="263">
        <f>C26+D26</f>
        <v>2071526.8</v>
      </c>
      <c r="F26" s="266">
        <v>25063.33</v>
      </c>
      <c r="G26" s="266">
        <v>20155.32</v>
      </c>
      <c r="H26" s="262">
        <f>+E26-F26</f>
        <v>2046463.47</v>
      </c>
    </row>
    <row r="27" spans="1:8" x14ac:dyDescent="0.25">
      <c r="A27" s="265"/>
      <c r="B27" s="264" t="s">
        <v>273</v>
      </c>
      <c r="C27" s="266">
        <v>0</v>
      </c>
      <c r="D27" s="266">
        <v>0</v>
      </c>
      <c r="E27" s="263">
        <f>C27+D27</f>
        <v>0</v>
      </c>
      <c r="F27" s="266">
        <v>0</v>
      </c>
      <c r="G27" s="266"/>
      <c r="H27" s="262">
        <f>+E27-F27</f>
        <v>0</v>
      </c>
    </row>
    <row r="28" spans="1:8" x14ac:dyDescent="0.25">
      <c r="A28" s="265"/>
      <c r="B28" s="264" t="s">
        <v>272</v>
      </c>
      <c r="C28" s="266">
        <v>2396412.44</v>
      </c>
      <c r="D28" s="266">
        <v>-78295</v>
      </c>
      <c r="E28" s="263">
        <f>C28+D28</f>
        <v>2318117.44</v>
      </c>
      <c r="F28" s="266">
        <v>679416.16999999993</v>
      </c>
      <c r="G28" s="266">
        <v>589909.1</v>
      </c>
      <c r="H28" s="262">
        <f>+E28-F28</f>
        <v>1638701.27</v>
      </c>
    </row>
    <row r="29" spans="1:8" x14ac:dyDescent="0.25">
      <c r="A29" s="268" t="s">
        <v>271</v>
      </c>
      <c r="B29" s="267"/>
      <c r="C29" s="263">
        <f>SUM(C30:C38)</f>
        <v>144642119.81999999</v>
      </c>
      <c r="D29" s="263">
        <f>SUM(D30:D38)</f>
        <v>30103092.609999999</v>
      </c>
      <c r="E29" s="263">
        <f>SUM(E30:E38)</f>
        <v>174745212.43000001</v>
      </c>
      <c r="F29" s="263">
        <f>SUM(F30:F38)</f>
        <v>45185609.169999994</v>
      </c>
      <c r="G29" s="263">
        <f>SUM(G30:G38)</f>
        <v>34940961.590000004</v>
      </c>
      <c r="H29" s="263">
        <f>SUM(H30:H38)</f>
        <v>129559603.26000002</v>
      </c>
    </row>
    <row r="30" spans="1:8" s="274" customFormat="1" x14ac:dyDescent="0.25">
      <c r="A30" s="265"/>
      <c r="B30" s="264" t="s">
        <v>270</v>
      </c>
      <c r="C30" s="266">
        <v>84741042.400000006</v>
      </c>
      <c r="D30" s="266"/>
      <c r="E30" s="263">
        <f>C30+D30</f>
        <v>84741042.400000006</v>
      </c>
      <c r="F30" s="266">
        <v>25732230.439999998</v>
      </c>
      <c r="G30" s="266">
        <v>22604736.370000001</v>
      </c>
      <c r="H30" s="262">
        <f>+E30-F30</f>
        <v>59008811.960000008</v>
      </c>
    </row>
    <row r="31" spans="1:8" x14ac:dyDescent="0.25">
      <c r="A31" s="265"/>
      <c r="B31" s="264" t="s">
        <v>269</v>
      </c>
      <c r="C31" s="266">
        <v>5447594.5</v>
      </c>
      <c r="D31" s="266">
        <v>2700</v>
      </c>
      <c r="E31" s="263">
        <f>C31+D31</f>
        <v>5450294.5</v>
      </c>
      <c r="F31" s="266">
        <v>1278452.0200000003</v>
      </c>
      <c r="G31" s="266">
        <v>952432.38</v>
      </c>
      <c r="H31" s="262">
        <f>+E31-F31</f>
        <v>4171842.4799999995</v>
      </c>
    </row>
    <row r="32" spans="1:8" x14ac:dyDescent="0.25">
      <c r="A32" s="265"/>
      <c r="B32" s="264" t="s">
        <v>268</v>
      </c>
      <c r="C32" s="266">
        <v>14547135.59</v>
      </c>
      <c r="D32" s="266">
        <v>301900</v>
      </c>
      <c r="E32" s="263">
        <f>C32+D32</f>
        <v>14849035.59</v>
      </c>
      <c r="F32" s="266">
        <v>8139923.6900000004</v>
      </c>
      <c r="G32" s="266">
        <v>6550981.2000000002</v>
      </c>
      <c r="H32" s="262">
        <f>+E32-F32</f>
        <v>6709111.8999999994</v>
      </c>
    </row>
    <row r="33" spans="1:8" x14ac:dyDescent="0.25">
      <c r="A33" s="265"/>
      <c r="B33" s="264" t="s">
        <v>267</v>
      </c>
      <c r="C33" s="266">
        <v>20606315.139999997</v>
      </c>
      <c r="D33" s="266">
        <v>0</v>
      </c>
      <c r="E33" s="263">
        <f>C33+D33</f>
        <v>20606315.139999997</v>
      </c>
      <c r="F33" s="266">
        <v>4003689.51</v>
      </c>
      <c r="G33" s="266">
        <v>3059552.17</v>
      </c>
      <c r="H33" s="262">
        <f>+E33-F33</f>
        <v>16602625.629999997</v>
      </c>
    </row>
    <row r="34" spans="1:8" x14ac:dyDescent="0.25">
      <c r="A34" s="265"/>
      <c r="B34" s="264" t="s">
        <v>266</v>
      </c>
      <c r="C34" s="266">
        <v>8138504.7400000002</v>
      </c>
      <c r="D34" s="266">
        <v>800717.61</v>
      </c>
      <c r="E34" s="263">
        <f>C34+D34</f>
        <v>8939222.3499999996</v>
      </c>
      <c r="F34" s="266">
        <v>1412007.8699999999</v>
      </c>
      <c r="G34" s="266">
        <v>853996.89</v>
      </c>
      <c r="H34" s="262">
        <f>+E34-F34</f>
        <v>7527214.4799999995</v>
      </c>
    </row>
    <row r="35" spans="1:8" x14ac:dyDescent="0.25">
      <c r="A35" s="265"/>
      <c r="B35" s="264" t="s">
        <v>265</v>
      </c>
      <c r="C35" s="266">
        <v>1067467.54</v>
      </c>
      <c r="D35" s="266">
        <v>29000</v>
      </c>
      <c r="E35" s="263">
        <f>C35+D35</f>
        <v>1096467.54</v>
      </c>
      <c r="F35" s="266">
        <v>100150</v>
      </c>
      <c r="G35" s="266">
        <v>75790</v>
      </c>
      <c r="H35" s="262">
        <f>+E35-F35</f>
        <v>996317.54</v>
      </c>
    </row>
    <row r="36" spans="1:8" x14ac:dyDescent="0.25">
      <c r="A36" s="265"/>
      <c r="B36" s="264" t="s">
        <v>264</v>
      </c>
      <c r="C36" s="266">
        <v>2980396.39</v>
      </c>
      <c r="D36" s="266">
        <v>0</v>
      </c>
      <c r="E36" s="263">
        <f>C36+D36</f>
        <v>2980396.39</v>
      </c>
      <c r="F36" s="266">
        <v>535169.13</v>
      </c>
      <c r="G36" s="266">
        <v>428114.13</v>
      </c>
      <c r="H36" s="262">
        <f>+E36-F36</f>
        <v>2445227.2600000002</v>
      </c>
    </row>
    <row r="37" spans="1:8" x14ac:dyDescent="0.25">
      <c r="A37" s="265"/>
      <c r="B37" s="264" t="s">
        <v>263</v>
      </c>
      <c r="C37" s="266">
        <v>83139</v>
      </c>
      <c r="D37" s="266">
        <v>0</v>
      </c>
      <c r="E37" s="263">
        <f>C37+D37</f>
        <v>83139</v>
      </c>
      <c r="F37" s="266">
        <v>2186</v>
      </c>
      <c r="G37" s="266">
        <v>2186</v>
      </c>
      <c r="H37" s="262">
        <f>+E37-F37</f>
        <v>80953</v>
      </c>
    </row>
    <row r="38" spans="1:8" ht="15.75" thickBot="1" x14ac:dyDescent="0.3">
      <c r="A38" s="273"/>
      <c r="B38" s="272" t="s">
        <v>262</v>
      </c>
      <c r="C38" s="270">
        <v>7030524.5200000005</v>
      </c>
      <c r="D38" s="270">
        <v>28968775</v>
      </c>
      <c r="E38" s="271">
        <f>C38+D38</f>
        <v>35999299.520000003</v>
      </c>
      <c r="F38" s="270">
        <v>3981800.5100000002</v>
      </c>
      <c r="G38" s="270">
        <v>413172.45</v>
      </c>
      <c r="H38" s="269">
        <f>+E38-F38</f>
        <v>32017499.010000002</v>
      </c>
    </row>
    <row r="39" spans="1:8" x14ac:dyDescent="0.25">
      <c r="A39" s="268" t="s">
        <v>261</v>
      </c>
      <c r="B39" s="267"/>
      <c r="C39" s="263">
        <f>SUM(C40:C48)</f>
        <v>0</v>
      </c>
      <c r="D39" s="263">
        <f>SUM(D40:D48)</f>
        <v>18547015.920000002</v>
      </c>
      <c r="E39" s="263">
        <f>SUM(E40:E48)</f>
        <v>18547015.920000002</v>
      </c>
      <c r="F39" s="263">
        <f>SUM(F40:F48)</f>
        <v>18459828</v>
      </c>
      <c r="G39" s="263">
        <f>SUM(G40:G48)</f>
        <v>18459828</v>
      </c>
      <c r="H39" s="263">
        <f>SUM(H40:H48)</f>
        <v>87187.920000001788</v>
      </c>
    </row>
    <row r="40" spans="1:8" x14ac:dyDescent="0.25">
      <c r="A40" s="265"/>
      <c r="B40" s="264" t="s">
        <v>260</v>
      </c>
      <c r="C40" s="266"/>
      <c r="D40" s="266"/>
      <c r="E40" s="263">
        <f>C40+D40</f>
        <v>0</v>
      </c>
      <c r="F40" s="266"/>
      <c r="G40" s="266"/>
      <c r="H40" s="262">
        <f>+E40-F40</f>
        <v>0</v>
      </c>
    </row>
    <row r="41" spans="1:8" x14ac:dyDescent="0.25">
      <c r="A41" s="265"/>
      <c r="B41" s="264" t="s">
        <v>259</v>
      </c>
      <c r="C41" s="266">
        <v>0</v>
      </c>
      <c r="D41" s="266">
        <v>18547015.920000002</v>
      </c>
      <c r="E41" s="263">
        <f>C41+D41</f>
        <v>18547015.920000002</v>
      </c>
      <c r="F41" s="266">
        <v>18459828</v>
      </c>
      <c r="G41" s="266">
        <v>18459828</v>
      </c>
      <c r="H41" s="262">
        <f>+E41-F41</f>
        <v>87187.920000001788</v>
      </c>
    </row>
    <row r="42" spans="1:8" x14ac:dyDescent="0.25">
      <c r="A42" s="265"/>
      <c r="B42" s="264" t="s">
        <v>258</v>
      </c>
      <c r="C42" s="266"/>
      <c r="D42" s="266"/>
      <c r="E42" s="263">
        <f>C42+D42</f>
        <v>0</v>
      </c>
      <c r="F42" s="266"/>
      <c r="G42" s="266"/>
      <c r="H42" s="262">
        <f>+E42-F42</f>
        <v>0</v>
      </c>
    </row>
    <row r="43" spans="1:8" x14ac:dyDescent="0.25">
      <c r="A43" s="265"/>
      <c r="B43" s="264" t="s">
        <v>257</v>
      </c>
      <c r="C43" s="266"/>
      <c r="D43" s="266"/>
      <c r="E43" s="263">
        <f>C43+D43</f>
        <v>0</v>
      </c>
      <c r="F43" s="266"/>
      <c r="G43" s="266"/>
      <c r="H43" s="262">
        <f>+E43-F43</f>
        <v>0</v>
      </c>
    </row>
    <row r="44" spans="1:8" x14ac:dyDescent="0.25">
      <c r="A44" s="265"/>
      <c r="B44" s="264" t="s">
        <v>256</v>
      </c>
      <c r="C44" s="266"/>
      <c r="D44" s="266"/>
      <c r="E44" s="263">
        <f>C44+D44</f>
        <v>0</v>
      </c>
      <c r="F44" s="266"/>
      <c r="G44" s="266"/>
      <c r="H44" s="262">
        <f>+E44-F44</f>
        <v>0</v>
      </c>
    </row>
    <row r="45" spans="1:8" x14ac:dyDescent="0.25">
      <c r="A45" s="265"/>
      <c r="B45" s="264" t="s">
        <v>255</v>
      </c>
      <c r="C45" s="266"/>
      <c r="D45" s="266"/>
      <c r="E45" s="263">
        <f>C45+D45</f>
        <v>0</v>
      </c>
      <c r="F45" s="266"/>
      <c r="G45" s="266"/>
      <c r="H45" s="262">
        <f>+E45-F45</f>
        <v>0</v>
      </c>
    </row>
    <row r="46" spans="1:8" x14ac:dyDescent="0.25">
      <c r="A46" s="265"/>
      <c r="B46" s="264" t="s">
        <v>254</v>
      </c>
      <c r="C46" s="266"/>
      <c r="D46" s="266"/>
      <c r="E46" s="263">
        <f>C46+D46</f>
        <v>0</v>
      </c>
      <c r="F46" s="266"/>
      <c r="G46" s="266"/>
      <c r="H46" s="262">
        <f>+E46-F46</f>
        <v>0</v>
      </c>
    </row>
    <row r="47" spans="1:8" x14ac:dyDescent="0.25">
      <c r="A47" s="265"/>
      <c r="B47" s="264" t="s">
        <v>253</v>
      </c>
      <c r="C47" s="266"/>
      <c r="D47" s="266"/>
      <c r="E47" s="263">
        <f>C47+D47</f>
        <v>0</v>
      </c>
      <c r="F47" s="266"/>
      <c r="G47" s="266"/>
      <c r="H47" s="262">
        <f>+E47-F47</f>
        <v>0</v>
      </c>
    </row>
    <row r="48" spans="1:8" x14ac:dyDescent="0.25">
      <c r="A48" s="265"/>
      <c r="B48" s="264" t="s">
        <v>252</v>
      </c>
      <c r="C48" s="266"/>
      <c r="D48" s="266"/>
      <c r="E48" s="263">
        <f>C48+D48</f>
        <v>0</v>
      </c>
      <c r="F48" s="266"/>
      <c r="G48" s="266"/>
      <c r="H48" s="262">
        <f>+E48-F48</f>
        <v>0</v>
      </c>
    </row>
    <row r="49" spans="1:8" x14ac:dyDescent="0.25">
      <c r="A49" s="268" t="s">
        <v>251</v>
      </c>
      <c r="B49" s="267"/>
      <c r="C49" s="263">
        <f>SUM(C50:C58)</f>
        <v>5311212</v>
      </c>
      <c r="D49" s="263">
        <f>SUM(D50:D58)</f>
        <v>3600</v>
      </c>
      <c r="E49" s="263">
        <f>SUM(E50:E58)</f>
        <v>5314812</v>
      </c>
      <c r="F49" s="263">
        <f>SUM(F50:F58)</f>
        <v>37908.800000000003</v>
      </c>
      <c r="G49" s="263">
        <f>SUM(G50:G58)</f>
        <v>37908.800000000003</v>
      </c>
      <c r="H49" s="263">
        <f>SUM(H50:H58)</f>
        <v>5276903.2</v>
      </c>
    </row>
    <row r="50" spans="1:8" x14ac:dyDescent="0.25">
      <c r="A50" s="265"/>
      <c r="B50" s="264" t="s">
        <v>250</v>
      </c>
      <c r="C50" s="266">
        <v>1029997</v>
      </c>
      <c r="D50" s="266">
        <v>3600</v>
      </c>
      <c r="E50" s="263">
        <f>C50+D50</f>
        <v>1033597</v>
      </c>
      <c r="F50" s="266">
        <v>0</v>
      </c>
      <c r="G50" s="266">
        <v>0</v>
      </c>
      <c r="H50" s="262">
        <f>+E50-F50</f>
        <v>1033597</v>
      </c>
    </row>
    <row r="51" spans="1:8" x14ac:dyDescent="0.25">
      <c r="A51" s="265"/>
      <c r="B51" s="264" t="s">
        <v>249</v>
      </c>
      <c r="C51" s="266">
        <v>0</v>
      </c>
      <c r="D51" s="266"/>
      <c r="E51" s="263">
        <f>C51+D51</f>
        <v>0</v>
      </c>
      <c r="F51" s="266"/>
      <c r="G51" s="266"/>
      <c r="H51" s="262">
        <f>+E51-F51</f>
        <v>0</v>
      </c>
    </row>
    <row r="52" spans="1:8" x14ac:dyDescent="0.25">
      <c r="A52" s="265"/>
      <c r="B52" s="264" t="s">
        <v>248</v>
      </c>
      <c r="C52" s="266"/>
      <c r="D52" s="266"/>
      <c r="E52" s="263">
        <f>C52+D52</f>
        <v>0</v>
      </c>
      <c r="F52" s="266"/>
      <c r="G52" s="266"/>
      <c r="H52" s="262">
        <f>+E52-F52</f>
        <v>0</v>
      </c>
    </row>
    <row r="53" spans="1:8" x14ac:dyDescent="0.25">
      <c r="A53" s="265"/>
      <c r="B53" s="264" t="s">
        <v>247</v>
      </c>
      <c r="C53" s="266">
        <v>500000</v>
      </c>
      <c r="D53" s="266">
        <v>0</v>
      </c>
      <c r="E53" s="263">
        <f>C53+D53</f>
        <v>500000</v>
      </c>
      <c r="F53" s="266">
        <v>0</v>
      </c>
      <c r="G53" s="266">
        <v>0</v>
      </c>
      <c r="H53" s="262">
        <f>+E53-F53</f>
        <v>500000</v>
      </c>
    </row>
    <row r="54" spans="1:8" x14ac:dyDescent="0.25">
      <c r="A54" s="265"/>
      <c r="B54" s="264" t="s">
        <v>246</v>
      </c>
      <c r="C54" s="266"/>
      <c r="D54" s="266"/>
      <c r="E54" s="263">
        <f>C54+D54</f>
        <v>0</v>
      </c>
      <c r="F54" s="266"/>
      <c r="G54" s="266"/>
      <c r="H54" s="262">
        <f>+E54-F54</f>
        <v>0</v>
      </c>
    </row>
    <row r="55" spans="1:8" x14ac:dyDescent="0.25">
      <c r="A55" s="265"/>
      <c r="B55" s="264" t="s">
        <v>245</v>
      </c>
      <c r="C55" s="266">
        <v>3781215</v>
      </c>
      <c r="D55" s="266">
        <v>0</v>
      </c>
      <c r="E55" s="263">
        <f>C55+D55</f>
        <v>3781215</v>
      </c>
      <c r="F55" s="266">
        <v>37908.800000000003</v>
      </c>
      <c r="G55" s="266">
        <v>37908.800000000003</v>
      </c>
      <c r="H55" s="262">
        <f>+E55-F55</f>
        <v>3743306.2</v>
      </c>
    </row>
    <row r="56" spans="1:8" x14ac:dyDescent="0.25">
      <c r="A56" s="265"/>
      <c r="B56" s="264" t="s">
        <v>244</v>
      </c>
      <c r="C56" s="266"/>
      <c r="D56" s="266"/>
      <c r="E56" s="263">
        <f>C56+D56</f>
        <v>0</v>
      </c>
      <c r="F56" s="266"/>
      <c r="G56" s="266"/>
      <c r="H56" s="262">
        <f>+E56-F56</f>
        <v>0</v>
      </c>
    </row>
    <row r="57" spans="1:8" x14ac:dyDescent="0.25">
      <c r="A57" s="265"/>
      <c r="B57" s="264" t="s">
        <v>243</v>
      </c>
      <c r="C57" s="266"/>
      <c r="D57" s="266"/>
      <c r="E57" s="263">
        <f>C57+D57</f>
        <v>0</v>
      </c>
      <c r="F57" s="266"/>
      <c r="G57" s="266"/>
      <c r="H57" s="262">
        <f>+E57-F57</f>
        <v>0</v>
      </c>
    </row>
    <row r="58" spans="1:8" x14ac:dyDescent="0.25">
      <c r="A58" s="265"/>
      <c r="B58" s="264" t="s">
        <v>242</v>
      </c>
      <c r="C58" s="266"/>
      <c r="D58" s="266"/>
      <c r="E58" s="263">
        <f>C58+D58</f>
        <v>0</v>
      </c>
      <c r="F58" s="266"/>
      <c r="G58" s="266"/>
      <c r="H58" s="262">
        <f>+E58-F58</f>
        <v>0</v>
      </c>
    </row>
    <row r="59" spans="1:8" x14ac:dyDescent="0.25">
      <c r="A59" s="268" t="s">
        <v>241</v>
      </c>
      <c r="B59" s="267"/>
      <c r="C59" s="263">
        <f>SUM(C60:C62)</f>
        <v>51600000</v>
      </c>
      <c r="D59" s="263">
        <f>SUM(D60:D62)</f>
        <v>0</v>
      </c>
      <c r="E59" s="263">
        <f>SUM(E60:E62)</f>
        <v>51600000</v>
      </c>
      <c r="F59" s="263">
        <f>SUM(F60:F62)</f>
        <v>0</v>
      </c>
      <c r="G59" s="263">
        <f>SUM(G60:G62)</f>
        <v>0</v>
      </c>
      <c r="H59" s="263">
        <f>SUM(H60:H62)</f>
        <v>51600000</v>
      </c>
    </row>
    <row r="60" spans="1:8" x14ac:dyDescent="0.25">
      <c r="A60" s="265"/>
      <c r="B60" s="264" t="s">
        <v>240</v>
      </c>
      <c r="C60" s="266">
        <v>51600000</v>
      </c>
      <c r="D60" s="266"/>
      <c r="E60" s="263">
        <f>C60+D60</f>
        <v>51600000</v>
      </c>
      <c r="F60" s="266">
        <v>0</v>
      </c>
      <c r="G60" s="266">
        <v>0</v>
      </c>
      <c r="H60" s="262">
        <f>+E60-F60</f>
        <v>51600000</v>
      </c>
    </row>
    <row r="61" spans="1:8" x14ac:dyDescent="0.25">
      <c r="A61" s="265"/>
      <c r="B61" s="264" t="s">
        <v>239</v>
      </c>
      <c r="C61" s="266"/>
      <c r="D61" s="266"/>
      <c r="E61" s="263">
        <f>C61+D61</f>
        <v>0</v>
      </c>
      <c r="F61" s="266"/>
      <c r="G61" s="266"/>
      <c r="H61" s="262">
        <f>+E61-F61</f>
        <v>0</v>
      </c>
    </row>
    <row r="62" spans="1:8" x14ac:dyDescent="0.25">
      <c r="A62" s="265"/>
      <c r="B62" s="264" t="s">
        <v>238</v>
      </c>
      <c r="C62" s="266"/>
      <c r="D62" s="266"/>
      <c r="E62" s="263">
        <f>C62+D62</f>
        <v>0</v>
      </c>
      <c r="F62" s="266"/>
      <c r="G62" s="266"/>
      <c r="H62" s="262">
        <f>+E62-F62</f>
        <v>0</v>
      </c>
    </row>
    <row r="63" spans="1:8" x14ac:dyDescent="0.25">
      <c r="A63" s="268" t="s">
        <v>237</v>
      </c>
      <c r="B63" s="267"/>
      <c r="C63" s="263">
        <f>SUM(C64:C71)</f>
        <v>68632616.799999997</v>
      </c>
      <c r="D63" s="263">
        <f>SUM(D64:D71)</f>
        <v>0</v>
      </c>
      <c r="E63" s="263">
        <f>SUM(E64:E71)</f>
        <v>68632616.799999997</v>
      </c>
      <c r="F63" s="263">
        <f>SUM(F64:F71)</f>
        <v>0</v>
      </c>
      <c r="G63" s="263">
        <f>SUM(G64:G71)</f>
        <v>0</v>
      </c>
      <c r="H63" s="263">
        <f>SUM(H64:H71)</f>
        <v>68632616.799999997</v>
      </c>
    </row>
    <row r="64" spans="1:8" x14ac:dyDescent="0.25">
      <c r="A64" s="265"/>
      <c r="B64" s="264" t="s">
        <v>236</v>
      </c>
      <c r="C64" s="266"/>
      <c r="D64" s="266"/>
      <c r="E64" s="263">
        <f>C64+D64</f>
        <v>0</v>
      </c>
      <c r="F64" s="266"/>
      <c r="G64" s="266"/>
      <c r="H64" s="262">
        <f>+E64-F64</f>
        <v>0</v>
      </c>
    </row>
    <row r="65" spans="1:8" x14ac:dyDescent="0.25">
      <c r="A65" s="265"/>
      <c r="B65" s="264" t="s">
        <v>235</v>
      </c>
      <c r="C65" s="266"/>
      <c r="D65" s="266"/>
      <c r="E65" s="263">
        <f>C65+D65</f>
        <v>0</v>
      </c>
      <c r="F65" s="266"/>
      <c r="G65" s="266"/>
      <c r="H65" s="262">
        <f>+E65-F65</f>
        <v>0</v>
      </c>
    </row>
    <row r="66" spans="1:8" x14ac:dyDescent="0.25">
      <c r="A66" s="265"/>
      <c r="B66" s="264" t="s">
        <v>234</v>
      </c>
      <c r="C66" s="266"/>
      <c r="D66" s="266"/>
      <c r="E66" s="263">
        <f>C66+D66</f>
        <v>0</v>
      </c>
      <c r="F66" s="266"/>
      <c r="G66" s="266"/>
      <c r="H66" s="262">
        <f>+E66-F66</f>
        <v>0</v>
      </c>
    </row>
    <row r="67" spans="1:8" x14ac:dyDescent="0.25">
      <c r="A67" s="265"/>
      <c r="B67" s="264" t="s">
        <v>233</v>
      </c>
      <c r="C67" s="266"/>
      <c r="D67" s="266"/>
      <c r="E67" s="263">
        <f>C67+D67</f>
        <v>0</v>
      </c>
      <c r="F67" s="266"/>
      <c r="G67" s="266"/>
      <c r="H67" s="262">
        <f>+E67-F67</f>
        <v>0</v>
      </c>
    </row>
    <row r="68" spans="1:8" x14ac:dyDescent="0.25">
      <c r="A68" s="265"/>
      <c r="B68" s="264" t="s">
        <v>232</v>
      </c>
      <c r="C68" s="266"/>
      <c r="D68" s="266"/>
      <c r="E68" s="263">
        <f>C68+D68</f>
        <v>0</v>
      </c>
      <c r="F68" s="266"/>
      <c r="G68" s="266"/>
      <c r="H68" s="262">
        <f>+E68-F68</f>
        <v>0</v>
      </c>
    </row>
    <row r="69" spans="1:8" x14ac:dyDescent="0.25">
      <c r="A69" s="265"/>
      <c r="B69" s="264" t="s">
        <v>231</v>
      </c>
      <c r="C69" s="266"/>
      <c r="D69" s="266"/>
      <c r="E69" s="263">
        <f>C69+D69</f>
        <v>0</v>
      </c>
      <c r="F69" s="266"/>
      <c r="G69" s="266"/>
      <c r="H69" s="262">
        <f>+E69-F69</f>
        <v>0</v>
      </c>
    </row>
    <row r="70" spans="1:8" x14ac:dyDescent="0.25">
      <c r="A70" s="265"/>
      <c r="B70" s="264" t="s">
        <v>230</v>
      </c>
      <c r="C70" s="266"/>
      <c r="D70" s="266"/>
      <c r="E70" s="263">
        <f>C70+D70</f>
        <v>0</v>
      </c>
      <c r="F70" s="266"/>
      <c r="G70" s="266"/>
      <c r="H70" s="262">
        <f>+E70-F70</f>
        <v>0</v>
      </c>
    </row>
    <row r="71" spans="1:8" x14ac:dyDescent="0.25">
      <c r="A71" s="265"/>
      <c r="B71" s="264" t="s">
        <v>229</v>
      </c>
      <c r="C71" s="266">
        <v>68632616.799999997</v>
      </c>
      <c r="D71" s="266">
        <v>0</v>
      </c>
      <c r="E71" s="263">
        <f>C71+D71</f>
        <v>68632616.799999997</v>
      </c>
      <c r="F71" s="266">
        <v>0</v>
      </c>
      <c r="G71" s="266">
        <v>0</v>
      </c>
      <c r="H71" s="262">
        <f>+E71-F71</f>
        <v>68632616.799999997</v>
      </c>
    </row>
    <row r="72" spans="1:8" x14ac:dyDescent="0.25">
      <c r="A72" s="268" t="s">
        <v>228</v>
      </c>
      <c r="B72" s="267"/>
      <c r="C72" s="263">
        <f>SUM(C73:C75)</f>
        <v>0</v>
      </c>
      <c r="D72" s="263">
        <f>SUM(D73:D75)</f>
        <v>0</v>
      </c>
      <c r="E72" s="263">
        <f>SUM(E73:E75)</f>
        <v>0</v>
      </c>
      <c r="F72" s="263">
        <f>SUM(F73:F75)</f>
        <v>0</v>
      </c>
      <c r="G72" s="263">
        <f>SUM(G73:G75)</f>
        <v>0</v>
      </c>
      <c r="H72" s="263">
        <f>SUM(H73:H75)</f>
        <v>0</v>
      </c>
    </row>
    <row r="73" spans="1:8" ht="15.75" thickBot="1" x14ac:dyDescent="0.3">
      <c r="A73" s="273"/>
      <c r="B73" s="272" t="s">
        <v>227</v>
      </c>
      <c r="C73" s="270"/>
      <c r="D73" s="270"/>
      <c r="E73" s="271">
        <f>C73+D73</f>
        <v>0</v>
      </c>
      <c r="F73" s="270"/>
      <c r="G73" s="270"/>
      <c r="H73" s="269">
        <f>+E73-F73</f>
        <v>0</v>
      </c>
    </row>
    <row r="74" spans="1:8" x14ac:dyDescent="0.25">
      <c r="A74" s="265"/>
      <c r="B74" s="264" t="s">
        <v>226</v>
      </c>
      <c r="C74" s="266"/>
      <c r="D74" s="266"/>
      <c r="E74" s="263">
        <f>C74+D74</f>
        <v>0</v>
      </c>
      <c r="F74" s="266"/>
      <c r="G74" s="266"/>
      <c r="H74" s="262">
        <f>+E74-F74</f>
        <v>0</v>
      </c>
    </row>
    <row r="75" spans="1:8" x14ac:dyDescent="0.25">
      <c r="A75" s="265"/>
      <c r="B75" s="264" t="s">
        <v>225</v>
      </c>
      <c r="C75" s="266"/>
      <c r="D75" s="266"/>
      <c r="E75" s="263">
        <f>C75+D75</f>
        <v>0</v>
      </c>
      <c r="F75" s="266"/>
      <c r="G75" s="266"/>
      <c r="H75" s="262">
        <f>+E75-F75</f>
        <v>0</v>
      </c>
    </row>
    <row r="76" spans="1:8" x14ac:dyDescent="0.25">
      <c r="A76" s="268" t="s">
        <v>224</v>
      </c>
      <c r="B76" s="267"/>
      <c r="C76" s="263">
        <f>SUM(C77:C83)</f>
        <v>51466984.189999998</v>
      </c>
      <c r="D76" s="263">
        <f>SUM(D77:D83)</f>
        <v>27504198.440000001</v>
      </c>
      <c r="E76" s="263">
        <f>SUM(E77:E83)</f>
        <v>78971182.629999995</v>
      </c>
      <c r="F76" s="263">
        <f>SUM(F77:F83)</f>
        <v>34230299.519999996</v>
      </c>
      <c r="G76" s="263">
        <f>SUM(G77:G83)</f>
        <v>33275102.66</v>
      </c>
      <c r="H76" s="263">
        <f>SUM(H77:H83)</f>
        <v>44740883.109999999</v>
      </c>
    </row>
    <row r="77" spans="1:8" x14ac:dyDescent="0.25">
      <c r="A77" s="265"/>
      <c r="B77" s="264" t="s">
        <v>223</v>
      </c>
      <c r="C77" s="266">
        <v>14619259.189999999</v>
      </c>
      <c r="D77" s="266">
        <v>4010257</v>
      </c>
      <c r="E77" s="263">
        <f>C77+D77</f>
        <v>18629516.189999998</v>
      </c>
      <c r="F77" s="266">
        <v>4010257</v>
      </c>
      <c r="G77" s="266">
        <v>4010257</v>
      </c>
      <c r="H77" s="262">
        <f>+E77-F77</f>
        <v>14619259.189999998</v>
      </c>
    </row>
    <row r="78" spans="1:8" x14ac:dyDescent="0.25">
      <c r="A78" s="265"/>
      <c r="B78" s="264" t="s">
        <v>222</v>
      </c>
      <c r="C78" s="266">
        <v>30093117</v>
      </c>
      <c r="D78" s="266">
        <v>5639507</v>
      </c>
      <c r="E78" s="263">
        <f>C78+D78</f>
        <v>35732624</v>
      </c>
      <c r="F78" s="266">
        <v>7639506.379999999</v>
      </c>
      <c r="G78" s="266">
        <v>7639506.379999999</v>
      </c>
      <c r="H78" s="262">
        <f>+E78-F78</f>
        <v>28093117.620000001</v>
      </c>
    </row>
    <row r="79" spans="1:8" x14ac:dyDescent="0.25">
      <c r="A79" s="265"/>
      <c r="B79" s="264" t="s">
        <v>221</v>
      </c>
      <c r="C79" s="266"/>
      <c r="D79" s="266"/>
      <c r="E79" s="263">
        <f>C79+D79</f>
        <v>0</v>
      </c>
      <c r="F79" s="266"/>
      <c r="G79" s="266"/>
      <c r="H79" s="262">
        <f>+E79-F79</f>
        <v>0</v>
      </c>
    </row>
    <row r="80" spans="1:8" x14ac:dyDescent="0.25">
      <c r="A80" s="265"/>
      <c r="B80" s="264" t="s">
        <v>220</v>
      </c>
      <c r="C80" s="266"/>
      <c r="D80" s="266"/>
      <c r="E80" s="263">
        <f>C80+D80</f>
        <v>0</v>
      </c>
      <c r="F80" s="266"/>
      <c r="G80" s="266"/>
      <c r="H80" s="262">
        <f>+E80-F80</f>
        <v>0</v>
      </c>
    </row>
    <row r="81" spans="1:8" x14ac:dyDescent="0.25">
      <c r="A81" s="265"/>
      <c r="B81" s="264" t="s">
        <v>219</v>
      </c>
      <c r="C81" s="266"/>
      <c r="D81" s="266"/>
      <c r="E81" s="263">
        <f>C81+D81</f>
        <v>0</v>
      </c>
      <c r="F81" s="266"/>
      <c r="G81" s="266"/>
      <c r="H81" s="262">
        <f>+E81-F81</f>
        <v>0</v>
      </c>
    </row>
    <row r="82" spans="1:8" x14ac:dyDescent="0.25">
      <c r="A82" s="265"/>
      <c r="B82" s="264" t="s">
        <v>218</v>
      </c>
      <c r="C82" s="266"/>
      <c r="D82" s="266"/>
      <c r="E82" s="263">
        <f>C82+D82</f>
        <v>0</v>
      </c>
      <c r="F82" s="266"/>
      <c r="G82" s="266"/>
      <c r="H82" s="262">
        <f>+E82-F82</f>
        <v>0</v>
      </c>
    </row>
    <row r="83" spans="1:8" x14ac:dyDescent="0.25">
      <c r="A83" s="265"/>
      <c r="B83" s="264" t="s">
        <v>217</v>
      </c>
      <c r="C83" s="266">
        <v>6754608</v>
      </c>
      <c r="D83" s="266">
        <v>17854434.440000001</v>
      </c>
      <c r="E83" s="263">
        <f>C83+D83</f>
        <v>24609042.440000001</v>
      </c>
      <c r="F83" s="266">
        <v>22580536.140000001</v>
      </c>
      <c r="G83" s="266">
        <v>21625339.280000001</v>
      </c>
      <c r="H83" s="262">
        <f>+E83-F83</f>
        <v>2028506.3000000007</v>
      </c>
    </row>
    <row r="84" spans="1:8" x14ac:dyDescent="0.25">
      <c r="A84" s="277" t="s">
        <v>290</v>
      </c>
      <c r="B84" s="276"/>
      <c r="C84" s="275">
        <f>+C85+C93+C103+C113+C123+C133+C137+C146+C150</f>
        <v>66300000</v>
      </c>
      <c r="D84" s="275">
        <f>+D85+D93+D103+D113+D123+D133+D137+D146+D150</f>
        <v>22525531.989999998</v>
      </c>
      <c r="E84" s="275">
        <f>+E85+E93+E103+E113+E123+E133+E137+E146+E150</f>
        <v>88825531.989999995</v>
      </c>
      <c r="F84" s="275">
        <f>+F85+F93+F103+F113+F123+F133+F137+F146+F150</f>
        <v>0</v>
      </c>
      <c r="G84" s="275">
        <f>+G85+G93+G103+G113+G123+G133+G137+G146+G150</f>
        <v>0</v>
      </c>
      <c r="H84" s="275">
        <f>+H85+H93+H103+H113+H123+H133+H137+H146+H150</f>
        <v>88825531.989999995</v>
      </c>
    </row>
    <row r="85" spans="1:8" x14ac:dyDescent="0.25">
      <c r="A85" s="268" t="s">
        <v>289</v>
      </c>
      <c r="B85" s="267"/>
      <c r="C85" s="263">
        <f>SUM(C86:C92)</f>
        <v>0</v>
      </c>
      <c r="D85" s="263">
        <f>SUM(D86:D92)</f>
        <v>0</v>
      </c>
      <c r="E85" s="263">
        <f>SUM(E86:E92)</f>
        <v>0</v>
      </c>
      <c r="F85" s="263">
        <f>SUM(F86:F92)</f>
        <v>0</v>
      </c>
      <c r="G85" s="263">
        <f>SUM(G86:G92)</f>
        <v>0</v>
      </c>
      <c r="H85" s="263">
        <f>SUM(H86:H92)</f>
        <v>0</v>
      </c>
    </row>
    <row r="86" spans="1:8" x14ac:dyDescent="0.25">
      <c r="A86" s="265"/>
      <c r="B86" s="264" t="s">
        <v>288</v>
      </c>
      <c r="C86" s="266"/>
      <c r="D86" s="266"/>
      <c r="E86" s="263">
        <f>C86+D86</f>
        <v>0</v>
      </c>
      <c r="F86" s="266"/>
      <c r="G86" s="266"/>
      <c r="H86" s="262">
        <f>+E86-F86</f>
        <v>0</v>
      </c>
    </row>
    <row r="87" spans="1:8" x14ac:dyDescent="0.25">
      <c r="A87" s="265"/>
      <c r="B87" s="264" t="s">
        <v>287</v>
      </c>
      <c r="C87" s="266"/>
      <c r="D87" s="266"/>
      <c r="E87" s="263">
        <f>C87+D87</f>
        <v>0</v>
      </c>
      <c r="F87" s="266"/>
      <c r="G87" s="266"/>
      <c r="H87" s="262">
        <f>+E87-F87</f>
        <v>0</v>
      </c>
    </row>
    <row r="88" spans="1:8" x14ac:dyDescent="0.25">
      <c r="A88" s="265"/>
      <c r="B88" s="264" t="s">
        <v>286</v>
      </c>
      <c r="C88" s="266"/>
      <c r="D88" s="266"/>
      <c r="E88" s="263">
        <f>C88+D88</f>
        <v>0</v>
      </c>
      <c r="F88" s="266"/>
      <c r="G88" s="266"/>
      <c r="H88" s="262">
        <f>+E88-F88</f>
        <v>0</v>
      </c>
    </row>
    <row r="89" spans="1:8" x14ac:dyDescent="0.25">
      <c r="A89" s="265"/>
      <c r="B89" s="264" t="s">
        <v>285</v>
      </c>
      <c r="C89" s="266"/>
      <c r="D89" s="266"/>
      <c r="E89" s="263">
        <f>C89+D89</f>
        <v>0</v>
      </c>
      <c r="F89" s="266"/>
      <c r="G89" s="266"/>
      <c r="H89" s="262">
        <f>+E89-F89</f>
        <v>0</v>
      </c>
    </row>
    <row r="90" spans="1:8" x14ac:dyDescent="0.25">
      <c r="A90" s="265"/>
      <c r="B90" s="264" t="s">
        <v>284</v>
      </c>
      <c r="C90" s="266"/>
      <c r="D90" s="266"/>
      <c r="E90" s="263">
        <f>C90+D90</f>
        <v>0</v>
      </c>
      <c r="F90" s="266"/>
      <c r="G90" s="266"/>
      <c r="H90" s="262">
        <f>+E90-F90</f>
        <v>0</v>
      </c>
    </row>
    <row r="91" spans="1:8" x14ac:dyDescent="0.25">
      <c r="A91" s="265"/>
      <c r="B91" s="264" t="s">
        <v>283</v>
      </c>
      <c r="C91" s="266"/>
      <c r="D91" s="266"/>
      <c r="E91" s="263">
        <f>C91+D91</f>
        <v>0</v>
      </c>
      <c r="F91" s="266"/>
      <c r="G91" s="266"/>
      <c r="H91" s="262">
        <f>+E91-F91</f>
        <v>0</v>
      </c>
    </row>
    <row r="92" spans="1:8" x14ac:dyDescent="0.25">
      <c r="A92" s="265"/>
      <c r="B92" s="264" t="s">
        <v>282</v>
      </c>
      <c r="C92" s="266"/>
      <c r="D92" s="266"/>
      <c r="E92" s="263">
        <f>C92+D92</f>
        <v>0</v>
      </c>
      <c r="F92" s="266"/>
      <c r="G92" s="266"/>
      <c r="H92" s="262">
        <f>+E92-F92</f>
        <v>0</v>
      </c>
    </row>
    <row r="93" spans="1:8" x14ac:dyDescent="0.25">
      <c r="A93" s="268" t="s">
        <v>281</v>
      </c>
      <c r="B93" s="267"/>
      <c r="C93" s="263">
        <f>SUM(C94:C102)</f>
        <v>0</v>
      </c>
      <c r="D93" s="263">
        <f>SUM(D94:D102)</f>
        <v>0</v>
      </c>
      <c r="E93" s="263">
        <f>SUM(E94:E102)</f>
        <v>0</v>
      </c>
      <c r="F93" s="263">
        <f>SUM(F94:F102)</f>
        <v>0</v>
      </c>
      <c r="G93" s="263">
        <f>SUM(G94:G102)</f>
        <v>0</v>
      </c>
      <c r="H93" s="263">
        <f>SUM(H94:H102)</f>
        <v>0</v>
      </c>
    </row>
    <row r="94" spans="1:8" x14ac:dyDescent="0.25">
      <c r="A94" s="265"/>
      <c r="B94" s="264" t="s">
        <v>280</v>
      </c>
      <c r="C94" s="266"/>
      <c r="D94" s="266"/>
      <c r="E94" s="263">
        <f>C94+D94</f>
        <v>0</v>
      </c>
      <c r="F94" s="266"/>
      <c r="G94" s="266"/>
      <c r="H94" s="262">
        <f>+E94-F94</f>
        <v>0</v>
      </c>
    </row>
    <row r="95" spans="1:8" x14ac:dyDescent="0.25">
      <c r="A95" s="265"/>
      <c r="B95" s="264" t="s">
        <v>279</v>
      </c>
      <c r="C95" s="266"/>
      <c r="D95" s="266"/>
      <c r="E95" s="263">
        <f>C95+D95</f>
        <v>0</v>
      </c>
      <c r="F95" s="266"/>
      <c r="G95" s="266"/>
      <c r="H95" s="262">
        <f>+E95-F95</f>
        <v>0</v>
      </c>
    </row>
    <row r="96" spans="1:8" x14ac:dyDescent="0.25">
      <c r="A96" s="265"/>
      <c r="B96" s="264" t="s">
        <v>278</v>
      </c>
      <c r="C96" s="266"/>
      <c r="D96" s="266"/>
      <c r="E96" s="263">
        <f>C96+D96</f>
        <v>0</v>
      </c>
      <c r="F96" s="266"/>
      <c r="G96" s="266"/>
      <c r="H96" s="262">
        <f>+E96-F96</f>
        <v>0</v>
      </c>
    </row>
    <row r="97" spans="1:8" x14ac:dyDescent="0.25">
      <c r="A97" s="265"/>
      <c r="B97" s="264" t="s">
        <v>277</v>
      </c>
      <c r="C97" s="266"/>
      <c r="D97" s="266"/>
      <c r="E97" s="263">
        <f>C97+D97</f>
        <v>0</v>
      </c>
      <c r="F97" s="266"/>
      <c r="G97" s="266"/>
      <c r="H97" s="262">
        <f>+E97-F97</f>
        <v>0</v>
      </c>
    </row>
    <row r="98" spans="1:8" x14ac:dyDescent="0.25">
      <c r="A98" s="265"/>
      <c r="B98" s="264" t="s">
        <v>276</v>
      </c>
      <c r="C98" s="266"/>
      <c r="D98" s="266"/>
      <c r="E98" s="263">
        <f>C98+D98</f>
        <v>0</v>
      </c>
      <c r="F98" s="266"/>
      <c r="G98" s="266"/>
      <c r="H98" s="262">
        <f>+E98-F98</f>
        <v>0</v>
      </c>
    </row>
    <row r="99" spans="1:8" x14ac:dyDescent="0.25">
      <c r="A99" s="265"/>
      <c r="B99" s="264" t="s">
        <v>275</v>
      </c>
      <c r="C99" s="266"/>
      <c r="D99" s="266"/>
      <c r="E99" s="263">
        <f>C99+D99</f>
        <v>0</v>
      </c>
      <c r="F99" s="266"/>
      <c r="G99" s="266"/>
      <c r="H99" s="262">
        <f>+E99-F99</f>
        <v>0</v>
      </c>
    </row>
    <row r="100" spans="1:8" x14ac:dyDescent="0.25">
      <c r="A100" s="265"/>
      <c r="B100" s="264" t="s">
        <v>274</v>
      </c>
      <c r="C100" s="266"/>
      <c r="D100" s="266"/>
      <c r="E100" s="263">
        <f>C100+D100</f>
        <v>0</v>
      </c>
      <c r="F100" s="266"/>
      <c r="G100" s="266"/>
      <c r="H100" s="262">
        <f>+E100-F100</f>
        <v>0</v>
      </c>
    </row>
    <row r="101" spans="1:8" x14ac:dyDescent="0.25">
      <c r="A101" s="265"/>
      <c r="B101" s="264" t="s">
        <v>273</v>
      </c>
      <c r="C101" s="266"/>
      <c r="D101" s="266"/>
      <c r="E101" s="263">
        <f>C101+D101</f>
        <v>0</v>
      </c>
      <c r="F101" s="266"/>
      <c r="G101" s="266"/>
      <c r="H101" s="262">
        <f>+E101-F101</f>
        <v>0</v>
      </c>
    </row>
    <row r="102" spans="1:8" x14ac:dyDescent="0.25">
      <c r="A102" s="265"/>
      <c r="B102" s="264" t="s">
        <v>272</v>
      </c>
      <c r="C102" s="266"/>
      <c r="D102" s="266"/>
      <c r="E102" s="263">
        <f>C102+D102</f>
        <v>0</v>
      </c>
      <c r="F102" s="266"/>
      <c r="G102" s="266"/>
      <c r="H102" s="262">
        <f>+E102-F102</f>
        <v>0</v>
      </c>
    </row>
    <row r="103" spans="1:8" x14ac:dyDescent="0.25">
      <c r="A103" s="268" t="s">
        <v>271</v>
      </c>
      <c r="B103" s="267"/>
      <c r="C103" s="263">
        <f>SUM(C104:C112)</f>
        <v>0</v>
      </c>
      <c r="D103" s="263">
        <f>SUM(D104:D112)</f>
        <v>3244046</v>
      </c>
      <c r="E103" s="263">
        <f>SUM(E104:E112)</f>
        <v>3244046</v>
      </c>
      <c r="F103" s="263">
        <f>SUM(F104:F112)</f>
        <v>0</v>
      </c>
      <c r="G103" s="263">
        <f>SUM(G104:G112)</f>
        <v>0</v>
      </c>
      <c r="H103" s="263">
        <f>SUM(H104:H112)</f>
        <v>3244046</v>
      </c>
    </row>
    <row r="104" spans="1:8" s="274" customFormat="1" x14ac:dyDescent="0.25">
      <c r="A104" s="265"/>
      <c r="B104" s="264" t="s">
        <v>270</v>
      </c>
      <c r="C104" s="266"/>
      <c r="D104" s="266">
        <v>3244046</v>
      </c>
      <c r="E104" s="263">
        <f>C104+D104</f>
        <v>3244046</v>
      </c>
      <c r="F104" s="266"/>
      <c r="G104" s="266"/>
      <c r="H104" s="262">
        <f>+E104-F104</f>
        <v>3244046</v>
      </c>
    </row>
    <row r="105" spans="1:8" x14ac:dyDescent="0.25">
      <c r="A105" s="265"/>
      <c r="B105" s="264" t="s">
        <v>269</v>
      </c>
      <c r="C105" s="266"/>
      <c r="D105" s="266"/>
      <c r="E105" s="263">
        <f>C105+D105</f>
        <v>0</v>
      </c>
      <c r="F105" s="266"/>
      <c r="G105" s="266"/>
      <c r="H105" s="262">
        <f>+E105-F105</f>
        <v>0</v>
      </c>
    </row>
    <row r="106" spans="1:8" x14ac:dyDescent="0.25">
      <c r="A106" s="265"/>
      <c r="B106" s="264" t="s">
        <v>268</v>
      </c>
      <c r="C106" s="266"/>
      <c r="D106" s="266"/>
      <c r="E106" s="263">
        <f>C106+D106</f>
        <v>0</v>
      </c>
      <c r="F106" s="266"/>
      <c r="G106" s="266"/>
      <c r="H106" s="262">
        <f>+E106-F106</f>
        <v>0</v>
      </c>
    </row>
    <row r="107" spans="1:8" x14ac:dyDescent="0.25">
      <c r="A107" s="265"/>
      <c r="B107" s="264" t="s">
        <v>267</v>
      </c>
      <c r="C107" s="266"/>
      <c r="D107" s="266"/>
      <c r="E107" s="263">
        <f>C107+D107</f>
        <v>0</v>
      </c>
      <c r="F107" s="266"/>
      <c r="G107" s="266"/>
      <c r="H107" s="262">
        <f>+E107-F107</f>
        <v>0</v>
      </c>
    </row>
    <row r="108" spans="1:8" ht="15.75" thickBot="1" x14ac:dyDescent="0.3">
      <c r="A108" s="273"/>
      <c r="B108" s="272" t="s">
        <v>266</v>
      </c>
      <c r="C108" s="270"/>
      <c r="D108" s="270"/>
      <c r="E108" s="271">
        <f>C108+D108</f>
        <v>0</v>
      </c>
      <c r="F108" s="270"/>
      <c r="G108" s="270"/>
      <c r="H108" s="269">
        <f>+E108-F108</f>
        <v>0</v>
      </c>
    </row>
    <row r="109" spans="1:8" x14ac:dyDescent="0.25">
      <c r="A109" s="265"/>
      <c r="B109" s="264" t="s">
        <v>265</v>
      </c>
      <c r="C109" s="266"/>
      <c r="D109" s="266"/>
      <c r="E109" s="263">
        <f>C109+D109</f>
        <v>0</v>
      </c>
      <c r="F109" s="266"/>
      <c r="G109" s="266"/>
      <c r="H109" s="262">
        <f>+E109-F109</f>
        <v>0</v>
      </c>
    </row>
    <row r="110" spans="1:8" x14ac:dyDescent="0.25">
      <c r="A110" s="265"/>
      <c r="B110" s="264" t="s">
        <v>264</v>
      </c>
      <c r="C110" s="266"/>
      <c r="D110" s="266"/>
      <c r="E110" s="263">
        <f>C110+D110</f>
        <v>0</v>
      </c>
      <c r="F110" s="266"/>
      <c r="G110" s="266"/>
      <c r="H110" s="262">
        <f>+E110-F110</f>
        <v>0</v>
      </c>
    </row>
    <row r="111" spans="1:8" x14ac:dyDescent="0.25">
      <c r="A111" s="265"/>
      <c r="B111" s="264" t="s">
        <v>263</v>
      </c>
      <c r="C111" s="266"/>
      <c r="D111" s="266"/>
      <c r="E111" s="263">
        <f>C111+D111</f>
        <v>0</v>
      </c>
      <c r="F111" s="266"/>
      <c r="G111" s="266"/>
      <c r="H111" s="262">
        <f>+E111-F111</f>
        <v>0</v>
      </c>
    </row>
    <row r="112" spans="1:8" x14ac:dyDescent="0.25">
      <c r="A112" s="265"/>
      <c r="B112" s="264" t="s">
        <v>262</v>
      </c>
      <c r="C112" s="266"/>
      <c r="D112" s="266"/>
      <c r="E112" s="263">
        <f>C112+D112</f>
        <v>0</v>
      </c>
      <c r="F112" s="266"/>
      <c r="G112" s="266"/>
      <c r="H112" s="262">
        <f>+E112-F112</f>
        <v>0</v>
      </c>
    </row>
    <row r="113" spans="1:8" x14ac:dyDescent="0.25">
      <c r="A113" s="268" t="s">
        <v>261</v>
      </c>
      <c r="B113" s="267"/>
      <c r="C113" s="263">
        <f>SUM(C114:C122)</f>
        <v>0</v>
      </c>
      <c r="D113" s="263">
        <f>SUM(D114:D122)</f>
        <v>0</v>
      </c>
      <c r="E113" s="263">
        <f>SUM(E114:E122)</f>
        <v>0</v>
      </c>
      <c r="F113" s="263">
        <f>SUM(F114:F122)</f>
        <v>0</v>
      </c>
      <c r="G113" s="263">
        <f>SUM(G114:G122)</f>
        <v>0</v>
      </c>
      <c r="H113" s="263">
        <f>SUM(H114:H122)</f>
        <v>0</v>
      </c>
    </row>
    <row r="114" spans="1:8" x14ac:dyDescent="0.25">
      <c r="A114" s="265"/>
      <c r="B114" s="264" t="s">
        <v>260</v>
      </c>
      <c r="C114" s="266"/>
      <c r="D114" s="266"/>
      <c r="E114" s="263">
        <f>C114+D114</f>
        <v>0</v>
      </c>
      <c r="F114" s="266"/>
      <c r="G114" s="266"/>
      <c r="H114" s="262">
        <f>+E114-F114</f>
        <v>0</v>
      </c>
    </row>
    <row r="115" spans="1:8" x14ac:dyDescent="0.25">
      <c r="A115" s="265"/>
      <c r="B115" s="264" t="s">
        <v>259</v>
      </c>
      <c r="C115" s="266"/>
      <c r="D115" s="266"/>
      <c r="E115" s="263">
        <f>C115+D115</f>
        <v>0</v>
      </c>
      <c r="F115" s="266"/>
      <c r="G115" s="266"/>
      <c r="H115" s="262">
        <f>+E115-F115</f>
        <v>0</v>
      </c>
    </row>
    <row r="116" spans="1:8" x14ac:dyDescent="0.25">
      <c r="A116" s="265"/>
      <c r="B116" s="264" t="s">
        <v>258</v>
      </c>
      <c r="C116" s="266"/>
      <c r="D116" s="266"/>
      <c r="E116" s="263">
        <f>C116+D116</f>
        <v>0</v>
      </c>
      <c r="F116" s="266"/>
      <c r="G116" s="266"/>
      <c r="H116" s="262">
        <f>+E116-F116</f>
        <v>0</v>
      </c>
    </row>
    <row r="117" spans="1:8" x14ac:dyDescent="0.25">
      <c r="A117" s="265"/>
      <c r="B117" s="264" t="s">
        <v>257</v>
      </c>
      <c r="C117" s="266"/>
      <c r="D117" s="266"/>
      <c r="E117" s="263">
        <f>C117+D117</f>
        <v>0</v>
      </c>
      <c r="F117" s="266"/>
      <c r="G117" s="266"/>
      <c r="H117" s="262">
        <f>+E117-F117</f>
        <v>0</v>
      </c>
    </row>
    <row r="118" spans="1:8" x14ac:dyDescent="0.25">
      <c r="A118" s="265"/>
      <c r="B118" s="264" t="s">
        <v>256</v>
      </c>
      <c r="C118" s="266"/>
      <c r="D118" s="266"/>
      <c r="E118" s="263">
        <f>C118+D118</f>
        <v>0</v>
      </c>
      <c r="F118" s="266"/>
      <c r="G118" s="266"/>
      <c r="H118" s="262">
        <f>+E118-F118</f>
        <v>0</v>
      </c>
    </row>
    <row r="119" spans="1:8" x14ac:dyDescent="0.25">
      <c r="A119" s="265"/>
      <c r="B119" s="264" t="s">
        <v>255</v>
      </c>
      <c r="C119" s="266"/>
      <c r="D119" s="266"/>
      <c r="E119" s="263">
        <f>C119+D119</f>
        <v>0</v>
      </c>
      <c r="F119" s="266"/>
      <c r="G119" s="266"/>
      <c r="H119" s="262">
        <f>+E119-F119</f>
        <v>0</v>
      </c>
    </row>
    <row r="120" spans="1:8" x14ac:dyDescent="0.25">
      <c r="A120" s="265"/>
      <c r="B120" s="264" t="s">
        <v>254</v>
      </c>
      <c r="C120" s="266"/>
      <c r="D120" s="266"/>
      <c r="E120" s="263">
        <f>C120+D120</f>
        <v>0</v>
      </c>
      <c r="F120" s="266"/>
      <c r="G120" s="266"/>
      <c r="H120" s="262">
        <f>+E120-F120</f>
        <v>0</v>
      </c>
    </row>
    <row r="121" spans="1:8" x14ac:dyDescent="0.25">
      <c r="A121" s="265"/>
      <c r="B121" s="264" t="s">
        <v>253</v>
      </c>
      <c r="C121" s="266"/>
      <c r="D121" s="266"/>
      <c r="E121" s="263">
        <f>C121+D121</f>
        <v>0</v>
      </c>
      <c r="F121" s="266"/>
      <c r="G121" s="266"/>
      <c r="H121" s="262">
        <f>+E121-F121</f>
        <v>0</v>
      </c>
    </row>
    <row r="122" spans="1:8" x14ac:dyDescent="0.25">
      <c r="A122" s="265"/>
      <c r="B122" s="264" t="s">
        <v>252</v>
      </c>
      <c r="C122" s="266"/>
      <c r="D122" s="266"/>
      <c r="E122" s="263">
        <f>C122+D122</f>
        <v>0</v>
      </c>
      <c r="F122" s="266"/>
      <c r="G122" s="266"/>
      <c r="H122" s="262">
        <f>+E122-F122</f>
        <v>0</v>
      </c>
    </row>
    <row r="123" spans="1:8" x14ac:dyDescent="0.25">
      <c r="A123" s="268" t="s">
        <v>251</v>
      </c>
      <c r="B123" s="267"/>
      <c r="C123" s="263">
        <f>SUM(C124:C132)</f>
        <v>0</v>
      </c>
      <c r="D123" s="263">
        <f>SUM(D124:D132)</f>
        <v>0</v>
      </c>
      <c r="E123" s="263">
        <f>SUM(E124:E132)</f>
        <v>0</v>
      </c>
      <c r="F123" s="263">
        <f>SUM(F124:F132)</f>
        <v>0</v>
      </c>
      <c r="G123" s="263">
        <f>SUM(G124:G132)</f>
        <v>0</v>
      </c>
      <c r="H123" s="263">
        <f>SUM(H124:H132)</f>
        <v>0</v>
      </c>
    </row>
    <row r="124" spans="1:8" x14ac:dyDescent="0.25">
      <c r="A124" s="265"/>
      <c r="B124" s="264" t="s">
        <v>250</v>
      </c>
      <c r="C124" s="266">
        <v>0</v>
      </c>
      <c r="D124" s="266"/>
      <c r="E124" s="263">
        <f>C124+D124</f>
        <v>0</v>
      </c>
      <c r="F124" s="266"/>
      <c r="G124" s="266"/>
      <c r="H124" s="262">
        <f>+E124-F124</f>
        <v>0</v>
      </c>
    </row>
    <row r="125" spans="1:8" x14ac:dyDescent="0.25">
      <c r="A125" s="265"/>
      <c r="B125" s="264" t="s">
        <v>249</v>
      </c>
      <c r="C125" s="266"/>
      <c r="D125" s="266"/>
      <c r="E125" s="263">
        <f>C125+D125</f>
        <v>0</v>
      </c>
      <c r="F125" s="266"/>
      <c r="G125" s="266"/>
      <c r="H125" s="262">
        <f>+E125-F125</f>
        <v>0</v>
      </c>
    </row>
    <row r="126" spans="1:8" x14ac:dyDescent="0.25">
      <c r="A126" s="265"/>
      <c r="B126" s="264" t="s">
        <v>248</v>
      </c>
      <c r="C126" s="266"/>
      <c r="D126" s="266"/>
      <c r="E126" s="263">
        <f>C126+D126</f>
        <v>0</v>
      </c>
      <c r="F126" s="266"/>
      <c r="G126" s="266"/>
      <c r="H126" s="262">
        <f>+E126-F126</f>
        <v>0</v>
      </c>
    </row>
    <row r="127" spans="1:8" x14ac:dyDescent="0.25">
      <c r="A127" s="265"/>
      <c r="B127" s="264" t="s">
        <v>247</v>
      </c>
      <c r="C127" s="266"/>
      <c r="D127" s="266"/>
      <c r="E127" s="263">
        <f>C127+D127</f>
        <v>0</v>
      </c>
      <c r="F127" s="266"/>
      <c r="G127" s="266"/>
      <c r="H127" s="262">
        <f>+E127-F127</f>
        <v>0</v>
      </c>
    </row>
    <row r="128" spans="1:8" x14ac:dyDescent="0.25">
      <c r="A128" s="265"/>
      <c r="B128" s="264" t="s">
        <v>246</v>
      </c>
      <c r="C128" s="266"/>
      <c r="D128" s="266"/>
      <c r="E128" s="263">
        <f>C128+D128</f>
        <v>0</v>
      </c>
      <c r="F128" s="266"/>
      <c r="G128" s="266"/>
      <c r="H128" s="262">
        <f>+E128-F128</f>
        <v>0</v>
      </c>
    </row>
    <row r="129" spans="1:8" x14ac:dyDescent="0.25">
      <c r="A129" s="265"/>
      <c r="B129" s="264" t="s">
        <v>245</v>
      </c>
      <c r="C129" s="266"/>
      <c r="D129" s="266"/>
      <c r="E129" s="263">
        <f>C129+D129</f>
        <v>0</v>
      </c>
      <c r="F129" s="266"/>
      <c r="G129" s="266"/>
      <c r="H129" s="262">
        <f>+E129-F129</f>
        <v>0</v>
      </c>
    </row>
    <row r="130" spans="1:8" x14ac:dyDescent="0.25">
      <c r="A130" s="265"/>
      <c r="B130" s="264" t="s">
        <v>244</v>
      </c>
      <c r="C130" s="266"/>
      <c r="D130" s="266"/>
      <c r="E130" s="263">
        <f>C130+D130</f>
        <v>0</v>
      </c>
      <c r="F130" s="266"/>
      <c r="G130" s="266"/>
      <c r="H130" s="262">
        <f>+E130-F130</f>
        <v>0</v>
      </c>
    </row>
    <row r="131" spans="1:8" x14ac:dyDescent="0.25">
      <c r="A131" s="265"/>
      <c r="B131" s="264" t="s">
        <v>243</v>
      </c>
      <c r="C131" s="266"/>
      <c r="D131" s="266"/>
      <c r="E131" s="263">
        <f>C131+D131</f>
        <v>0</v>
      </c>
      <c r="F131" s="266"/>
      <c r="G131" s="266"/>
      <c r="H131" s="262">
        <f>+E131-F131</f>
        <v>0</v>
      </c>
    </row>
    <row r="132" spans="1:8" x14ac:dyDescent="0.25">
      <c r="A132" s="265"/>
      <c r="B132" s="264" t="s">
        <v>242</v>
      </c>
      <c r="C132" s="266"/>
      <c r="D132" s="266"/>
      <c r="E132" s="263">
        <f>C132+D132</f>
        <v>0</v>
      </c>
      <c r="F132" s="266"/>
      <c r="G132" s="266"/>
      <c r="H132" s="262">
        <f>+E132-F132</f>
        <v>0</v>
      </c>
    </row>
    <row r="133" spans="1:8" x14ac:dyDescent="0.25">
      <c r="A133" s="268" t="s">
        <v>241</v>
      </c>
      <c r="B133" s="267"/>
      <c r="C133" s="263">
        <f>SUM(C134:C136)</f>
        <v>66300000</v>
      </c>
      <c r="D133" s="263">
        <f>SUM(D134:D136)</f>
        <v>19281485.989999998</v>
      </c>
      <c r="E133" s="263">
        <f>SUM(E134:E136)</f>
        <v>85581485.989999995</v>
      </c>
      <c r="F133" s="263">
        <f>SUM(F134:F136)</f>
        <v>0</v>
      </c>
      <c r="G133" s="263">
        <f>SUM(G134:G136)</f>
        <v>0</v>
      </c>
      <c r="H133" s="263">
        <f>SUM(H134:H136)</f>
        <v>85581485.989999995</v>
      </c>
    </row>
    <row r="134" spans="1:8" x14ac:dyDescent="0.25">
      <c r="A134" s="265"/>
      <c r="B134" s="264" t="s">
        <v>240</v>
      </c>
      <c r="C134" s="266">
        <v>66300000</v>
      </c>
      <c r="D134" s="266">
        <f>17732644.31+600000+948841.68</f>
        <v>19281485.989999998</v>
      </c>
      <c r="E134" s="263">
        <f>C134+D134</f>
        <v>85581485.989999995</v>
      </c>
      <c r="F134" s="266">
        <v>0</v>
      </c>
      <c r="G134" s="266">
        <v>0</v>
      </c>
      <c r="H134" s="262">
        <f>+E134-F134</f>
        <v>85581485.989999995</v>
      </c>
    </row>
    <row r="135" spans="1:8" x14ac:dyDescent="0.25">
      <c r="A135" s="265"/>
      <c r="B135" s="264" t="s">
        <v>239</v>
      </c>
      <c r="C135" s="266"/>
      <c r="D135" s="266"/>
      <c r="E135" s="263">
        <f>C135+D135</f>
        <v>0</v>
      </c>
      <c r="F135" s="266"/>
      <c r="G135" s="266"/>
      <c r="H135" s="262">
        <f>+E135-F135</f>
        <v>0</v>
      </c>
    </row>
    <row r="136" spans="1:8" x14ac:dyDescent="0.25">
      <c r="A136" s="265"/>
      <c r="B136" s="264" t="s">
        <v>238</v>
      </c>
      <c r="C136" s="266"/>
      <c r="D136" s="266"/>
      <c r="E136" s="263">
        <f>C136+D136</f>
        <v>0</v>
      </c>
      <c r="F136" s="266"/>
      <c r="G136" s="266"/>
      <c r="H136" s="262">
        <f>+E136-F136</f>
        <v>0</v>
      </c>
    </row>
    <row r="137" spans="1:8" x14ac:dyDescent="0.25">
      <c r="A137" s="268" t="s">
        <v>237</v>
      </c>
      <c r="B137" s="267"/>
      <c r="C137" s="263">
        <f>SUM(C138:C145)</f>
        <v>0</v>
      </c>
      <c r="D137" s="263">
        <f>SUM(D138:D145)</f>
        <v>0</v>
      </c>
      <c r="E137" s="263">
        <f>SUM(E138:E145)</f>
        <v>0</v>
      </c>
      <c r="F137" s="263">
        <f>SUM(F138:F145)</f>
        <v>0</v>
      </c>
      <c r="G137" s="263">
        <f>SUM(G138:G145)</f>
        <v>0</v>
      </c>
      <c r="H137" s="263">
        <f>SUM(H138:H145)</f>
        <v>0</v>
      </c>
    </row>
    <row r="138" spans="1:8" x14ac:dyDescent="0.25">
      <c r="A138" s="265"/>
      <c r="B138" s="264" t="s">
        <v>236</v>
      </c>
      <c r="C138" s="266"/>
      <c r="D138" s="266"/>
      <c r="E138" s="263">
        <f>C138+D138</f>
        <v>0</v>
      </c>
      <c r="F138" s="266"/>
      <c r="G138" s="266"/>
      <c r="H138" s="262">
        <f>+E138-F138</f>
        <v>0</v>
      </c>
    </row>
    <row r="139" spans="1:8" x14ac:dyDescent="0.25">
      <c r="A139" s="265"/>
      <c r="B139" s="264" t="s">
        <v>235</v>
      </c>
      <c r="C139" s="266"/>
      <c r="D139" s="266"/>
      <c r="E139" s="263">
        <f>C139+D139</f>
        <v>0</v>
      </c>
      <c r="F139" s="266"/>
      <c r="G139" s="266"/>
      <c r="H139" s="262">
        <f>+E139-F139</f>
        <v>0</v>
      </c>
    </row>
    <row r="140" spans="1:8" x14ac:dyDescent="0.25">
      <c r="A140" s="265"/>
      <c r="B140" s="264" t="s">
        <v>234</v>
      </c>
      <c r="C140" s="266"/>
      <c r="D140" s="266"/>
      <c r="E140" s="263">
        <f>C140+D140</f>
        <v>0</v>
      </c>
      <c r="F140" s="266"/>
      <c r="G140" s="266"/>
      <c r="H140" s="262">
        <f>+E140-F140</f>
        <v>0</v>
      </c>
    </row>
    <row r="141" spans="1:8" x14ac:dyDescent="0.25">
      <c r="A141" s="265"/>
      <c r="B141" s="264" t="s">
        <v>233</v>
      </c>
      <c r="C141" s="266"/>
      <c r="D141" s="266"/>
      <c r="E141" s="263">
        <f>C141+D141</f>
        <v>0</v>
      </c>
      <c r="F141" s="266"/>
      <c r="G141" s="266"/>
      <c r="H141" s="262">
        <f>+E141-F141</f>
        <v>0</v>
      </c>
    </row>
    <row r="142" spans="1:8" x14ac:dyDescent="0.25">
      <c r="A142" s="265"/>
      <c r="B142" s="264" t="s">
        <v>232</v>
      </c>
      <c r="C142" s="266"/>
      <c r="D142" s="266"/>
      <c r="E142" s="263">
        <f>C142+D142</f>
        <v>0</v>
      </c>
      <c r="F142" s="266"/>
      <c r="G142" s="266"/>
      <c r="H142" s="262">
        <f>+E142-F142</f>
        <v>0</v>
      </c>
    </row>
    <row r="143" spans="1:8" ht="15.75" thickBot="1" x14ac:dyDescent="0.3">
      <c r="A143" s="273"/>
      <c r="B143" s="272" t="s">
        <v>231</v>
      </c>
      <c r="C143" s="270"/>
      <c r="D143" s="270"/>
      <c r="E143" s="271">
        <f>C143+D143</f>
        <v>0</v>
      </c>
      <c r="F143" s="270"/>
      <c r="G143" s="270"/>
      <c r="H143" s="269">
        <f>+E143-F143</f>
        <v>0</v>
      </c>
    </row>
    <row r="144" spans="1:8" x14ac:dyDescent="0.25">
      <c r="A144" s="265"/>
      <c r="B144" s="264" t="s">
        <v>230</v>
      </c>
      <c r="C144" s="266"/>
      <c r="D144" s="266"/>
      <c r="E144" s="263">
        <f>C144+D144</f>
        <v>0</v>
      </c>
      <c r="F144" s="266"/>
      <c r="G144" s="266"/>
      <c r="H144" s="262">
        <f>+E144-F144</f>
        <v>0</v>
      </c>
    </row>
    <row r="145" spans="1:9" x14ac:dyDescent="0.25">
      <c r="A145" s="265"/>
      <c r="B145" s="264" t="s">
        <v>229</v>
      </c>
      <c r="C145" s="266"/>
      <c r="D145" s="266"/>
      <c r="E145" s="263">
        <f>C145+D145</f>
        <v>0</v>
      </c>
      <c r="F145" s="266"/>
      <c r="G145" s="266"/>
      <c r="H145" s="262">
        <f>+E145-F145</f>
        <v>0</v>
      </c>
    </row>
    <row r="146" spans="1:9" x14ac:dyDescent="0.25">
      <c r="A146" s="268" t="s">
        <v>228</v>
      </c>
      <c r="B146" s="267"/>
      <c r="C146" s="263">
        <f>SUM(C147:C149)</f>
        <v>0</v>
      </c>
      <c r="D146" s="263">
        <f>SUM(D147:D149)</f>
        <v>0</v>
      </c>
      <c r="E146" s="263">
        <f>SUM(E147:E149)</f>
        <v>0</v>
      </c>
      <c r="F146" s="263">
        <f>SUM(F147:F149)</f>
        <v>0</v>
      </c>
      <c r="G146" s="263">
        <f>SUM(G147:G149)</f>
        <v>0</v>
      </c>
      <c r="H146" s="263">
        <f>SUM(H147:H149)</f>
        <v>0</v>
      </c>
    </row>
    <row r="147" spans="1:9" x14ac:dyDescent="0.25">
      <c r="A147" s="265"/>
      <c r="B147" s="264" t="s">
        <v>227</v>
      </c>
      <c r="C147" s="266"/>
      <c r="D147" s="266"/>
      <c r="E147" s="263">
        <f>C147+D147</f>
        <v>0</v>
      </c>
      <c r="F147" s="266"/>
      <c r="G147" s="266"/>
      <c r="H147" s="262">
        <f>+E147-F147</f>
        <v>0</v>
      </c>
    </row>
    <row r="148" spans="1:9" x14ac:dyDescent="0.25">
      <c r="A148" s="265"/>
      <c r="B148" s="264" t="s">
        <v>226</v>
      </c>
      <c r="C148" s="266"/>
      <c r="D148" s="266"/>
      <c r="E148" s="263">
        <f>C148+D148</f>
        <v>0</v>
      </c>
      <c r="F148" s="266"/>
      <c r="G148" s="266"/>
      <c r="H148" s="262">
        <f>+E148-F148</f>
        <v>0</v>
      </c>
    </row>
    <row r="149" spans="1:9" x14ac:dyDescent="0.25">
      <c r="A149" s="265"/>
      <c r="B149" s="264" t="s">
        <v>225</v>
      </c>
      <c r="C149" s="266"/>
      <c r="D149" s="266"/>
      <c r="E149" s="263">
        <f>C149+D149</f>
        <v>0</v>
      </c>
      <c r="F149" s="266"/>
      <c r="G149" s="266"/>
      <c r="H149" s="262">
        <f>+E149-F149</f>
        <v>0</v>
      </c>
    </row>
    <row r="150" spans="1:9" x14ac:dyDescent="0.25">
      <c r="A150" s="268" t="s">
        <v>224</v>
      </c>
      <c r="B150" s="267"/>
      <c r="C150" s="263">
        <f>SUM(C151:C157)</f>
        <v>0</v>
      </c>
      <c r="D150" s="263">
        <f>SUM(D151:D157)</f>
        <v>0</v>
      </c>
      <c r="E150" s="263">
        <f>SUM(E151:E157)</f>
        <v>0</v>
      </c>
      <c r="F150" s="263">
        <f>SUM(F151:F157)</f>
        <v>0</v>
      </c>
      <c r="G150" s="263">
        <f>SUM(G151:G157)</f>
        <v>0</v>
      </c>
      <c r="H150" s="263">
        <f>SUM(H151:H157)</f>
        <v>0</v>
      </c>
    </row>
    <row r="151" spans="1:9" x14ac:dyDescent="0.25">
      <c r="A151" s="265"/>
      <c r="B151" s="264" t="s">
        <v>223</v>
      </c>
      <c r="C151" s="266"/>
      <c r="D151" s="266"/>
      <c r="E151" s="263">
        <f>C151+D151</f>
        <v>0</v>
      </c>
      <c r="F151" s="266"/>
      <c r="G151" s="266"/>
      <c r="H151" s="262">
        <f>+E151-F151</f>
        <v>0</v>
      </c>
    </row>
    <row r="152" spans="1:9" x14ac:dyDescent="0.25">
      <c r="A152" s="265"/>
      <c r="B152" s="264" t="s">
        <v>222</v>
      </c>
      <c r="C152" s="266"/>
      <c r="D152" s="266"/>
      <c r="E152" s="263">
        <f>C152+D152</f>
        <v>0</v>
      </c>
      <c r="F152" s="266"/>
      <c r="G152" s="266"/>
      <c r="H152" s="262">
        <f>+E152-F152</f>
        <v>0</v>
      </c>
    </row>
    <row r="153" spans="1:9" x14ac:dyDescent="0.25">
      <c r="A153" s="265"/>
      <c r="B153" s="264" t="s">
        <v>221</v>
      </c>
      <c r="C153" s="266"/>
      <c r="D153" s="266"/>
      <c r="E153" s="263">
        <f>C153+D153</f>
        <v>0</v>
      </c>
      <c r="F153" s="266"/>
      <c r="G153" s="266"/>
      <c r="H153" s="262">
        <f>+E153-F153</f>
        <v>0</v>
      </c>
    </row>
    <row r="154" spans="1:9" x14ac:dyDescent="0.25">
      <c r="A154" s="265"/>
      <c r="B154" s="264" t="s">
        <v>220</v>
      </c>
      <c r="C154" s="266"/>
      <c r="D154" s="266"/>
      <c r="E154" s="263">
        <f>C154+D154</f>
        <v>0</v>
      </c>
      <c r="F154" s="266"/>
      <c r="G154" s="266"/>
      <c r="H154" s="262">
        <f>+E154-F154</f>
        <v>0</v>
      </c>
    </row>
    <row r="155" spans="1:9" x14ac:dyDescent="0.25">
      <c r="A155" s="265"/>
      <c r="B155" s="264" t="s">
        <v>219</v>
      </c>
      <c r="C155" s="266"/>
      <c r="D155" s="266"/>
      <c r="E155" s="263">
        <f>C155+D155</f>
        <v>0</v>
      </c>
      <c r="F155" s="266"/>
      <c r="G155" s="266"/>
      <c r="H155" s="262">
        <f>+E155-F155</f>
        <v>0</v>
      </c>
      <c r="I155" s="107" t="str">
        <f>IF((C159-'ETCA II-04'!B81)&gt;0.9,"ERROR!!!!! EL MONTO NO COINCIDE CON LO REPORTADO EN EL FORMATO ETCA-II-04 EN EL TOTAL DEL GASTO","")</f>
        <v/>
      </c>
    </row>
    <row r="156" spans="1:9" x14ac:dyDescent="0.25">
      <c r="A156" s="265"/>
      <c r="B156" s="264" t="s">
        <v>218</v>
      </c>
      <c r="C156" s="266"/>
      <c r="D156" s="266"/>
      <c r="E156" s="263">
        <f>C156+D156</f>
        <v>0</v>
      </c>
      <c r="F156" s="266"/>
      <c r="G156" s="266"/>
      <c r="H156" s="262">
        <f>+E156-F156</f>
        <v>0</v>
      </c>
      <c r="I156" s="107" t="str">
        <f>IF((D159-'ETCA II-04'!C81)&gt;0.9,"ERROR!!!!! EL MONTO NO COINCIDE CON LO REPORTADO EN EL FORMATO ETCA-II-04 EN EL TOTAL DEL GASTO","")</f>
        <v/>
      </c>
    </row>
    <row r="157" spans="1:9" x14ac:dyDescent="0.25">
      <c r="A157" s="265"/>
      <c r="B157" s="264" t="s">
        <v>217</v>
      </c>
      <c r="C157" s="266"/>
      <c r="D157" s="266"/>
      <c r="E157" s="263">
        <f>C157+D157</f>
        <v>0</v>
      </c>
      <c r="F157" s="266"/>
      <c r="G157" s="266"/>
      <c r="H157" s="262">
        <f>+E157-F157</f>
        <v>0</v>
      </c>
      <c r="I157" s="107" t="str">
        <f>IF((E159-'ETCA II-04'!D81)&gt;0.9,"ERROR!!!!! EL MONTO NO COINCIDE CON LO REPORTADO EN EL FORMATO ETCA-II-04 EN EL TOTAL DEL GASTO","")</f>
        <v/>
      </c>
    </row>
    <row r="158" spans="1:9" x14ac:dyDescent="0.25">
      <c r="A158" s="265"/>
      <c r="B158" s="264"/>
      <c r="C158" s="263"/>
      <c r="D158" s="263"/>
      <c r="E158" s="263">
        <f>C158+D158</f>
        <v>0</v>
      </c>
      <c r="F158" s="263"/>
      <c r="G158" s="263"/>
      <c r="H158" s="262"/>
      <c r="I158" s="107" t="str">
        <f>IF((H159-'ETCA II-04'!G81)&gt;0.9,"ERROR!!!!! EL MONTO NO COINCIDE CON LO REPORTADO EN EL FORMATO ETCA-II-04 EN EL TOTAL DEL GASTO","")</f>
        <v/>
      </c>
    </row>
    <row r="159" spans="1:9" x14ac:dyDescent="0.25">
      <c r="A159" s="261" t="s">
        <v>216</v>
      </c>
      <c r="B159" s="260"/>
      <c r="C159" s="259">
        <f>+C10+C84</f>
        <v>623563231.94000006</v>
      </c>
      <c r="D159" s="259">
        <f>+D10+D84</f>
        <v>98076622.019999996</v>
      </c>
      <c r="E159" s="259">
        <f>+E10+E84</f>
        <v>721639853.96000004</v>
      </c>
      <c r="F159" s="259">
        <f>+F10+F84</f>
        <v>155474969.88999999</v>
      </c>
      <c r="G159" s="259">
        <f>+G10+G84</f>
        <v>137282655.09</v>
      </c>
      <c r="H159" s="259">
        <f>+H10+H84</f>
        <v>566164884.07000005</v>
      </c>
      <c r="I159" s="107" t="str">
        <f>IF((F159-'ETCA II-04'!E81)&gt;0.9,"ERROR!!!!! EL MONTO NO COINCIDE CON LO REPORTADO EN EL FORMATO ETCA-II-04 EN EL TOTAL DEL GASTO","")</f>
        <v/>
      </c>
    </row>
    <row r="160" spans="1:9" ht="15.75" thickBot="1" x14ac:dyDescent="0.3">
      <c r="A160" s="258"/>
      <c r="B160" s="257"/>
      <c r="C160" s="256"/>
      <c r="D160" s="256"/>
      <c r="E160" s="256"/>
      <c r="F160" s="256"/>
      <c r="G160" s="256"/>
      <c r="H160" s="255"/>
      <c r="I160" s="107" t="str">
        <f>IF((G159-'ETCA II-04'!F81)&gt;0.9,"ERROR!!!!! EL MONTO NO COINCIDE CON LO REPORTADO EN EL FORMATO ETCA-II-04 EN EL TOTAL DEL GASTO","")</f>
        <v/>
      </c>
    </row>
  </sheetData>
  <sheetProtection formatColumns="0" formatRows="0"/>
  <mergeCells count="30">
    <mergeCell ref="A133:B133"/>
    <mergeCell ref="A137:B137"/>
    <mergeCell ref="A146:B146"/>
    <mergeCell ref="A150:B150"/>
    <mergeCell ref="A59:B59"/>
    <mergeCell ref="A63:B63"/>
    <mergeCell ref="A159:B159"/>
    <mergeCell ref="A76:B76"/>
    <mergeCell ref="A84:B84"/>
    <mergeCell ref="A85:B85"/>
    <mergeCell ref="A93:B93"/>
    <mergeCell ref="A103:B103"/>
    <mergeCell ref="A113:B113"/>
    <mergeCell ref="A123:B123"/>
    <mergeCell ref="A72:B72"/>
    <mergeCell ref="A7:B8"/>
    <mergeCell ref="C7:G7"/>
    <mergeCell ref="H7:H8"/>
    <mergeCell ref="A10:B10"/>
    <mergeCell ref="A11:B11"/>
    <mergeCell ref="A19:B19"/>
    <mergeCell ref="A29:B29"/>
    <mergeCell ref="A39:B39"/>
    <mergeCell ref="A49:B49"/>
    <mergeCell ref="A6:H6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2" orientation="portrait" horizontalDpi="1200" verticalDpi="1200" r:id="rId1"/>
  <colBreaks count="1" manualBreakCount="1">
    <brk id="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CFBA7-1114-412B-9A28-B7A533EB8357}">
  <sheetPr>
    <tabColor theme="0" tint="-0.249977111117893"/>
  </sheetPr>
  <dimension ref="A1:H40"/>
  <sheetViews>
    <sheetView view="pageBreakPreview" topLeftCell="A4" zoomScaleNormal="100" zoomScaleSheetLayoutView="100" workbookViewId="0">
      <selection activeCell="O24" sqref="O24"/>
    </sheetView>
  </sheetViews>
  <sheetFormatPr baseColWidth="10" defaultColWidth="11.28515625" defaultRowHeight="16.5" x14ac:dyDescent="0.25"/>
  <cols>
    <col min="1" max="1" width="36.7109375" style="1" customWidth="1"/>
    <col min="2" max="2" width="13.7109375" style="1" customWidth="1"/>
    <col min="3" max="3" width="12" style="1" customWidth="1"/>
    <col min="4" max="4" width="13" style="1" customWidth="1"/>
    <col min="5" max="5" width="13.7109375" style="1" customWidth="1"/>
    <col min="6" max="6" width="15.7109375" style="1" customWidth="1"/>
    <col min="7" max="7" width="12.140625" style="1" customWidth="1"/>
    <col min="8" max="16384" width="11.28515625" style="1"/>
  </cols>
  <sheetData>
    <row r="1" spans="1:8" x14ac:dyDescent="0.25">
      <c r="A1" s="106" t="s">
        <v>42</v>
      </c>
      <c r="B1" s="106"/>
      <c r="C1" s="106"/>
      <c r="D1" s="106"/>
      <c r="E1" s="106"/>
      <c r="F1" s="106"/>
      <c r="G1" s="106"/>
    </row>
    <row r="2" spans="1:8" s="103" customFormat="1" ht="15.75" x14ac:dyDescent="0.25">
      <c r="A2" s="106" t="s">
        <v>215</v>
      </c>
      <c r="B2" s="106"/>
      <c r="C2" s="106"/>
      <c r="D2" s="106"/>
      <c r="E2" s="106"/>
      <c r="F2" s="106"/>
      <c r="G2" s="106"/>
    </row>
    <row r="3" spans="1:8" s="103" customFormat="1" ht="15.75" x14ac:dyDescent="0.25">
      <c r="A3" s="106" t="s">
        <v>317</v>
      </c>
      <c r="B3" s="106"/>
      <c r="C3" s="106"/>
      <c r="D3" s="106"/>
      <c r="E3" s="106"/>
      <c r="F3" s="106"/>
      <c r="G3" s="106"/>
    </row>
    <row r="4" spans="1:8" s="103" customFormat="1" ht="15.75" x14ac:dyDescent="0.25">
      <c r="A4" s="105" t="str">
        <f>'[1]ETCA-I-01'!A3:G3</f>
        <v>Comision Estatal del Agua</v>
      </c>
      <c r="B4" s="105"/>
      <c r="C4" s="105"/>
      <c r="D4" s="105"/>
      <c r="E4" s="105"/>
      <c r="F4" s="105"/>
      <c r="G4" s="105"/>
    </row>
    <row r="5" spans="1:8" s="103" customFormat="1" x14ac:dyDescent="0.25">
      <c r="A5" s="104" t="str">
        <f>'[1]ETCA-I-03'!A4:D4</f>
        <v>Del 01 de Enero al 31 de Marzo de 2019</v>
      </c>
      <c r="B5" s="104"/>
      <c r="C5" s="104"/>
      <c r="D5" s="104"/>
      <c r="E5" s="104"/>
      <c r="F5" s="104"/>
      <c r="G5" s="104"/>
    </row>
    <row r="6" spans="1:8" s="26" customFormat="1" ht="17.25" thickBot="1" x14ac:dyDescent="0.3">
      <c r="A6" s="254" t="s">
        <v>316</v>
      </c>
      <c r="B6" s="254"/>
      <c r="C6" s="254"/>
      <c r="D6" s="254"/>
      <c r="E6" s="254"/>
      <c r="F6" s="102"/>
      <c r="G6" s="328"/>
    </row>
    <row r="7" spans="1:8" s="326" customFormat="1" ht="38.25" x14ac:dyDescent="0.25">
      <c r="A7" s="98" t="s">
        <v>113</v>
      </c>
      <c r="B7" s="252" t="s">
        <v>211</v>
      </c>
      <c r="C7" s="252" t="s">
        <v>111</v>
      </c>
      <c r="D7" s="252" t="s">
        <v>210</v>
      </c>
      <c r="E7" s="250" t="s">
        <v>209</v>
      </c>
      <c r="F7" s="250" t="s">
        <v>208</v>
      </c>
      <c r="G7" s="327" t="s">
        <v>207</v>
      </c>
    </row>
    <row r="8" spans="1:8" s="324" customFormat="1" ht="15.75" customHeight="1" thickBot="1" x14ac:dyDescent="0.3">
      <c r="A8" s="94"/>
      <c r="B8" s="247" t="s">
        <v>26</v>
      </c>
      <c r="C8" s="247" t="s">
        <v>25</v>
      </c>
      <c r="D8" s="247" t="s">
        <v>206</v>
      </c>
      <c r="E8" s="247" t="s">
        <v>23</v>
      </c>
      <c r="F8" s="247" t="s">
        <v>22</v>
      </c>
      <c r="G8" s="325" t="s">
        <v>205</v>
      </c>
    </row>
    <row r="9" spans="1:8" ht="21.75" customHeight="1" x14ac:dyDescent="0.25">
      <c r="A9" s="323" t="s">
        <v>315</v>
      </c>
      <c r="B9" s="321">
        <v>380252418.94999999</v>
      </c>
      <c r="C9" s="321">
        <v>51287337.590000004</v>
      </c>
      <c r="D9" s="322">
        <f>C9+B9</f>
        <v>431539756.53999996</v>
      </c>
      <c r="E9" s="321">
        <v>121206761.56999999</v>
      </c>
      <c r="F9" s="321">
        <v>103969643.63</v>
      </c>
      <c r="G9" s="320">
        <f>D9-E9</f>
        <v>310332994.96999997</v>
      </c>
    </row>
    <row r="10" spans="1:8" ht="22.5" customHeight="1" x14ac:dyDescent="0.25">
      <c r="A10" s="323" t="s">
        <v>314</v>
      </c>
      <c r="B10" s="321">
        <v>191843828.80000001</v>
      </c>
      <c r="C10" s="321">
        <f>20833927.99-1548842.68</f>
        <v>19285085.309999999</v>
      </c>
      <c r="D10" s="322">
        <f>C10+B10</f>
        <v>211128914.11000001</v>
      </c>
      <c r="E10" s="321">
        <v>37908.800000000003</v>
      </c>
      <c r="F10" s="321">
        <v>37908.800000000003</v>
      </c>
      <c r="G10" s="320">
        <f>D10-E10</f>
        <v>211091005.31</v>
      </c>
    </row>
    <row r="11" spans="1:8" ht="22.5" customHeight="1" x14ac:dyDescent="0.25">
      <c r="A11" s="323" t="s">
        <v>313</v>
      </c>
      <c r="B11" s="321">
        <v>51466984.189999998</v>
      </c>
      <c r="C11" s="321">
        <v>27504198.440000001</v>
      </c>
      <c r="D11" s="322">
        <f>C11+B11</f>
        <v>78971182.629999995</v>
      </c>
      <c r="E11" s="321">
        <v>34230299.520000003</v>
      </c>
      <c r="F11" s="321">
        <v>33275102.66</v>
      </c>
      <c r="G11" s="320">
        <f>D11-E11</f>
        <v>44740883.109999992</v>
      </c>
    </row>
    <row r="12" spans="1:8" ht="23.25" customHeight="1" x14ac:dyDescent="0.25">
      <c r="A12" s="323" t="s">
        <v>171</v>
      </c>
      <c r="B12" s="321"/>
      <c r="C12" s="321"/>
      <c r="D12" s="322">
        <f>C12+B12</f>
        <v>0</v>
      </c>
      <c r="E12" s="321"/>
      <c r="F12" s="321"/>
      <c r="G12" s="320">
        <f>D12-E12</f>
        <v>0</v>
      </c>
    </row>
    <row r="13" spans="1:8" ht="22.5" customHeight="1" x14ac:dyDescent="0.25">
      <c r="A13" s="323" t="s">
        <v>143</v>
      </c>
      <c r="B13" s="321"/>
      <c r="C13" s="321"/>
      <c r="D13" s="322">
        <f>C13+B13</f>
        <v>0</v>
      </c>
      <c r="E13" s="321"/>
      <c r="F13" s="321"/>
      <c r="G13" s="320">
        <f>D13-E13</f>
        <v>0</v>
      </c>
    </row>
    <row r="14" spans="1:8" ht="10.5" customHeight="1" thickBot="1" x14ac:dyDescent="0.3">
      <c r="A14" s="319"/>
      <c r="B14" s="317"/>
      <c r="C14" s="317"/>
      <c r="D14" s="318"/>
      <c r="E14" s="317"/>
      <c r="F14" s="317"/>
      <c r="G14" s="316"/>
    </row>
    <row r="15" spans="1:8" ht="16.5" customHeight="1" thickBot="1" x14ac:dyDescent="0.3">
      <c r="A15" s="315" t="s">
        <v>132</v>
      </c>
      <c r="B15" s="313">
        <f>SUM(B9:B14)</f>
        <v>623563231.94000006</v>
      </c>
      <c r="C15" s="313">
        <f>SUM(C9:C14)</f>
        <v>98076621.340000004</v>
      </c>
      <c r="D15" s="314">
        <f>C15+B15</f>
        <v>721639853.28000009</v>
      </c>
      <c r="E15" s="313">
        <f>SUM(E9:E14)</f>
        <v>155474969.88999999</v>
      </c>
      <c r="F15" s="313">
        <f>SUM(F9:F14)</f>
        <v>137282655.09</v>
      </c>
      <c r="G15" s="312">
        <f>D15-E15</f>
        <v>566164883.3900001</v>
      </c>
      <c r="H15" s="107" t="str">
        <f>IF((B15-'ETCA II-04'!B81)&gt;0.9,"ERROR!!!!! EL MONTO NO COINCIDE CON LO REPORTADO EN EL FORMATO ETCA-II-04 EN EL TOTAL APROBADO ANUAL DEL ANALÍTICO DE EGRESOS","")</f>
        <v/>
      </c>
    </row>
    <row r="16" spans="1:8" ht="16.5" customHeight="1" x14ac:dyDescent="0.25">
      <c r="A16" s="311"/>
      <c r="B16" s="309"/>
      <c r="C16" s="309"/>
      <c r="D16" s="310"/>
      <c r="E16" s="309"/>
      <c r="F16" s="309"/>
      <c r="G16" s="309"/>
      <c r="H16" s="107" t="str">
        <f>IF((C15-'ETCA II-04'!C81)&gt;0.9,"ERROR!!!!! EL MONTO NO COINCIDE CON LO REPORTADO EN EL FORMATO ETCA-II-04 EN EL TOTAL DE AMPLIACIONES/REDUCCIONES ANUAL DEL ANALÍTICO DE EGRESOS","")</f>
        <v/>
      </c>
    </row>
    <row r="17" spans="1:8" ht="16.5" customHeight="1" x14ac:dyDescent="0.25">
      <c r="A17" s="311"/>
      <c r="B17" s="309"/>
      <c r="C17" s="309"/>
      <c r="D17" s="310"/>
      <c r="E17" s="309"/>
      <c r="F17" s="309"/>
      <c r="G17" s="309"/>
      <c r="H17" s="107" t="str">
        <f>IF((D15-'ETCA II-04'!D81)&gt;0.9,"ERROR!!!!! EL MONTO NO COINCIDE CON LO REPORTADO EN EL FORMATO ETCA-II-04 EN EL TOTAL MODIFICADO ANUAL DEL ANALÍTICO DE EGRESOS","")</f>
        <v/>
      </c>
    </row>
    <row r="18" spans="1:8" ht="16.5" customHeight="1" x14ac:dyDescent="0.25">
      <c r="A18" s="311"/>
      <c r="B18" s="309"/>
      <c r="C18" s="309"/>
      <c r="D18" s="310"/>
      <c r="E18" s="309"/>
      <c r="F18" s="309"/>
      <c r="G18" s="309"/>
      <c r="H18" s="107" t="str">
        <f>IF((E15-'ETCA II-04'!E81)&gt;0.9,"ERROR!!!!! EL MONTO NO COINCIDE CON LO REPORTADO EN EL FORMATO ETCA-II-04 EN EL TOTAL DEVENGADO ANUAL DEL ANALÍTICO DE EGRESOS","")</f>
        <v/>
      </c>
    </row>
    <row r="19" spans="1:8" ht="16.5" customHeight="1" x14ac:dyDescent="0.25">
      <c r="A19" s="311"/>
      <c r="B19" s="309"/>
      <c r="C19" s="309"/>
      <c r="D19" s="310"/>
      <c r="E19" s="309"/>
      <c r="F19" s="309"/>
      <c r="G19" s="309"/>
      <c r="H19" s="107" t="str">
        <f>IF((F15-'ETCA II-04'!F81)&gt;0.9,"ERROR!!!!! EL MONTO NO COINCIDE CON LO REPORTADO EN EL FORMATO ETCA-II-04 EN EL TOTAL PAGADO ANUAL DEL ANALÍTICO DE EGRESOS","")</f>
        <v/>
      </c>
    </row>
    <row r="20" spans="1:8" ht="16.5" customHeight="1" x14ac:dyDescent="0.25">
      <c r="A20" s="311"/>
      <c r="B20" s="309"/>
      <c r="C20" s="309"/>
      <c r="D20" s="310"/>
      <c r="E20" s="309"/>
      <c r="F20" s="309"/>
      <c r="G20" s="309"/>
      <c r="H20" s="107"/>
    </row>
    <row r="21" spans="1:8" ht="16.5" customHeight="1" x14ac:dyDescent="0.25">
      <c r="A21" s="311"/>
      <c r="B21" s="309"/>
      <c r="C21" s="309"/>
      <c r="D21" s="310"/>
      <c r="E21" s="309"/>
      <c r="F21" s="309"/>
      <c r="G21" s="309"/>
      <c r="H21" s="107"/>
    </row>
    <row r="22" spans="1:8" ht="16.5" customHeight="1" x14ac:dyDescent="0.25">
      <c r="A22" s="311"/>
      <c r="B22" s="309"/>
      <c r="C22" s="309"/>
      <c r="D22" s="310"/>
      <c r="E22" s="309"/>
      <c r="F22" s="309"/>
      <c r="G22" s="309"/>
      <c r="H22" s="107"/>
    </row>
    <row r="23" spans="1:8" ht="16.5" customHeight="1" x14ac:dyDescent="0.25">
      <c r="A23" s="311"/>
      <c r="B23" s="309"/>
      <c r="C23" s="309"/>
      <c r="D23" s="310"/>
      <c r="E23" s="309"/>
      <c r="F23" s="309"/>
      <c r="G23" s="309"/>
      <c r="H23" s="107"/>
    </row>
    <row r="24" spans="1:8" ht="16.5" customHeight="1" x14ac:dyDescent="0.25">
      <c r="A24" s="311"/>
      <c r="B24" s="309"/>
      <c r="C24" s="309"/>
      <c r="D24" s="310"/>
      <c r="E24" s="309"/>
      <c r="F24" s="309"/>
      <c r="G24" s="309"/>
      <c r="H24" s="107"/>
    </row>
    <row r="25" spans="1:8" ht="16.5" customHeight="1" x14ac:dyDescent="0.25">
      <c r="A25" s="311"/>
      <c r="B25" s="309"/>
      <c r="C25" s="309"/>
      <c r="D25" s="310"/>
      <c r="E25" s="309"/>
      <c r="F25" s="309"/>
      <c r="G25" s="309"/>
      <c r="H25" s="107"/>
    </row>
    <row r="26" spans="1:8" ht="18.75" customHeight="1" x14ac:dyDescent="0.25">
      <c r="H26" s="107" t="str">
        <f>IF(C15&lt;&gt;'ETCA II-04'!C81,"ERROR!!!!! EL MONTO NO COINCIDE CON LO REPORTADO EN EL FORMATO ETCA-II-11 EN EL TOTAL DE AMPLIACIONES/REDUCCIONES DEL ANALÍTICO DE EGRESOS","")</f>
        <v/>
      </c>
    </row>
    <row r="27" spans="1:8" s="175" customFormat="1" ht="15.75" x14ac:dyDescent="0.25">
      <c r="A27" s="308" t="s">
        <v>312</v>
      </c>
      <c r="B27" s="308"/>
      <c r="C27" s="308"/>
      <c r="D27" s="308"/>
      <c r="E27" s="308"/>
      <c r="F27" s="308"/>
      <c r="G27" s="303"/>
      <c r="H27" s="107" t="str">
        <f>IF(D15&lt;&gt;'ETCA II-04'!D81,"ERROR!!!!! EL MONTO NO COINCIDE CON LO REPORTADO EN EL FORMATO ETCA-II-11 EN EL TOTAL MODIFICADO ANUAL DEL ANALÍTICO DE EGRESOS","")</f>
        <v/>
      </c>
    </row>
    <row r="28" spans="1:8" s="175" customFormat="1" ht="13.5" x14ac:dyDescent="0.25">
      <c r="A28" s="306" t="s">
        <v>311</v>
      </c>
      <c r="B28" s="303"/>
      <c r="C28" s="303"/>
      <c r="D28" s="303"/>
      <c r="E28" s="303"/>
      <c r="F28" s="303"/>
      <c r="G28" s="303"/>
      <c r="H28" s="107" t="str">
        <f>IF(E15&lt;&gt;'ETCA II-04'!D81,"ERROR!!!!! EL MONTO NO COINCIDE CON LO REPORTADO EN EL FORMATO ETCA-II-11 EN EL TOTAL DEVENGADO ANUAL DEL ANALÍTICO DE EGRESOS","")</f>
        <v>ERROR!!!!! EL MONTO NO COINCIDE CON LO REPORTADO EN EL FORMATO ETCA-II-11 EN EL TOTAL DEVENGADO ANUAL DEL ANALÍTICO DE EGRESOS</v>
      </c>
    </row>
    <row r="29" spans="1:8" s="175" customFormat="1" ht="28.5" customHeight="1" x14ac:dyDescent="0.25">
      <c r="A29" s="305" t="s">
        <v>310</v>
      </c>
      <c r="B29" s="305"/>
      <c r="C29" s="305"/>
      <c r="D29" s="305"/>
      <c r="E29" s="305"/>
      <c r="F29" s="305"/>
      <c r="G29" s="305"/>
      <c r="H29" s="107" t="str">
        <f>IF(F15&lt;&gt;'ETCA II-04'!F81,"ERROR!!!!! EL MONTO NO COINCIDE CON LO REPORTADO EN EL FORMATO ETCA-II-11 EN EL TOTAL PAGADO ANUAL DEL ANALÍTICO DE EGRESOS","")</f>
        <v/>
      </c>
    </row>
    <row r="30" spans="1:8" s="175" customFormat="1" ht="13.5" x14ac:dyDescent="0.25">
      <c r="A30" s="306" t="s">
        <v>309</v>
      </c>
      <c r="B30" s="303"/>
      <c r="C30" s="303"/>
      <c r="D30" s="303"/>
      <c r="E30" s="303"/>
      <c r="F30" s="303"/>
      <c r="G30" s="303"/>
      <c r="H30" s="107" t="str">
        <f>IF(G15&lt;&gt;'ETCA II-04'!G81,"ERROR!!!!! EL MONTO NO COINCIDE CON LO REPORTADO EN EL FORMATO ETCA-II-11 EN EL TOTAL DEL SUBEJERCICIO DEL ANALÍTICO DE EGRESOS","")</f>
        <v/>
      </c>
    </row>
    <row r="31" spans="1:8" s="175" customFormat="1" ht="25.5" customHeight="1" x14ac:dyDescent="0.25">
      <c r="A31" s="305" t="s">
        <v>308</v>
      </c>
      <c r="B31" s="305"/>
      <c r="C31" s="305"/>
      <c r="D31" s="305"/>
      <c r="E31" s="305"/>
      <c r="F31" s="305"/>
      <c r="G31" s="305"/>
    </row>
    <row r="32" spans="1:8" s="175" customFormat="1" ht="13.5" x14ac:dyDescent="0.25">
      <c r="A32" s="307" t="s">
        <v>307</v>
      </c>
      <c r="B32" s="307"/>
      <c r="C32" s="307"/>
      <c r="D32" s="307"/>
      <c r="E32" s="303"/>
      <c r="F32" s="303"/>
      <c r="G32" s="303"/>
    </row>
    <row r="33" spans="1:7" s="175" customFormat="1" ht="13.5" customHeight="1" x14ac:dyDescent="0.25">
      <c r="A33" s="305" t="s">
        <v>306</v>
      </c>
      <c r="B33" s="305"/>
      <c r="C33" s="305"/>
      <c r="D33" s="305"/>
      <c r="E33" s="305"/>
      <c r="F33" s="305"/>
      <c r="G33" s="305"/>
    </row>
    <row r="34" spans="1:7" s="175" customFormat="1" ht="13.5" x14ac:dyDescent="0.25">
      <c r="A34" s="306" t="s">
        <v>305</v>
      </c>
      <c r="B34" s="303"/>
      <c r="C34" s="303"/>
      <c r="D34" s="303"/>
      <c r="E34" s="303"/>
      <c r="F34" s="303"/>
      <c r="G34" s="303"/>
    </row>
    <row r="35" spans="1:7" s="175" customFormat="1" ht="13.5" customHeight="1" x14ac:dyDescent="0.25">
      <c r="A35" s="305" t="s">
        <v>304</v>
      </c>
      <c r="B35" s="305"/>
      <c r="C35" s="305"/>
      <c r="D35" s="305"/>
      <c r="E35" s="305"/>
      <c r="F35" s="305"/>
      <c r="G35" s="305"/>
    </row>
    <row r="36" spans="1:7" s="175" customFormat="1" ht="13.5" x14ac:dyDescent="0.25">
      <c r="A36" s="304" t="s">
        <v>301</v>
      </c>
      <c r="B36" s="303"/>
      <c r="C36" s="303"/>
      <c r="D36" s="303"/>
      <c r="E36" s="303"/>
      <c r="F36" s="303"/>
      <c r="G36" s="303"/>
    </row>
    <row r="37" spans="1:7" s="175" customFormat="1" ht="13.5" x14ac:dyDescent="0.25">
      <c r="A37" s="306" t="s">
        <v>303</v>
      </c>
      <c r="B37" s="303"/>
      <c r="C37" s="303"/>
      <c r="D37" s="303"/>
      <c r="E37" s="303"/>
      <c r="F37" s="303"/>
      <c r="G37" s="303"/>
    </row>
    <row r="38" spans="1:7" s="175" customFormat="1" ht="13.5" customHeight="1" x14ac:dyDescent="0.25">
      <c r="A38" s="305" t="s">
        <v>302</v>
      </c>
      <c r="B38" s="305"/>
      <c r="C38" s="305"/>
      <c r="D38" s="305"/>
      <c r="E38" s="305"/>
      <c r="F38" s="305"/>
      <c r="G38" s="305"/>
    </row>
    <row r="39" spans="1:7" s="175" customFormat="1" ht="13.5" x14ac:dyDescent="0.25">
      <c r="A39" s="304" t="s">
        <v>301</v>
      </c>
      <c r="B39" s="303"/>
      <c r="C39" s="303"/>
      <c r="D39" s="303"/>
      <c r="E39" s="303"/>
      <c r="F39" s="303"/>
      <c r="G39" s="303"/>
    </row>
    <row r="40" spans="1:7" ht="8.25" customHeight="1" x14ac:dyDescent="0.25"/>
  </sheetData>
  <sheetProtection password="C115" sheet="1" scenarios="1" formatColumns="0" formatRows="0" insertHyperlinks="0"/>
  <mergeCells count="14">
    <mergeCell ref="A7:A8"/>
    <mergeCell ref="A1:G1"/>
    <mergeCell ref="A2:G2"/>
    <mergeCell ref="A3:G3"/>
    <mergeCell ref="A4:G4"/>
    <mergeCell ref="A5:G5"/>
    <mergeCell ref="A6:E6"/>
    <mergeCell ref="A35:G35"/>
    <mergeCell ref="A38:G38"/>
    <mergeCell ref="A27:F27"/>
    <mergeCell ref="A29:G29"/>
    <mergeCell ref="A31:G31"/>
    <mergeCell ref="A32:D32"/>
    <mergeCell ref="A33:G33"/>
  </mergeCells>
  <pageMargins left="0.39370078740157483" right="0.39370078740157483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8428-C71C-4F92-8047-DEFC2B74A617}">
  <sheetPr>
    <tabColor theme="0" tint="-0.249977111117893"/>
  </sheetPr>
  <dimension ref="A1:I37"/>
  <sheetViews>
    <sheetView view="pageBreakPreview" topLeftCell="A7" zoomScale="115" zoomScaleNormal="100" zoomScaleSheetLayoutView="115" workbookViewId="0">
      <selection activeCell="O24" sqref="O24"/>
    </sheetView>
  </sheetViews>
  <sheetFormatPr baseColWidth="10" defaultColWidth="11.28515625" defaultRowHeight="16.5" x14ac:dyDescent="0.25"/>
  <cols>
    <col min="1" max="1" width="39.85546875" style="1" customWidth="1"/>
    <col min="2" max="7" width="13.7109375" style="1" customWidth="1"/>
    <col min="8" max="9" width="14.5703125" style="1" bestFit="1" customWidth="1"/>
    <col min="10" max="16384" width="11.28515625" style="1"/>
  </cols>
  <sheetData>
    <row r="1" spans="1:9" x14ac:dyDescent="0.25">
      <c r="A1" s="106" t="s">
        <v>42</v>
      </c>
      <c r="B1" s="106"/>
      <c r="C1" s="106"/>
      <c r="D1" s="106"/>
      <c r="E1" s="106"/>
      <c r="F1" s="106"/>
      <c r="G1" s="106"/>
    </row>
    <row r="2" spans="1:9" s="26" customFormat="1" x14ac:dyDescent="0.25">
      <c r="A2" s="106" t="s">
        <v>215</v>
      </c>
      <c r="B2" s="106"/>
      <c r="C2" s="106"/>
      <c r="D2" s="106"/>
      <c r="E2" s="106"/>
      <c r="F2" s="106"/>
      <c r="G2" s="106"/>
    </row>
    <row r="3" spans="1:9" s="26" customFormat="1" x14ac:dyDescent="0.25">
      <c r="A3" s="106" t="s">
        <v>327</v>
      </c>
      <c r="B3" s="106"/>
      <c r="C3" s="106"/>
      <c r="D3" s="106"/>
      <c r="E3" s="106"/>
      <c r="F3" s="106"/>
      <c r="G3" s="106"/>
    </row>
    <row r="4" spans="1:9" s="26" customFormat="1" x14ac:dyDescent="0.25">
      <c r="A4" s="105" t="str">
        <f>'[1]ETCA-I-01'!A3:G3</f>
        <v>Comision Estatal del Agua</v>
      </c>
      <c r="B4" s="105"/>
      <c r="C4" s="105"/>
      <c r="D4" s="105"/>
      <c r="E4" s="105"/>
      <c r="F4" s="105"/>
      <c r="G4" s="105"/>
    </row>
    <row r="5" spans="1:9" s="26" customFormat="1" x14ac:dyDescent="0.25">
      <c r="A5" s="104" t="str">
        <f>'[1]ETCA-I-03'!A4:D4</f>
        <v>Del 01 de Enero al 31 de Marzo de 2019</v>
      </c>
      <c r="B5" s="104"/>
      <c r="C5" s="104"/>
      <c r="D5" s="104"/>
      <c r="E5" s="104"/>
      <c r="F5" s="104"/>
      <c r="G5" s="104"/>
    </row>
    <row r="6" spans="1:9" s="26" customFormat="1" ht="17.25" thickBot="1" x14ac:dyDescent="0.3">
      <c r="A6" s="254" t="s">
        <v>328</v>
      </c>
      <c r="B6" s="254"/>
      <c r="C6" s="254"/>
      <c r="D6" s="254"/>
      <c r="E6" s="254"/>
      <c r="F6" s="102"/>
      <c r="G6" s="328"/>
    </row>
    <row r="7" spans="1:9" s="341" customFormat="1" ht="38.25" x14ac:dyDescent="0.25">
      <c r="A7" s="342" t="s">
        <v>327</v>
      </c>
      <c r="B7" s="252" t="s">
        <v>211</v>
      </c>
      <c r="C7" s="252" t="s">
        <v>111</v>
      </c>
      <c r="D7" s="252" t="s">
        <v>210</v>
      </c>
      <c r="E7" s="250" t="s">
        <v>209</v>
      </c>
      <c r="F7" s="250" t="s">
        <v>208</v>
      </c>
      <c r="G7" s="327" t="s">
        <v>207</v>
      </c>
    </row>
    <row r="8" spans="1:9" s="337" customFormat="1" ht="17.25" thickBot="1" x14ac:dyDescent="0.3">
      <c r="A8" s="340"/>
      <c r="B8" s="339" t="s">
        <v>26</v>
      </c>
      <c r="C8" s="339" t="s">
        <v>25</v>
      </c>
      <c r="D8" s="339" t="s">
        <v>206</v>
      </c>
      <c r="E8" s="339" t="s">
        <v>23</v>
      </c>
      <c r="F8" s="339" t="s">
        <v>22</v>
      </c>
      <c r="G8" s="338" t="s">
        <v>205</v>
      </c>
    </row>
    <row r="9" spans="1:9" ht="21" customHeight="1" x14ac:dyDescent="0.25">
      <c r="A9" s="334" t="s">
        <v>326</v>
      </c>
      <c r="B9" s="321">
        <v>3005627.8692494174</v>
      </c>
      <c r="C9" s="321">
        <v>0</v>
      </c>
      <c r="D9" s="321">
        <f>IF($A9="","",B9+C9)</f>
        <v>3005627.8692494174</v>
      </c>
      <c r="E9" s="321">
        <v>899614.74190501531</v>
      </c>
      <c r="F9" s="321">
        <v>794349.7310194954</v>
      </c>
      <c r="G9" s="331">
        <f>IF($A9="","",D9-E9)</f>
        <v>2106013.127344402</v>
      </c>
    </row>
    <row r="10" spans="1:9" ht="21" customHeight="1" x14ac:dyDescent="0.25">
      <c r="A10" s="334" t="s">
        <v>325</v>
      </c>
      <c r="B10" s="321">
        <f>25299502.3172807+68632617+14619259.19+30093117</f>
        <v>138644495.50728071</v>
      </c>
      <c r="C10" s="321">
        <f>61806193.09-604721</f>
        <v>61201472.090000004</v>
      </c>
      <c r="D10" s="321">
        <f>IF($A10="","",B10+C10)</f>
        <v>199845967.59728071</v>
      </c>
      <c r="E10" s="321">
        <f>12215324.1476058+26801372</f>
        <v>39016696.147605799</v>
      </c>
      <c r="F10" s="321">
        <v>34451305.260393783</v>
      </c>
      <c r="G10" s="331">
        <f>IF($A10="","",D10-E10)</f>
        <v>160829271.4496749</v>
      </c>
    </row>
    <row r="11" spans="1:9" ht="21" customHeight="1" x14ac:dyDescent="0.25">
      <c r="A11" s="336" t="s">
        <v>324</v>
      </c>
      <c r="B11" s="321">
        <v>6122860.7456979705</v>
      </c>
      <c r="C11" s="321"/>
      <c r="D11" s="321">
        <f>IF($A11="","",B11+C11)</f>
        <v>6122860.7456979705</v>
      </c>
      <c r="E11" s="321">
        <v>1781893.3250422087</v>
      </c>
      <c r="F11" s="321">
        <v>1573391.8282123492</v>
      </c>
      <c r="G11" s="331">
        <f>IF($A11="","",D11-E11)</f>
        <v>4340967.4206557618</v>
      </c>
    </row>
    <row r="12" spans="1:9" ht="24.75" customHeight="1" x14ac:dyDescent="0.25">
      <c r="A12" s="336" t="s">
        <v>323</v>
      </c>
      <c r="B12" s="321">
        <f>9994252.80709833+92920000</f>
        <v>102914252.80709833</v>
      </c>
      <c r="C12" s="321">
        <f>17552833.39+179810.92</f>
        <v>17732644.310000002</v>
      </c>
      <c r="D12" s="321">
        <f>IF($A12="","",B12+C12)</f>
        <v>120646897.11709833</v>
      </c>
      <c r="E12" s="321">
        <v>2583781.3671070868</v>
      </c>
      <c r="F12" s="321">
        <v>2281449.9789415426</v>
      </c>
      <c r="G12" s="331">
        <f>IF($A12="","",D12-E12)</f>
        <v>118063115.74999124</v>
      </c>
    </row>
    <row r="13" spans="1:9" ht="24" customHeight="1" x14ac:dyDescent="0.25">
      <c r="A13" s="336" t="s">
        <v>322</v>
      </c>
      <c r="B13" s="321">
        <f>7538959.89119896+24980000</f>
        <v>32518959.891198959</v>
      </c>
      <c r="C13" s="321"/>
      <c r="D13" s="321">
        <f>IF($A13="","",B13+C13)</f>
        <v>32518959.891198959</v>
      </c>
      <c r="E13" s="321">
        <v>2025877.2071589786</v>
      </c>
      <c r="F13" s="321">
        <v>1788826.8606820721</v>
      </c>
      <c r="G13" s="331">
        <f>IF($A13="","",D13-E13)</f>
        <v>30493082.68403998</v>
      </c>
    </row>
    <row r="14" spans="1:9" ht="21" customHeight="1" x14ac:dyDescent="0.25">
      <c r="A14" s="334" t="s">
        <v>321</v>
      </c>
      <c r="B14" s="321">
        <v>5822758.5729953265</v>
      </c>
      <c r="C14" s="321"/>
      <c r="D14" s="321">
        <f>IF($A14="","",B14+C14)</f>
        <v>5822758.5729953265</v>
      </c>
      <c r="E14" s="321">
        <v>793913.28121717833</v>
      </c>
      <c r="F14" s="321">
        <v>701016.52631016634</v>
      </c>
      <c r="G14" s="331">
        <f>IF($A14="","",D14-E14)</f>
        <v>5028845.2917781482</v>
      </c>
      <c r="H14" s="335"/>
      <c r="I14" s="335"/>
    </row>
    <row r="15" spans="1:9" ht="21" customHeight="1" x14ac:dyDescent="0.25">
      <c r="A15" s="334" t="s">
        <v>320</v>
      </c>
      <c r="B15" s="321">
        <v>3631456.0882340474</v>
      </c>
      <c r="C15" s="321"/>
      <c r="D15" s="321">
        <f>IF($A15="","",B15+C15)</f>
        <v>3631456.0882340474</v>
      </c>
      <c r="E15" s="321">
        <v>855371.60677650035</v>
      </c>
      <c r="F15" s="321">
        <v>755283.53873548133</v>
      </c>
      <c r="G15" s="331">
        <f>IF($A15="","",D15-E15)</f>
        <v>2776084.4814575473</v>
      </c>
      <c r="H15" s="335"/>
    </row>
    <row r="16" spans="1:9" ht="21" customHeight="1" x14ac:dyDescent="0.25">
      <c r="A16" s="334" t="s">
        <v>319</v>
      </c>
      <c r="B16" s="321">
        <v>164623.42180791168</v>
      </c>
      <c r="C16" s="321"/>
      <c r="D16" s="321">
        <f>IF($A16="","",B16+C16)</f>
        <v>164623.42180791168</v>
      </c>
      <c r="E16" s="321">
        <v>69520.439587281828</v>
      </c>
      <c r="F16" s="321">
        <v>61385.768723146502</v>
      </c>
      <c r="G16" s="331">
        <f>IF($A16="","",D16-E16)</f>
        <v>95102.982220629856</v>
      </c>
    </row>
    <row r="17" spans="1:8" ht="21" customHeight="1" x14ac:dyDescent="0.25">
      <c r="A17" s="334" t="s">
        <v>318</v>
      </c>
      <c r="B17" s="321">
        <v>330738197.20023847</v>
      </c>
      <c r="C17" s="321">
        <f>20691347.73-1548842.68</f>
        <v>19142505.050000001</v>
      </c>
      <c r="D17" s="321">
        <f>IF($A17="","",B17+C17)</f>
        <v>349880702.25023848</v>
      </c>
      <c r="E17" s="321">
        <v>107448301.54000001</v>
      </c>
      <c r="F17" s="321">
        <v>94875645.596981972</v>
      </c>
      <c r="G17" s="331">
        <f>IF($A17="","",D17-E17)</f>
        <v>242432400.71023846</v>
      </c>
      <c r="H17" s="333"/>
    </row>
    <row r="18" spans="1:8" ht="21" customHeight="1" x14ac:dyDescent="0.25">
      <c r="A18" s="332"/>
      <c r="B18" s="321"/>
      <c r="C18" s="321"/>
      <c r="D18" s="321" t="str">
        <f>IF($A18="","",B18+C18)</f>
        <v/>
      </c>
      <c r="E18" s="321"/>
      <c r="F18" s="321"/>
      <c r="G18" s="331" t="str">
        <f>IF($A18="","",D18-E18)</f>
        <v/>
      </c>
    </row>
    <row r="19" spans="1:8" ht="21" customHeight="1" x14ac:dyDescent="0.25">
      <c r="A19" s="332"/>
      <c r="B19" s="321"/>
      <c r="C19" s="321"/>
      <c r="D19" s="321" t="str">
        <f>IF($A19="","",B19+C19)</f>
        <v/>
      </c>
      <c r="E19" s="321"/>
      <c r="F19" s="321"/>
      <c r="G19" s="331" t="str">
        <f>IF($A19="","",D19-E19)</f>
        <v/>
      </c>
    </row>
    <row r="20" spans="1:8" ht="21" customHeight="1" x14ac:dyDescent="0.25">
      <c r="A20" s="332"/>
      <c r="B20" s="321"/>
      <c r="C20" s="321"/>
      <c r="D20" s="321" t="str">
        <f>IF($A20="","",B20+C20)</f>
        <v/>
      </c>
      <c r="E20" s="321"/>
      <c r="F20" s="321"/>
      <c r="G20" s="331" t="str">
        <f>IF($A20="","",D20-E20)</f>
        <v/>
      </c>
    </row>
    <row r="21" spans="1:8" ht="21" customHeight="1" x14ac:dyDescent="0.25">
      <c r="A21" s="332"/>
      <c r="B21" s="321"/>
      <c r="C21" s="321"/>
      <c r="D21" s="321" t="str">
        <f>IF($A21="","",B21+C21)</f>
        <v/>
      </c>
      <c r="E21" s="321"/>
      <c r="F21" s="321"/>
      <c r="G21" s="331" t="str">
        <f>IF($A21="","",D21-E21)</f>
        <v/>
      </c>
    </row>
    <row r="22" spans="1:8" ht="21" customHeight="1" x14ac:dyDescent="0.25">
      <c r="A22" s="332"/>
      <c r="B22" s="321"/>
      <c r="C22" s="321"/>
      <c r="D22" s="321" t="str">
        <f>IF($A22="","",B22+C22)</f>
        <v/>
      </c>
      <c r="E22" s="321"/>
      <c r="F22" s="321"/>
      <c r="G22" s="331" t="str">
        <f>IF($A22="","",D22-E22)</f>
        <v/>
      </c>
    </row>
    <row r="23" spans="1:8" ht="21" customHeight="1" x14ac:dyDescent="0.25">
      <c r="A23" s="332"/>
      <c r="B23" s="321"/>
      <c r="C23" s="321"/>
      <c r="D23" s="321" t="str">
        <f>IF($A23="","",B23+C23)</f>
        <v/>
      </c>
      <c r="E23" s="321"/>
      <c r="F23" s="321"/>
      <c r="G23" s="331" t="str">
        <f>IF($A23="","",D23-E23)</f>
        <v/>
      </c>
    </row>
    <row r="24" spans="1:8" ht="21" customHeight="1" x14ac:dyDescent="0.25">
      <c r="A24" s="332"/>
      <c r="B24" s="321"/>
      <c r="C24" s="321"/>
      <c r="D24" s="321" t="str">
        <f>IF($A24="","",B24+C24)</f>
        <v/>
      </c>
      <c r="E24" s="321"/>
      <c r="F24" s="321"/>
      <c r="G24" s="331" t="str">
        <f>IF($A24="","",D24-E24)</f>
        <v/>
      </c>
    </row>
    <row r="25" spans="1:8" ht="21" customHeight="1" x14ac:dyDescent="0.25">
      <c r="A25" s="332"/>
      <c r="B25" s="321"/>
      <c r="C25" s="321"/>
      <c r="D25" s="321" t="str">
        <f>IF($A25="","",B25+C25)</f>
        <v/>
      </c>
      <c r="E25" s="321"/>
      <c r="F25" s="321"/>
      <c r="G25" s="331" t="str">
        <f>IF($A25="","",D25-E25)</f>
        <v/>
      </c>
    </row>
    <row r="26" spans="1:8" ht="21" customHeight="1" x14ac:dyDescent="0.25">
      <c r="A26" s="332"/>
      <c r="B26" s="321"/>
      <c r="C26" s="321"/>
      <c r="D26" s="321" t="str">
        <f>IF($A26="","",B26+C26)</f>
        <v/>
      </c>
      <c r="E26" s="321"/>
      <c r="F26" s="321"/>
      <c r="G26" s="331" t="str">
        <f>IF($A26="","",D26-E26)</f>
        <v/>
      </c>
    </row>
    <row r="27" spans="1:8" ht="21" customHeight="1" x14ac:dyDescent="0.25">
      <c r="A27" s="332"/>
      <c r="B27" s="321"/>
      <c r="C27" s="321"/>
      <c r="D27" s="321" t="str">
        <f>IF($A27="","",B27+C27)</f>
        <v/>
      </c>
      <c r="E27" s="321"/>
      <c r="F27" s="321"/>
      <c r="G27" s="331" t="str">
        <f>IF($A27="","",D27-E27)</f>
        <v/>
      </c>
    </row>
    <row r="28" spans="1:8" ht="21" customHeight="1" x14ac:dyDescent="0.25">
      <c r="A28" s="332"/>
      <c r="B28" s="321"/>
      <c r="C28" s="321"/>
      <c r="D28" s="321" t="str">
        <f>IF($A28="","",B28+C28)</f>
        <v/>
      </c>
      <c r="E28" s="321"/>
      <c r="F28" s="321"/>
      <c r="G28" s="331" t="str">
        <f>IF($A28="","",D28-E28)</f>
        <v/>
      </c>
    </row>
    <row r="29" spans="1:8" ht="21" customHeight="1" x14ac:dyDescent="0.25">
      <c r="A29" s="332"/>
      <c r="B29" s="321"/>
      <c r="C29" s="321"/>
      <c r="D29" s="321" t="str">
        <f>IF($A29="","",B29+C29)</f>
        <v/>
      </c>
      <c r="E29" s="321"/>
      <c r="F29" s="321"/>
      <c r="G29" s="331" t="str">
        <f>IF($A29="","",D29-E29)</f>
        <v/>
      </c>
    </row>
    <row r="30" spans="1:8" ht="21" customHeight="1" x14ac:dyDescent="0.25">
      <c r="A30" s="332"/>
      <c r="B30" s="321"/>
      <c r="C30" s="321"/>
      <c r="D30" s="321" t="str">
        <f>IF($A30="","",B30+C30)</f>
        <v/>
      </c>
      <c r="E30" s="321"/>
      <c r="F30" s="321"/>
      <c r="G30" s="331" t="str">
        <f>IF($A30="","",D30-E30)</f>
        <v/>
      </c>
    </row>
    <row r="31" spans="1:8" ht="21" customHeight="1" thickBot="1" x14ac:dyDescent="0.3">
      <c r="A31" s="332"/>
      <c r="B31" s="321"/>
      <c r="C31" s="321"/>
      <c r="D31" s="321" t="str">
        <f>IF($A31="","",B31+C31)</f>
        <v/>
      </c>
      <c r="E31" s="321"/>
      <c r="F31" s="321"/>
      <c r="G31" s="331" t="str">
        <f>IF($A31="","",D31-E31)</f>
        <v/>
      </c>
    </row>
    <row r="32" spans="1:8" ht="21" customHeight="1" thickBot="1" x14ac:dyDescent="0.3">
      <c r="A32" s="330" t="s">
        <v>132</v>
      </c>
      <c r="B32" s="232">
        <f>SUM(B9:B31)</f>
        <v>623563232.10380101</v>
      </c>
      <c r="C32" s="232">
        <f>SUM(C9:C31)</f>
        <v>98076621.450000003</v>
      </c>
      <c r="D32" s="232">
        <f>IF($A32="","",B32+C32)</f>
        <v>721639853.55380106</v>
      </c>
      <c r="E32" s="232">
        <f>SUM(E9:E31)</f>
        <v>155474969.65640005</v>
      </c>
      <c r="F32" s="232">
        <f>SUM(F9:F31)</f>
        <v>137282655.09</v>
      </c>
      <c r="G32" s="231">
        <f>IF($A32="","",D32-E32)</f>
        <v>566164883.89740098</v>
      </c>
      <c r="H32" s="326" t="str">
        <f>IF(($B$32-'ETCA II-04'!B81)&gt;0.9,"ERROR!!!!! EL MONTO NO COINCIDE CON LO REPORTADO EN EL FORMATO ETCA-II-04 EN EL TOTAL APROBADO ANUAL DEL ANALÍTICO DE EGRESOS","")</f>
        <v/>
      </c>
    </row>
    <row r="33" spans="2:8" x14ac:dyDescent="0.25">
      <c r="H33" s="326" t="str">
        <f>IF(($C$32-'ETCA II-04'!C81)&gt;0.9,"ERROR!!!!! EL MONTO NO COINCIDE CON LO REPORTADO EN EL FORMATO ETCA-II-04 EN EL TOTAL AMPLIACIONES/REDUCCIONES ANUAL DEL ANALÍTICO DE EGRESOS","")</f>
        <v/>
      </c>
    </row>
    <row r="34" spans="2:8" x14ac:dyDescent="0.25">
      <c r="H34" s="326" t="str">
        <f>IF(($E$32-'ETCA II-04'!E81)&gt;0.9,"ERROR!!!!! EL MONTO NO COINCIDE CON LO REPORTADO EN EL FORMATO ETCA-II-04 EN EL TOTAL DEVENGADO ANUAL DEL ANALÍTICO DE EGRESOS","")</f>
        <v/>
      </c>
    </row>
    <row r="35" spans="2:8" x14ac:dyDescent="0.25">
      <c r="H35" s="326" t="str">
        <f>IF(($F$32-'ETCA II-04'!F81)&gt;0.9,"ERROR!!!!! EL MONTO NO COINCIDE CON LO REPORTADO EN EL FORMATO ETCA-II-04 EN EL TOTAL PAGADO ANUAL DEL ANALÍTICO DE EGRESOS","")</f>
        <v/>
      </c>
    </row>
    <row r="36" spans="2:8" x14ac:dyDescent="0.25">
      <c r="H36" s="326" t="str">
        <f>IF(($G$32-'ETCA II-04'!G81)&gt;0.9,"ERROR!!!!! EL MONTO NO COINCIDE CON LO REPORTADO EN EL FORMATO ETCA-II-04 EN EL TOTAL APROBADO ANUAL DEL ANALÍTICO DE EGRESOS","")</f>
        <v/>
      </c>
    </row>
    <row r="37" spans="2:8" x14ac:dyDescent="0.25">
      <c r="B37" s="329">
        <v>623563231.93999994</v>
      </c>
      <c r="C37" s="329">
        <v>99625464.020000011</v>
      </c>
      <c r="D37" s="329">
        <v>723188695.96000004</v>
      </c>
      <c r="E37" s="329">
        <v>155474969.89000002</v>
      </c>
      <c r="F37" s="329">
        <v>137282655.09</v>
      </c>
    </row>
  </sheetData>
  <sheetProtection formatColumns="0" formatRows="0" insertRows="0" deleteColumns="0" deleteRows="0"/>
  <mergeCells count="7">
    <mergeCell ref="A7:A8"/>
    <mergeCell ref="A1:G1"/>
    <mergeCell ref="A2:G2"/>
    <mergeCell ref="A3:G3"/>
    <mergeCell ref="A4:G4"/>
    <mergeCell ref="A5:G5"/>
    <mergeCell ref="A6:E6"/>
  </mergeCells>
  <printOptions horizontalCentered="1"/>
  <pageMargins left="0.51181102362204722" right="0.15748031496062992" top="0.74803149606299213" bottom="0.74803149606299213" header="0.31496062992125984" footer="0.31496062992125984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57151-B05B-49A9-9387-01090B496BA6}">
  <sheetPr>
    <tabColor theme="0" tint="-0.249977111117893"/>
  </sheetPr>
  <dimension ref="A1:H40"/>
  <sheetViews>
    <sheetView view="pageBreakPreview" topLeftCell="A19" zoomScaleNormal="100" zoomScaleSheetLayoutView="100" workbookViewId="0">
      <selection activeCell="O24" sqref="O24"/>
    </sheetView>
  </sheetViews>
  <sheetFormatPr baseColWidth="10" defaultColWidth="11.42578125" defaultRowHeight="15" x14ac:dyDescent="0.25"/>
  <cols>
    <col min="1" max="1" width="32.42578125" customWidth="1"/>
    <col min="2" max="2" width="13.28515625" customWidth="1"/>
    <col min="3" max="3" width="13.140625" customWidth="1"/>
    <col min="4" max="4" width="13.28515625" customWidth="1"/>
    <col min="5" max="5" width="12.85546875" customWidth="1"/>
    <col min="6" max="6" width="14" customWidth="1"/>
    <col min="7" max="7" width="15.42578125" customWidth="1"/>
  </cols>
  <sheetData>
    <row r="1" spans="1:7" s="349" customFormat="1" ht="15.75" x14ac:dyDescent="0.2">
      <c r="A1" s="376" t="s">
        <v>42</v>
      </c>
      <c r="B1" s="375"/>
      <c r="C1" s="375"/>
      <c r="D1" s="375"/>
      <c r="E1" s="375"/>
      <c r="F1" s="375"/>
      <c r="G1" s="374"/>
    </row>
    <row r="2" spans="1:7" s="349" customFormat="1" ht="15.75" x14ac:dyDescent="0.2">
      <c r="A2" s="373" t="str">
        <f>'[1]ETCA-I-01'!A3:G3</f>
        <v>Comision Estatal del Agua</v>
      </c>
      <c r="B2" s="372"/>
      <c r="C2" s="372"/>
      <c r="D2" s="372"/>
      <c r="E2" s="372"/>
      <c r="F2" s="372"/>
      <c r="G2" s="371"/>
    </row>
    <row r="3" spans="1:7" s="349" customFormat="1" ht="12.75" x14ac:dyDescent="0.2">
      <c r="A3" s="370" t="s">
        <v>300</v>
      </c>
      <c r="B3" s="369"/>
      <c r="C3" s="369"/>
      <c r="D3" s="369"/>
      <c r="E3" s="369"/>
      <c r="F3" s="369"/>
      <c r="G3" s="368"/>
    </row>
    <row r="4" spans="1:7" s="349" customFormat="1" ht="12.75" x14ac:dyDescent="0.2">
      <c r="A4" s="370" t="s">
        <v>334</v>
      </c>
      <c r="B4" s="369"/>
      <c r="C4" s="369"/>
      <c r="D4" s="369"/>
      <c r="E4" s="369"/>
      <c r="F4" s="369"/>
      <c r="G4" s="368"/>
    </row>
    <row r="5" spans="1:7" s="349" customFormat="1" ht="12.75" x14ac:dyDescent="0.2">
      <c r="A5" s="370" t="str">
        <f>'[1]ETCA-I-03'!A4:D4</f>
        <v>Del 01 de Enero al 31 de Marzo de 2019</v>
      </c>
      <c r="B5" s="369"/>
      <c r="C5" s="369"/>
      <c r="D5" s="369"/>
      <c r="E5" s="369"/>
      <c r="F5" s="369"/>
      <c r="G5" s="368"/>
    </row>
    <row r="6" spans="1:7" s="349" customFormat="1" ht="20.25" customHeight="1" thickBot="1" x14ac:dyDescent="0.25">
      <c r="A6" s="367" t="s">
        <v>40</v>
      </c>
      <c r="B6" s="366"/>
      <c r="C6" s="366"/>
      <c r="D6" s="366"/>
      <c r="E6" s="366"/>
      <c r="F6" s="366"/>
      <c r="G6" s="365"/>
    </row>
    <row r="7" spans="1:7" s="349" customFormat="1" ht="13.5" thickBot="1" x14ac:dyDescent="0.25">
      <c r="A7" s="361" t="s">
        <v>298</v>
      </c>
      <c r="B7" s="364" t="s">
        <v>297</v>
      </c>
      <c r="C7" s="363"/>
      <c r="D7" s="363"/>
      <c r="E7" s="363"/>
      <c r="F7" s="362"/>
      <c r="G7" s="361" t="s">
        <v>296</v>
      </c>
    </row>
    <row r="8" spans="1:7" s="349" customFormat="1" ht="26.25" thickBot="1" x14ac:dyDescent="0.25">
      <c r="A8" s="359"/>
      <c r="B8" s="360" t="s">
        <v>295</v>
      </c>
      <c r="C8" s="360" t="s">
        <v>111</v>
      </c>
      <c r="D8" s="360" t="s">
        <v>30</v>
      </c>
      <c r="E8" s="360" t="s">
        <v>110</v>
      </c>
      <c r="F8" s="360" t="s">
        <v>333</v>
      </c>
      <c r="G8" s="359"/>
    </row>
    <row r="9" spans="1:7" s="349" customFormat="1" ht="12.75" x14ac:dyDescent="0.2">
      <c r="A9" s="353" t="s">
        <v>332</v>
      </c>
      <c r="B9" s="358"/>
      <c r="C9" s="358"/>
      <c r="D9" s="358"/>
      <c r="E9" s="358"/>
      <c r="F9" s="358"/>
      <c r="G9" s="358"/>
    </row>
    <row r="10" spans="1:7" s="349" customFormat="1" ht="12.75" x14ac:dyDescent="0.2">
      <c r="A10" s="353" t="s">
        <v>331</v>
      </c>
      <c r="B10" s="351">
        <f>SUM(B11:B19)</f>
        <v>557263232.1055038</v>
      </c>
      <c r="C10" s="351">
        <f>SUM(C11:C19)</f>
        <v>75551089.460000008</v>
      </c>
      <c r="D10" s="351">
        <f>SUM(D11:D19)</f>
        <v>632814321.56550384</v>
      </c>
      <c r="E10" s="351">
        <f>SUM(E11:E19)</f>
        <v>155474969.65640005</v>
      </c>
      <c r="F10" s="351">
        <f>SUM(F11:F19)</f>
        <v>137282655.09</v>
      </c>
      <c r="G10" s="351">
        <f>SUM(G11:G19)</f>
        <v>477339351.90910375</v>
      </c>
    </row>
    <row r="11" spans="1:7" s="349" customFormat="1" ht="12.75" x14ac:dyDescent="0.2">
      <c r="A11" s="355" t="s">
        <v>326</v>
      </c>
      <c r="B11" s="357">
        <v>3005627.8692494174</v>
      </c>
      <c r="C11" s="351">
        <v>0</v>
      </c>
      <c r="D11" s="351">
        <f>B11+C11</f>
        <v>3005627.8692494174</v>
      </c>
      <c r="E11" s="351">
        <v>899614.74190501531</v>
      </c>
      <c r="F11" s="351">
        <v>794349.7310194954</v>
      </c>
      <c r="G11" s="351">
        <f>+D11-E11</f>
        <v>2106013.127344402</v>
      </c>
    </row>
    <row r="12" spans="1:7" s="349" customFormat="1" ht="25.5" x14ac:dyDescent="0.2">
      <c r="A12" s="355" t="s">
        <v>325</v>
      </c>
      <c r="B12" s="357">
        <v>138644495.50728071</v>
      </c>
      <c r="C12" s="351">
        <v>61201472.090000004</v>
      </c>
      <c r="D12" s="351">
        <f>B12+C12</f>
        <v>199845967.59728071</v>
      </c>
      <c r="E12" s="351">
        <v>39016696.147605799</v>
      </c>
      <c r="F12" s="351">
        <v>34451305.260393783</v>
      </c>
      <c r="G12" s="351">
        <f>+D12-E12</f>
        <v>160829271.4496749</v>
      </c>
    </row>
    <row r="13" spans="1:7" s="349" customFormat="1" ht="25.5" x14ac:dyDescent="0.2">
      <c r="A13" s="355" t="s">
        <v>324</v>
      </c>
      <c r="B13" s="357">
        <v>6122860.7456979705</v>
      </c>
      <c r="C13" s="351"/>
      <c r="D13" s="351">
        <f>B13+C13</f>
        <v>6122860.7456979705</v>
      </c>
      <c r="E13" s="351">
        <v>1781893.3250422087</v>
      </c>
      <c r="F13" s="351">
        <v>1573391.8282123492</v>
      </c>
      <c r="G13" s="351">
        <f>+D13-E13</f>
        <v>4340967.4206557618</v>
      </c>
    </row>
    <row r="14" spans="1:7" s="349" customFormat="1" ht="25.5" x14ac:dyDescent="0.2">
      <c r="A14" s="355" t="s">
        <v>323</v>
      </c>
      <c r="B14" s="357">
        <f>9994252.81+26620000</f>
        <v>36614252.810000002</v>
      </c>
      <c r="C14" s="351"/>
      <c r="D14" s="351">
        <f>B14+C14</f>
        <v>36614252.810000002</v>
      </c>
      <c r="E14" s="351">
        <v>2583781.3671070868</v>
      </c>
      <c r="F14" s="351">
        <v>2281449.9789415426</v>
      </c>
      <c r="G14" s="351">
        <f>+D14-E14</f>
        <v>34030471.442892917</v>
      </c>
    </row>
    <row r="15" spans="1:7" s="349" customFormat="1" ht="25.5" x14ac:dyDescent="0.2">
      <c r="A15" s="355" t="s">
        <v>322</v>
      </c>
      <c r="B15" s="357">
        <f>7538959.89+24980000</f>
        <v>32518959.890000001</v>
      </c>
      <c r="C15" s="351"/>
      <c r="D15" s="351">
        <f>B15+C15</f>
        <v>32518959.890000001</v>
      </c>
      <c r="E15" s="351">
        <v>2025877.2071589786</v>
      </c>
      <c r="F15" s="351">
        <v>1788826.8606820721</v>
      </c>
      <c r="G15" s="351">
        <f>+D15-E15</f>
        <v>30493082.682841022</v>
      </c>
    </row>
    <row r="16" spans="1:7" s="349" customFormat="1" ht="12.75" x14ac:dyDescent="0.2">
      <c r="A16" s="355" t="s">
        <v>321</v>
      </c>
      <c r="B16" s="357">
        <v>5822758.5729953265</v>
      </c>
      <c r="C16" s="351"/>
      <c r="D16" s="351">
        <f>B16+C16</f>
        <v>5822758.5729953265</v>
      </c>
      <c r="E16" s="351">
        <v>793913.28121717833</v>
      </c>
      <c r="F16" s="351">
        <v>701016.52631016634</v>
      </c>
      <c r="G16" s="351">
        <f>+D16-E16</f>
        <v>5028845.2917781482</v>
      </c>
    </row>
    <row r="17" spans="1:8" s="349" customFormat="1" ht="12.75" x14ac:dyDescent="0.2">
      <c r="A17" s="355" t="s">
        <v>320</v>
      </c>
      <c r="B17" s="357">
        <v>3631456.0882340474</v>
      </c>
      <c r="C17" s="351"/>
      <c r="D17" s="351">
        <f>B17+C17</f>
        <v>3631456.0882340474</v>
      </c>
      <c r="E17" s="351">
        <v>855371.60677650035</v>
      </c>
      <c r="F17" s="351">
        <v>755283.53873548133</v>
      </c>
      <c r="G17" s="351">
        <f>+D17-E17</f>
        <v>2776084.4814575473</v>
      </c>
    </row>
    <row r="18" spans="1:8" s="349" customFormat="1" ht="25.5" x14ac:dyDescent="0.2">
      <c r="A18" s="355" t="s">
        <v>319</v>
      </c>
      <c r="B18" s="357">
        <v>164623.42180791168</v>
      </c>
      <c r="C18" s="351"/>
      <c r="D18" s="351">
        <f>B18+C18</f>
        <v>164623.42180791168</v>
      </c>
      <c r="E18" s="351">
        <v>69520.439587281828</v>
      </c>
      <c r="F18" s="351">
        <v>61385.768723146502</v>
      </c>
      <c r="G18" s="351">
        <f>+D18-E18</f>
        <v>95102.982220629856</v>
      </c>
    </row>
    <row r="19" spans="1:8" s="349" customFormat="1" ht="12.75" x14ac:dyDescent="0.2">
      <c r="A19" s="355" t="s">
        <v>318</v>
      </c>
      <c r="B19" s="351">
        <v>330738197.20023847</v>
      </c>
      <c r="C19" s="351">
        <f>20691347.73-4792887.68-1548842.68</f>
        <v>14349617.370000001</v>
      </c>
      <c r="D19" s="351">
        <f>SUM(B19:C19)</f>
        <v>345087814.57023847</v>
      </c>
      <c r="E19" s="351">
        <v>107448301.54000001</v>
      </c>
      <c r="F19" s="351">
        <v>94875645.596981972</v>
      </c>
      <c r="G19" s="351">
        <f>+D19-E19</f>
        <v>237639513.03023845</v>
      </c>
    </row>
    <row r="20" spans="1:8" s="349" customFormat="1" ht="12.75" x14ac:dyDescent="0.2">
      <c r="A20" s="356" t="s">
        <v>330</v>
      </c>
      <c r="B20" s="351"/>
      <c r="C20" s="351"/>
      <c r="D20" s="351"/>
      <c r="E20" s="351"/>
      <c r="F20" s="351"/>
      <c r="G20" s="351"/>
    </row>
    <row r="21" spans="1:8" s="349" customFormat="1" ht="12.75" x14ac:dyDescent="0.2">
      <c r="A21" s="356" t="s">
        <v>329</v>
      </c>
      <c r="B21" s="351">
        <f>SUM(B22:B29)</f>
        <v>66300000</v>
      </c>
      <c r="C21" s="351">
        <f>SUM(C22:C29)</f>
        <v>22525531.82</v>
      </c>
      <c r="D21" s="351">
        <f>SUM(D22:D29)</f>
        <v>88825531.819999993</v>
      </c>
      <c r="E21" s="351">
        <f>SUM(E22:E29)</f>
        <v>0</v>
      </c>
      <c r="F21" s="351">
        <f>SUM(F22:F29)</f>
        <v>0</v>
      </c>
      <c r="G21" s="351">
        <f>SUM(G22:G29)</f>
        <v>88825531.819999993</v>
      </c>
    </row>
    <row r="22" spans="1:8" s="349" customFormat="1" ht="25.5" x14ac:dyDescent="0.2">
      <c r="A22" s="355" t="s">
        <v>324</v>
      </c>
      <c r="B22" s="351"/>
      <c r="C22" s="351"/>
      <c r="D22" s="351">
        <f>B22+C22</f>
        <v>0</v>
      </c>
      <c r="E22" s="351"/>
      <c r="F22" s="351"/>
      <c r="G22" s="351">
        <f>+D22-E22</f>
        <v>0</v>
      </c>
    </row>
    <row r="23" spans="1:8" s="349" customFormat="1" ht="25.5" x14ac:dyDescent="0.2">
      <c r="A23" s="355" t="s">
        <v>323</v>
      </c>
      <c r="B23" s="351">
        <v>66300000</v>
      </c>
      <c r="C23" s="351">
        <v>17732644.140000001</v>
      </c>
      <c r="D23" s="351">
        <f>B23+C23</f>
        <v>84032644.140000001</v>
      </c>
      <c r="E23" s="351">
        <v>0</v>
      </c>
      <c r="F23" s="351">
        <v>0</v>
      </c>
      <c r="G23" s="351">
        <f>+D23-E23</f>
        <v>84032644.140000001</v>
      </c>
    </row>
    <row r="24" spans="1:8" s="349" customFormat="1" ht="25.5" x14ac:dyDescent="0.2">
      <c r="A24" s="355" t="s">
        <v>322</v>
      </c>
      <c r="B24" s="351"/>
      <c r="C24" s="351">
        <v>0</v>
      </c>
      <c r="D24" s="351">
        <f>B24+C24</f>
        <v>0</v>
      </c>
      <c r="E24" s="351">
        <v>0</v>
      </c>
      <c r="F24" s="351">
        <v>0</v>
      </c>
      <c r="G24" s="351">
        <f>+D24-E24</f>
        <v>0</v>
      </c>
    </row>
    <row r="25" spans="1:8" s="349" customFormat="1" ht="12.75" x14ac:dyDescent="0.2">
      <c r="A25" s="355" t="s">
        <v>321</v>
      </c>
      <c r="B25" s="351"/>
      <c r="C25" s="351"/>
      <c r="D25" s="351">
        <f>B25+C25</f>
        <v>0</v>
      </c>
      <c r="E25" s="351"/>
      <c r="F25" s="351"/>
      <c r="G25" s="351">
        <f>+D25-E25</f>
        <v>0</v>
      </c>
    </row>
    <row r="26" spans="1:8" s="349" customFormat="1" ht="12.75" x14ac:dyDescent="0.2">
      <c r="A26" s="355" t="s">
        <v>320</v>
      </c>
      <c r="B26" s="351"/>
      <c r="C26" s="351"/>
      <c r="D26" s="351">
        <f>B26+C26</f>
        <v>0</v>
      </c>
      <c r="E26" s="351"/>
      <c r="F26" s="351"/>
      <c r="G26" s="351">
        <f>+D26-E26</f>
        <v>0</v>
      </c>
    </row>
    <row r="27" spans="1:8" s="349" customFormat="1" ht="25.5" x14ac:dyDescent="0.2">
      <c r="A27" s="355" t="s">
        <v>319</v>
      </c>
      <c r="B27" s="351"/>
      <c r="C27" s="351"/>
      <c r="D27" s="351">
        <f>B27+C27</f>
        <v>0</v>
      </c>
      <c r="E27" s="351"/>
      <c r="F27" s="351"/>
      <c r="G27" s="351">
        <f>+D27-E27</f>
        <v>0</v>
      </c>
    </row>
    <row r="28" spans="1:8" s="349" customFormat="1" ht="12.75" x14ac:dyDescent="0.2">
      <c r="A28" s="355" t="s">
        <v>318</v>
      </c>
      <c r="B28" s="351"/>
      <c r="C28" s="351">
        <v>4792887.68</v>
      </c>
      <c r="D28" s="351">
        <f>B28+C28</f>
        <v>4792887.68</v>
      </c>
      <c r="E28" s="351"/>
      <c r="F28" s="351"/>
      <c r="G28" s="351">
        <f>+D28-E28</f>
        <v>4792887.68</v>
      </c>
    </row>
    <row r="29" spans="1:8" s="349" customFormat="1" ht="12.75" x14ac:dyDescent="0.2">
      <c r="A29" s="355"/>
      <c r="B29" s="351"/>
      <c r="C29" s="351"/>
      <c r="D29" s="351">
        <f>B29+C29</f>
        <v>0</v>
      </c>
      <c r="E29" s="351"/>
      <c r="F29" s="351"/>
      <c r="G29" s="351">
        <f>+D29-E29</f>
        <v>0</v>
      </c>
    </row>
    <row r="30" spans="1:8" s="349" customFormat="1" ht="12.75" x14ac:dyDescent="0.2">
      <c r="A30" s="354"/>
      <c r="B30" s="351"/>
      <c r="C30" s="351"/>
      <c r="D30" s="351"/>
      <c r="E30" s="351"/>
      <c r="F30" s="351"/>
      <c r="G30" s="351"/>
    </row>
    <row r="31" spans="1:8" s="349" customFormat="1" ht="12.75" x14ac:dyDescent="0.2">
      <c r="A31" s="353" t="s">
        <v>216</v>
      </c>
      <c r="B31" s="352">
        <f>+B10+B21</f>
        <v>623563232.1055038</v>
      </c>
      <c r="C31" s="352">
        <f>+C10+C21</f>
        <v>98076621.280000001</v>
      </c>
      <c r="D31" s="351">
        <f>+D10+D21</f>
        <v>721639853.38550377</v>
      </c>
      <c r="E31" s="351">
        <f>+E10+E21</f>
        <v>155474969.65640005</v>
      </c>
      <c r="F31" s="351">
        <f>+F10+F21</f>
        <v>137282655.09</v>
      </c>
      <c r="G31" s="351">
        <f>+G10+G21</f>
        <v>566164883.7291038</v>
      </c>
      <c r="H31" s="350" t="str">
        <f>IF((B31-'ETCA-II-07'!B32)&gt;0.9,"ERROR!!!!! EL MONTO NO COINCIDE CON LO REPORTADO EN EL FORMATO ETCA-II-07 EN EL TOTAL DEL GASTO","")</f>
        <v/>
      </c>
    </row>
    <row r="32" spans="1:8" ht="15.75" thickBot="1" x14ac:dyDescent="0.3">
      <c r="A32" s="348"/>
      <c r="B32" s="347"/>
      <c r="C32" s="347"/>
      <c r="D32" s="347"/>
      <c r="E32" s="347"/>
      <c r="F32" s="347"/>
      <c r="G32" s="347"/>
      <c r="H32" s="107" t="str">
        <f>IF((C31-'ETCA-II-07'!C32)&gt;0.9,"ERROR!!!!! EL MONTO NO COINCIDE CON LO REPORTADO EN EL FORMATO ETCA-II-07 EN EL TOTAL DEL GASTO","")</f>
        <v/>
      </c>
    </row>
    <row r="33" spans="2:8" x14ac:dyDescent="0.25">
      <c r="H33" s="107" t="str">
        <f>IF((D31-'ETCA-II-07'!D32)&gt;0.9,"ERROR!!!!! EL MONTO NO COINCIDE CON LO REPORTADO EN EL FORMATO ETCA-II-07 EN EL TOTAL DEL GASTO","")</f>
        <v/>
      </c>
    </row>
    <row r="34" spans="2:8" x14ac:dyDescent="0.25">
      <c r="B34" s="346"/>
      <c r="C34" s="346"/>
      <c r="D34" s="345"/>
      <c r="E34" s="345"/>
      <c r="F34" s="345"/>
      <c r="G34" s="345"/>
      <c r="H34" s="107" t="str">
        <f>IF((D31-'ETCA-II-07'!D32)&gt;0.9,"ERROR!!!!! EL MONTO NO COINCIDE CON LO REPORTADO EN EL FORMATO ETCA-II-07 EN EL TOTAL DEL GASTO","")</f>
        <v/>
      </c>
    </row>
    <row r="35" spans="2:8" x14ac:dyDescent="0.25">
      <c r="H35" s="107" t="str">
        <f>IF((F31-'ETCA-II-07'!F32)&gt;0.9,"ERROR!!!!! EL MONTO NO COINCIDE CON LO REPORTADO EN EL FORMATO ETCA-II-07 EN EL TOTAL DEL GASTO","")</f>
        <v/>
      </c>
    </row>
    <row r="36" spans="2:8" x14ac:dyDescent="0.25">
      <c r="H36" s="107" t="str">
        <f>IF((G31-'ETCA-II-07'!G32)&gt;0.9,"ERROR!!!!! EL MONTO NO COINCIDE CON LO REPORTADO EN EL FORMATO ETCA-II-07 EN EL TOTAL DEL GASTO","")</f>
        <v/>
      </c>
    </row>
    <row r="40" spans="2:8" x14ac:dyDescent="0.25">
      <c r="B40" s="344"/>
      <c r="E40" s="343"/>
    </row>
  </sheetData>
  <mergeCells count="9">
    <mergeCell ref="A7:A8"/>
    <mergeCell ref="B7:F7"/>
    <mergeCell ref="G7:G8"/>
    <mergeCell ref="A1:G1"/>
    <mergeCell ref="A3:G3"/>
    <mergeCell ref="A4:G4"/>
    <mergeCell ref="A5:G5"/>
    <mergeCell ref="A6:G6"/>
    <mergeCell ref="A2:G2"/>
  </mergeCells>
  <pageMargins left="0.70866141732283472" right="0.70866141732283472" top="0.35433070866141736" bottom="0.35433070866141736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EB44F-A3E1-4260-AF42-0168ABA54DA8}">
  <sheetPr>
    <tabColor theme="0" tint="-0.249977111117893"/>
    <pageSetUpPr fitToPage="1"/>
  </sheetPr>
  <dimension ref="A1:H22"/>
  <sheetViews>
    <sheetView view="pageBreakPreview" topLeftCell="A4" zoomScaleNormal="100" zoomScaleSheetLayoutView="100" workbookViewId="0">
      <selection activeCell="O24" sqref="O24"/>
    </sheetView>
  </sheetViews>
  <sheetFormatPr baseColWidth="10" defaultColWidth="11.28515625" defaultRowHeight="16.5" x14ac:dyDescent="0.25"/>
  <cols>
    <col min="1" max="1" width="39.85546875" style="1" customWidth="1"/>
    <col min="2" max="7" width="13.7109375" style="1" customWidth="1"/>
    <col min="8" max="16384" width="11.28515625" style="1"/>
  </cols>
  <sheetData>
    <row r="1" spans="1:8" x14ac:dyDescent="0.25">
      <c r="A1" s="106" t="s">
        <v>42</v>
      </c>
      <c r="B1" s="106"/>
      <c r="C1" s="106"/>
      <c r="D1" s="106"/>
      <c r="E1" s="106"/>
      <c r="F1" s="106"/>
      <c r="G1" s="106"/>
    </row>
    <row r="2" spans="1:8" s="26" customFormat="1" x14ac:dyDescent="0.25">
      <c r="A2" s="106" t="s">
        <v>215</v>
      </c>
      <c r="B2" s="106"/>
      <c r="C2" s="106"/>
      <c r="D2" s="106"/>
      <c r="E2" s="106"/>
      <c r="F2" s="106"/>
      <c r="G2" s="106"/>
    </row>
    <row r="3" spans="1:8" s="26" customFormat="1" x14ac:dyDescent="0.25">
      <c r="A3" s="389" t="s">
        <v>339</v>
      </c>
      <c r="B3" s="389"/>
      <c r="C3" s="389"/>
      <c r="D3" s="389"/>
      <c r="E3" s="389"/>
      <c r="F3" s="389"/>
      <c r="G3" s="389"/>
    </row>
    <row r="4" spans="1:8" s="26" customFormat="1" x14ac:dyDescent="0.25">
      <c r="A4" s="105" t="str">
        <f>'[1]ETCA-I-01'!A3:G3</f>
        <v>Comision Estatal del Agua</v>
      </c>
      <c r="B4" s="105"/>
      <c r="C4" s="105"/>
      <c r="D4" s="105"/>
      <c r="E4" s="105"/>
      <c r="F4" s="105"/>
      <c r="G4" s="105"/>
    </row>
    <row r="5" spans="1:8" s="26" customFormat="1" x14ac:dyDescent="0.25">
      <c r="A5" s="104" t="str">
        <f>'[1]ETCA-I-03'!A4:D4</f>
        <v>Del 01 de Enero al 31 de Marzo de 2019</v>
      </c>
      <c r="B5" s="104"/>
      <c r="C5" s="104"/>
      <c r="D5" s="104"/>
      <c r="E5" s="104"/>
      <c r="F5" s="104"/>
      <c r="G5" s="104"/>
    </row>
    <row r="6" spans="1:8" s="26" customFormat="1" ht="17.25" thickBot="1" x14ac:dyDescent="0.3">
      <c r="A6" s="254" t="s">
        <v>340</v>
      </c>
      <c r="B6" s="254"/>
      <c r="C6" s="254"/>
      <c r="D6" s="254"/>
      <c r="E6" s="254"/>
      <c r="F6" s="99"/>
      <c r="G6" s="388"/>
    </row>
    <row r="7" spans="1:8" s="341" customFormat="1" ht="53.25" customHeight="1" x14ac:dyDescent="0.25">
      <c r="A7" s="387" t="s">
        <v>339</v>
      </c>
      <c r="B7" s="386" t="s">
        <v>211</v>
      </c>
      <c r="C7" s="386" t="s">
        <v>111</v>
      </c>
      <c r="D7" s="386" t="s">
        <v>210</v>
      </c>
      <c r="E7" s="386" t="s">
        <v>209</v>
      </c>
      <c r="F7" s="386" t="s">
        <v>208</v>
      </c>
      <c r="G7" s="385" t="s">
        <v>207</v>
      </c>
    </row>
    <row r="8" spans="1:8" s="383" customFormat="1" ht="15.75" customHeight="1" thickBot="1" x14ac:dyDescent="0.3">
      <c r="A8" s="384"/>
      <c r="B8" s="339" t="s">
        <v>26</v>
      </c>
      <c r="C8" s="339" t="s">
        <v>25</v>
      </c>
      <c r="D8" s="339" t="s">
        <v>206</v>
      </c>
      <c r="E8" s="339" t="s">
        <v>23</v>
      </c>
      <c r="F8" s="339" t="s">
        <v>22</v>
      </c>
      <c r="G8" s="338" t="s">
        <v>205</v>
      </c>
    </row>
    <row r="9" spans="1:8" ht="30" customHeight="1" x14ac:dyDescent="0.25">
      <c r="A9" s="382"/>
      <c r="B9" s="381"/>
      <c r="C9" s="381"/>
      <c r="D9" s="381"/>
      <c r="E9" s="381"/>
      <c r="F9" s="381"/>
      <c r="G9" s="380"/>
    </row>
    <row r="10" spans="1:8" ht="30" customHeight="1" x14ac:dyDescent="0.25">
      <c r="A10" s="323" t="s">
        <v>338</v>
      </c>
      <c r="B10" s="239">
        <v>623563231.93999994</v>
      </c>
      <c r="C10" s="239">
        <v>98076622.020000011</v>
      </c>
      <c r="D10" s="240">
        <f>B10+C10</f>
        <v>721639853.95999992</v>
      </c>
      <c r="E10" s="239">
        <v>155474969.89000002</v>
      </c>
      <c r="F10" s="239">
        <v>137282655.09</v>
      </c>
      <c r="G10" s="238">
        <f>D10-E10</f>
        <v>566164884.06999993</v>
      </c>
    </row>
    <row r="11" spans="1:8" ht="30" customHeight="1" x14ac:dyDescent="0.25">
      <c r="A11" s="323" t="s">
        <v>337</v>
      </c>
      <c r="B11" s="239"/>
      <c r="C11" s="239"/>
      <c r="D11" s="240">
        <f>B11+C11</f>
        <v>0</v>
      </c>
      <c r="E11" s="239"/>
      <c r="F11" s="239"/>
      <c r="G11" s="238">
        <f>D11-E11</f>
        <v>0</v>
      </c>
    </row>
    <row r="12" spans="1:8" ht="30" customHeight="1" x14ac:dyDescent="0.25">
      <c r="A12" s="323" t="s">
        <v>336</v>
      </c>
      <c r="B12" s="239"/>
      <c r="C12" s="239"/>
      <c r="D12" s="240">
        <f>B12+C12</f>
        <v>0</v>
      </c>
      <c r="E12" s="239"/>
      <c r="F12" s="239"/>
      <c r="G12" s="238">
        <f>D12-E12</f>
        <v>0</v>
      </c>
    </row>
    <row r="13" spans="1:8" ht="30" customHeight="1" x14ac:dyDescent="0.25">
      <c r="A13" s="323" t="s">
        <v>335</v>
      </c>
      <c r="B13" s="239"/>
      <c r="C13" s="239"/>
      <c r="D13" s="240">
        <f>B13+C13</f>
        <v>0</v>
      </c>
      <c r="E13" s="239"/>
      <c r="F13" s="239"/>
      <c r="G13" s="238">
        <f>D13-E13</f>
        <v>0</v>
      </c>
    </row>
    <row r="14" spans="1:8" ht="30" customHeight="1" thickBot="1" x14ac:dyDescent="0.3">
      <c r="A14" s="379"/>
      <c r="B14" s="236"/>
      <c r="C14" s="236"/>
      <c r="D14" s="236"/>
      <c r="E14" s="236"/>
      <c r="F14" s="236"/>
      <c r="G14" s="234"/>
    </row>
    <row r="15" spans="1:8" s="341" customFormat="1" ht="30" customHeight="1" thickBot="1" x14ac:dyDescent="0.3">
      <c r="A15" s="315" t="s">
        <v>132</v>
      </c>
      <c r="B15" s="378">
        <f>SUM(B10:B13)</f>
        <v>623563231.93999994</v>
      </c>
      <c r="C15" s="378">
        <f>SUM(C10:C13)</f>
        <v>98076622.020000011</v>
      </c>
      <c r="D15" s="378">
        <f>B15+C15</f>
        <v>721639853.95999992</v>
      </c>
      <c r="E15" s="378">
        <f>SUM(E10:E13)</f>
        <v>155474969.89000002</v>
      </c>
      <c r="F15" s="378">
        <f>SUM(F10:F13)</f>
        <v>137282655.09</v>
      </c>
      <c r="G15" s="377">
        <f>D15-E15</f>
        <v>566164884.06999993</v>
      </c>
      <c r="H15" s="107" t="str">
        <f>IF((B15-'ETCA II-04'!B81)&gt;0.9,"ERROR!!!!! EL MONTO NO COINCIDE CON LO REPORTADO EN EL FORMATO ETCA-II-04 EN EL TOTAL APROBADO ANUAL DEL ANALÍTICO DE EGRESOS","")</f>
        <v/>
      </c>
    </row>
    <row r="16" spans="1:8" s="341" customFormat="1" ht="30" customHeight="1" x14ac:dyDescent="0.25">
      <c r="A16" s="311"/>
      <c r="B16" s="229"/>
      <c r="C16" s="229"/>
      <c r="D16" s="229"/>
      <c r="E16" s="229"/>
      <c r="F16" s="229"/>
      <c r="G16" s="229"/>
      <c r="H16" s="107" t="str">
        <f>IF((C15-'ETCA II-04'!C81)&gt;0.9,"ERROR!!!!! EL MONTO NO COINCIDE CON LO REPORTADO EN EL FORMATO ETCA-II-04 EN EL TOTAL AMPLIACIONES/REDUCCIONES ANUAL DEL ANALÍTICO DE EGRESOS","")</f>
        <v/>
      </c>
    </row>
    <row r="17" spans="1:8" s="341" customFormat="1" ht="30" customHeight="1" x14ac:dyDescent="0.25">
      <c r="A17" s="311"/>
      <c r="B17" s="229"/>
      <c r="C17" s="229"/>
      <c r="D17" s="229"/>
      <c r="E17" s="229"/>
      <c r="F17" s="229"/>
      <c r="G17" s="229"/>
      <c r="H17" s="107" t="str">
        <f>IF((D15-'ETCA II-04'!D81)&gt;0.9,"ERROR!!!!! EL MONTO NO COINCIDE CON LO REPORTADO EN EL FORMATO ETCA-II-04 EN EL TOTAL MODIFICADO ANUAL DEL ANALÍTICO DE EGRESOS","")</f>
        <v/>
      </c>
    </row>
    <row r="18" spans="1:8" s="341" customFormat="1" ht="18" customHeight="1" x14ac:dyDescent="0.25">
      <c r="A18" s="311"/>
      <c r="B18" s="229"/>
      <c r="C18" s="229"/>
      <c r="D18" s="229"/>
      <c r="E18" s="229"/>
      <c r="F18" s="229"/>
      <c r="G18" s="229"/>
      <c r="H18" s="107" t="str">
        <f>IF((E15-'ETCA II-04'!E81)&gt;0.9,"ERROR!!!!! EL MONTO NO COINCIDE CON LO REPORTADO EN EL FORMATO ETCA-II-04 EN EL TOTAL DEVENGADO ANUAL DEL ANALÍTICO DE EGRESOS","")</f>
        <v/>
      </c>
    </row>
    <row r="19" spans="1:8" s="341" customFormat="1" ht="18" customHeight="1" x14ac:dyDescent="0.25">
      <c r="A19" s="311"/>
      <c r="B19" s="229"/>
      <c r="C19" s="229"/>
      <c r="D19" s="229"/>
      <c r="E19" s="229"/>
      <c r="F19" s="229"/>
      <c r="G19" s="229"/>
      <c r="H19" s="107" t="str">
        <f>IF((F15-'ETCA II-04'!F81)&gt;0.9,"ERROR!!!!! EL MONTO NO COINCIDE CON LO REPORTADO EN EL FORMATO ETCA-II-04 EN EL TOTAL PAGADO ANUAL DEL ANALÍTICO DE EGRESOS","")</f>
        <v/>
      </c>
    </row>
    <row r="20" spans="1:8" x14ac:dyDescent="0.25">
      <c r="H20" s="107" t="str">
        <f>IF((G15-'ETCA II-04'!G81)&gt;0.9,"ERROR!!!!! EL MONTO NO COINCIDE CON LO REPORTADO EN EL FORMATO ETCA-II-04 EN EL TOTAL SUBEJERCICIO ANUAL DEL ANALÍTICO DE EGRESOS","")</f>
        <v/>
      </c>
    </row>
    <row r="21" spans="1:8" x14ac:dyDescent="0.25">
      <c r="H21" s="107" t="str">
        <f>IF((B21-'ETCA II-04'!B87)&gt;0.9,"ERROR!!!!! EL MONTO NO COINCIDE CON LO REPORTADO EN EL FORMATO ETCA-II-04 EN EL TOTAL APROBADO ANUAL DEL ANALÍTICO DE EGRESOS","")</f>
        <v/>
      </c>
    </row>
    <row r="22" spans="1:8" x14ac:dyDescent="0.25">
      <c r="H22" s="107" t="str">
        <f>IF(G15&lt;&gt;'ETCA II-04'!G81,"ERROR!!!!! EL MONTO NO COINCIDE CON LO REPORTADO EN EL FORMATO ETCA-II-04 EN EL TOTAL SUBEJERCICIO PRESENTADO EN EL ANALÍTICO DE EGRESOS","")</f>
        <v>ERROR!!!!! EL MONTO NO COINCIDE CON LO REPORTADO EN EL FORMATO ETCA-II-04 EN EL TOTAL SUBEJERCICIO PRESENTADO EN EL ANALÍTICO DE EGRESOS</v>
      </c>
    </row>
  </sheetData>
  <sheetProtection formatColumns="0" formatRows="0" insertHyperlinks="0"/>
  <mergeCells count="7">
    <mergeCell ref="A7:A8"/>
    <mergeCell ref="A5:G5"/>
    <mergeCell ref="A1:G1"/>
    <mergeCell ref="A2:G2"/>
    <mergeCell ref="A3:G3"/>
    <mergeCell ref="A4:G4"/>
    <mergeCell ref="A6:E6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ETCA-II-01</vt:lpstr>
      <vt:lpstr>ETCA-II-02</vt:lpstr>
      <vt:lpstr>ETCA-II-03</vt:lpstr>
      <vt:lpstr>ETCA II-04</vt:lpstr>
      <vt:lpstr>ETCA-II-05</vt:lpstr>
      <vt:lpstr>ETCA-II-06</vt:lpstr>
      <vt:lpstr>ETCA-II-07</vt:lpstr>
      <vt:lpstr>ETCA-II-08</vt:lpstr>
      <vt:lpstr>ETCA-II-09</vt:lpstr>
      <vt:lpstr>ETCA-II-10</vt:lpstr>
      <vt:lpstr>ETCA-II-11</vt:lpstr>
      <vt:lpstr>ETCA-II-12</vt:lpstr>
      <vt:lpstr>ETCA-II-14</vt:lpstr>
      <vt:lpstr>ETCA-II-15</vt:lpstr>
      <vt:lpstr>ETCA -II- 13</vt:lpstr>
      <vt:lpstr>ETCA-II-16</vt:lpstr>
      <vt:lpstr>ETCA-II-17</vt:lpstr>
      <vt:lpstr>'ETCA -II- 13'!Área_de_impresión</vt:lpstr>
      <vt:lpstr>'ETCA-II-01'!Área_de_impresión</vt:lpstr>
      <vt:lpstr>'ETCA-II-02'!Área_de_impresión</vt:lpstr>
      <vt:lpstr>'ETCA-II-03'!Área_de_impresión</vt:lpstr>
      <vt:lpstr>'ETCA-II-05'!Área_de_impresión</vt:lpstr>
      <vt:lpstr>'ETCA-II-06'!Área_de_impresión</vt:lpstr>
      <vt:lpstr>'ETCA-II-07'!Área_de_impresión</vt:lpstr>
      <vt:lpstr>'ETCA-II-08'!Área_de_impresión</vt:lpstr>
      <vt:lpstr>'ETCA-II-09'!Área_de_impresión</vt:lpstr>
      <vt:lpstr>'ETCA-II-10'!Área_de_impresión</vt:lpstr>
      <vt:lpstr>'ETCA-II-11'!Área_de_impresión</vt:lpstr>
      <vt:lpstr>'ETCA-II-12'!Área_de_impresión</vt:lpstr>
      <vt:lpstr>'ETCA-II-14'!Área_de_impresión</vt:lpstr>
      <vt:lpstr>'ETCA-II-15'!Área_de_impresión</vt:lpstr>
      <vt:lpstr>'ETCA-II-16'!Área_de_impresión</vt:lpstr>
      <vt:lpstr>'ETCA-II-17'!Área_de_impresión</vt:lpstr>
      <vt:lpstr>'ETCA -II- 13'!Títulos_a_imprimir</vt:lpstr>
      <vt:lpstr>'ETCA-II-01'!Títulos_a_imprimir</vt:lpstr>
      <vt:lpstr>'ETCA-II-02'!Títulos_a_imprimir</vt:lpstr>
      <vt:lpstr>'ETCA-II-12'!Títulos_a_imprimir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Lugo</dc:creator>
  <cp:lastModifiedBy>Valeria Lugo</cp:lastModifiedBy>
  <dcterms:created xsi:type="dcterms:W3CDTF">2024-11-12T18:45:13Z</dcterms:created>
  <dcterms:modified xsi:type="dcterms:W3CDTF">2024-11-12T18:45:46Z</dcterms:modified>
</cp:coreProperties>
</file>