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19\2019\2019\4T\"/>
    </mc:Choice>
  </mc:AlternateContent>
  <xr:revisionPtr revIDLastSave="0" documentId="8_{C438AD02-6311-4DA1-B4C1-CF70E413DD23}" xr6:coauthVersionLast="47" xr6:coauthVersionMax="47" xr10:uidLastSave="{00000000-0000-0000-0000-000000000000}"/>
  <bookViews>
    <workbookView xWindow="-120" yWindow="-120" windowWidth="29040" windowHeight="15840" xr2:uid="{24DFD384-093A-4B19-B1B5-B16EEEE35348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 -II- 13" sheetId="13" r:id="rId13"/>
    <sheet name="ETCA-II-14" sheetId="14" r:id="rId14"/>
    <sheet name="ETCA-II-15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12">'ETCA -II- 13'!$A$1:$I$378</definedName>
    <definedName name="_xlnm.Print_Area" localSheetId="0">'ETCA-II-01'!$A$1:$H$48</definedName>
    <definedName name="_xlnm.Print_Area" localSheetId="1">'ETCA-II-02'!$A$1:$I$87</definedName>
    <definedName name="_xlnm.Print_Area" localSheetId="2">'ETCA-II-03'!$A$1:$D$35</definedName>
    <definedName name="_xlnm.Print_Area" localSheetId="4">'ETCA-II-05'!$A$1:$H$165</definedName>
    <definedName name="_xlnm.Print_Area" localSheetId="5">'ETCA-II-06'!$A$1:$G$26</definedName>
    <definedName name="_xlnm.Print_Area" localSheetId="6">'ETCA-II-07'!$A$1:$G$36</definedName>
    <definedName name="_xlnm.Print_Area" localSheetId="7">'ETCA-II-08'!$A$1:$G$40</definedName>
    <definedName name="_xlnm.Print_Area" localSheetId="8">'ETCA-II-09'!$A$1:$G$21</definedName>
    <definedName name="_xlnm.Print_Area" localSheetId="9">'ETCA-II-10'!$A$1:$G$27</definedName>
    <definedName name="_xlnm.Print_Area" localSheetId="10">'ETCA-II-11'!$A$1:$G$48</definedName>
    <definedName name="_xlnm.Print_Area" localSheetId="11">'ETCA-II-12'!$A$1:$H$86</definedName>
    <definedName name="_xlnm.Print_Area" localSheetId="13">'ETCA-II-14'!$A$1:$G$39</definedName>
    <definedName name="_xlnm.Print_Area" localSheetId="14">'ETCA-II-15'!$A$1:$C$47</definedName>
    <definedName name="_xlnm.Print_Area" localSheetId="15">'ETCA-II-16'!$A$1:$E$37</definedName>
    <definedName name="_xlnm.Print_Area" localSheetId="16">'ETCA-II-17'!$A$1:$D$38</definedName>
    <definedName name="_xlnm.Database" localSheetId="12">#REF!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6">#REF!</definedName>
    <definedName name="_xlnm.Database">#REF!</definedName>
    <definedName name="ppto" localSheetId="12">[4]Hoja2!$B$3:$M$95</definedName>
    <definedName name="ppto">[3]Hoja2!$B$3:$M$95</definedName>
    <definedName name="qw" localSheetId="12">#REF!</definedName>
    <definedName name="qw">#REF!</definedName>
    <definedName name="_xlnm.Print_Titles" localSheetId="0">'ETCA-II-01'!$1:$5</definedName>
    <definedName name="_xlnm.Print_Titles" localSheetId="1">'ETCA-II-02'!$6:$8</definedName>
    <definedName name="_xlnm.Print_Titles" localSheetId="11">'ETCA-II-12'!$7:$8</definedName>
    <definedName name="XXX" localSheetId="12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7" l="1"/>
  <c r="B4" i="17"/>
  <c r="C20" i="17"/>
  <c r="D20" i="17"/>
  <c r="C32" i="17"/>
  <c r="C33" i="17" s="1"/>
  <c r="D32" i="17"/>
  <c r="D33" i="17"/>
  <c r="A3" i="16"/>
  <c r="A4" i="16"/>
  <c r="D9" i="16"/>
  <c r="E9" i="16"/>
  <c r="E10" i="16"/>
  <c r="E11" i="16"/>
  <c r="E12" i="16"/>
  <c r="E13" i="16"/>
  <c r="E14" i="16"/>
  <c r="E15" i="16"/>
  <c r="E16" i="16"/>
  <c r="E17" i="16"/>
  <c r="E18" i="16"/>
  <c r="C19" i="16"/>
  <c r="D19" i="16"/>
  <c r="E19" i="16"/>
  <c r="E21" i="16"/>
  <c r="E31" i="16" s="1"/>
  <c r="E22" i="16"/>
  <c r="E23" i="16"/>
  <c r="E24" i="16"/>
  <c r="E25" i="16"/>
  <c r="E26" i="16"/>
  <c r="E27" i="16"/>
  <c r="E28" i="16"/>
  <c r="E29" i="16"/>
  <c r="E30" i="16"/>
  <c r="C31" i="16"/>
  <c r="D31" i="16"/>
  <c r="C32" i="16"/>
  <c r="D32" i="16"/>
  <c r="A3" i="15"/>
  <c r="A4" i="15"/>
  <c r="C9" i="15"/>
  <c r="C33" i="15"/>
  <c r="A4" i="14"/>
  <c r="A5" i="14"/>
  <c r="E9" i="14"/>
  <c r="D10" i="14"/>
  <c r="D11" i="14"/>
  <c r="G11" i="14" s="1"/>
  <c r="D12" i="14"/>
  <c r="G12" i="14"/>
  <c r="D13" i="14"/>
  <c r="G13" i="14"/>
  <c r="D14" i="14"/>
  <c r="G14" i="14" s="1"/>
  <c r="D15" i="14"/>
  <c r="G15" i="14" s="1"/>
  <c r="B16" i="14"/>
  <c r="B9" i="14" s="1"/>
  <c r="C16" i="14"/>
  <c r="C9" i="14" s="1"/>
  <c r="C32" i="14" s="1"/>
  <c r="E16" i="14"/>
  <c r="F16" i="14"/>
  <c r="F9" i="14" s="1"/>
  <c r="F32" i="14" s="1"/>
  <c r="D17" i="14"/>
  <c r="G17" i="14" s="1"/>
  <c r="G16" i="14" s="1"/>
  <c r="D18" i="14"/>
  <c r="G18" i="14"/>
  <c r="D19" i="14"/>
  <c r="G19" i="14"/>
  <c r="B21" i="14"/>
  <c r="C21" i="14"/>
  <c r="D22" i="14"/>
  <c r="G22" i="14"/>
  <c r="D23" i="14"/>
  <c r="G23" i="14" s="1"/>
  <c r="D24" i="14"/>
  <c r="G24" i="14" s="1"/>
  <c r="D25" i="14"/>
  <c r="G25" i="14"/>
  <c r="D26" i="14"/>
  <c r="G26" i="14"/>
  <c r="D27" i="14"/>
  <c r="G27" i="14" s="1"/>
  <c r="B28" i="14"/>
  <c r="C28" i="14"/>
  <c r="E28" i="14"/>
  <c r="E21" i="14" s="1"/>
  <c r="E32" i="14" s="1"/>
  <c r="F28" i="14"/>
  <c r="F21" i="14" s="1"/>
  <c r="D29" i="14"/>
  <c r="D30" i="14"/>
  <c r="G30" i="14" s="1"/>
  <c r="D31" i="14"/>
  <c r="G31" i="14"/>
  <c r="C10" i="13"/>
  <c r="C11" i="13"/>
  <c r="E12" i="13"/>
  <c r="H12" i="13" s="1"/>
  <c r="I12" i="13"/>
  <c r="E13" i="13"/>
  <c r="H13" i="13"/>
  <c r="I13" i="13"/>
  <c r="E14" i="13"/>
  <c r="H14" i="13" s="1"/>
  <c r="D15" i="13"/>
  <c r="E15" i="13" s="1"/>
  <c r="D16" i="13"/>
  <c r="E16" i="13"/>
  <c r="E17" i="13"/>
  <c r="H17" i="13" s="1"/>
  <c r="I17" i="13"/>
  <c r="D18" i="13"/>
  <c r="E18" i="13"/>
  <c r="H18" i="13"/>
  <c r="I18" i="13"/>
  <c r="C20" i="13"/>
  <c r="C19" i="13" s="1"/>
  <c r="D20" i="13"/>
  <c r="E21" i="13"/>
  <c r="I21" i="13" s="1"/>
  <c r="H21" i="13"/>
  <c r="D22" i="13"/>
  <c r="C23" i="13"/>
  <c r="E23" i="13" s="1"/>
  <c r="H23" i="13" s="1"/>
  <c r="D23" i="13"/>
  <c r="I23" i="13"/>
  <c r="E24" i="13"/>
  <c r="H24" i="13" s="1"/>
  <c r="C25" i="13"/>
  <c r="E25" i="13" s="1"/>
  <c r="H25" i="13" s="1"/>
  <c r="D25" i="13"/>
  <c r="I25" i="13"/>
  <c r="D26" i="13"/>
  <c r="E26" i="13" s="1"/>
  <c r="E27" i="13"/>
  <c r="H27" i="13" s="1"/>
  <c r="E28" i="13"/>
  <c r="E29" i="13"/>
  <c r="H29" i="13" s="1"/>
  <c r="I29" i="13"/>
  <c r="C30" i="13"/>
  <c r="D30" i="13"/>
  <c r="E30" i="13"/>
  <c r="E31" i="13"/>
  <c r="H31" i="13" s="1"/>
  <c r="I31" i="13"/>
  <c r="C32" i="13"/>
  <c r="D32" i="13"/>
  <c r="E32" i="13"/>
  <c r="E33" i="13"/>
  <c r="H33" i="13" s="1"/>
  <c r="I33" i="13"/>
  <c r="C35" i="13"/>
  <c r="C34" i="13" s="1"/>
  <c r="E36" i="13"/>
  <c r="D37" i="13"/>
  <c r="D35" i="13" s="1"/>
  <c r="E37" i="13"/>
  <c r="I37" i="13" s="1"/>
  <c r="H37" i="13"/>
  <c r="E38" i="13"/>
  <c r="H38" i="13"/>
  <c r="I38" i="13"/>
  <c r="C39" i="13"/>
  <c r="D40" i="13"/>
  <c r="D39" i="13" s="1"/>
  <c r="E39" i="13" s="1"/>
  <c r="E40" i="13"/>
  <c r="C41" i="13"/>
  <c r="D41" i="13"/>
  <c r="E41" i="13"/>
  <c r="H41" i="13" s="1"/>
  <c r="E42" i="13"/>
  <c r="D43" i="13"/>
  <c r="E43" i="13"/>
  <c r="I43" i="13" s="1"/>
  <c r="H43" i="13"/>
  <c r="E44" i="13"/>
  <c r="H44" i="13"/>
  <c r="I44" i="13"/>
  <c r="C46" i="13"/>
  <c r="C45" i="13" s="1"/>
  <c r="D46" i="13"/>
  <c r="E47" i="13"/>
  <c r="I47" i="13" s="1"/>
  <c r="H47" i="13"/>
  <c r="C48" i="13"/>
  <c r="D48" i="13"/>
  <c r="E48" i="13" s="1"/>
  <c r="E49" i="13"/>
  <c r="I49" i="13" s="1"/>
  <c r="H49" i="13"/>
  <c r="D50" i="13"/>
  <c r="E50" i="13"/>
  <c r="C51" i="13"/>
  <c r="D51" i="13"/>
  <c r="E51" i="13"/>
  <c r="H51" i="13" s="1"/>
  <c r="E52" i="13"/>
  <c r="E53" i="13"/>
  <c r="H53" i="13"/>
  <c r="I53" i="13"/>
  <c r="C54" i="13"/>
  <c r="E54" i="13"/>
  <c r="D55" i="13"/>
  <c r="D54" i="13" s="1"/>
  <c r="E55" i="13"/>
  <c r="I55" i="13" s="1"/>
  <c r="H55" i="13"/>
  <c r="D56" i="13"/>
  <c r="C57" i="13"/>
  <c r="E57" i="13" s="1"/>
  <c r="H57" i="13" s="1"/>
  <c r="D57" i="13"/>
  <c r="I57" i="13"/>
  <c r="E58" i="13"/>
  <c r="H58" i="13" s="1"/>
  <c r="E59" i="13"/>
  <c r="I59" i="13" s="1"/>
  <c r="H59" i="13"/>
  <c r="E60" i="13"/>
  <c r="H60" i="13"/>
  <c r="C63" i="13"/>
  <c r="C62" i="13" s="1"/>
  <c r="D63" i="13"/>
  <c r="E63" i="13"/>
  <c r="H63" i="13" s="1"/>
  <c r="E64" i="13"/>
  <c r="C65" i="13"/>
  <c r="D66" i="13"/>
  <c r="C67" i="13"/>
  <c r="E67" i="13" s="1"/>
  <c r="H67" i="13" s="1"/>
  <c r="D67" i="13"/>
  <c r="I67" i="13"/>
  <c r="E68" i="13"/>
  <c r="H68" i="13" s="1"/>
  <c r="C69" i="13"/>
  <c r="E69" i="13" s="1"/>
  <c r="H69" i="13" s="1"/>
  <c r="D69" i="13"/>
  <c r="E70" i="13"/>
  <c r="H70" i="13" s="1"/>
  <c r="C71" i="13"/>
  <c r="E71" i="13" s="1"/>
  <c r="H71" i="13" s="1"/>
  <c r="D71" i="13"/>
  <c r="I71" i="13"/>
  <c r="D72" i="13"/>
  <c r="E72" i="13" s="1"/>
  <c r="E73" i="13"/>
  <c r="H73" i="13" s="1"/>
  <c r="E74" i="13"/>
  <c r="H74" i="13"/>
  <c r="C75" i="13"/>
  <c r="E75" i="13" s="1"/>
  <c r="H75" i="13" s="1"/>
  <c r="D76" i="13"/>
  <c r="D75" i="13" s="1"/>
  <c r="E76" i="13"/>
  <c r="H76" i="13"/>
  <c r="I76" i="13"/>
  <c r="E77" i="13"/>
  <c r="H77" i="13"/>
  <c r="C79" i="13"/>
  <c r="D80" i="13"/>
  <c r="D79" i="13" s="1"/>
  <c r="D78" i="13" s="1"/>
  <c r="E80" i="13"/>
  <c r="H80" i="13"/>
  <c r="I80" i="13"/>
  <c r="E81" i="13"/>
  <c r="H81" i="13"/>
  <c r="I81" i="13"/>
  <c r="C82" i="13"/>
  <c r="E82" i="13" s="1"/>
  <c r="I82" i="13" s="1"/>
  <c r="D82" i="13"/>
  <c r="H82" i="13"/>
  <c r="E83" i="13"/>
  <c r="H83" i="13"/>
  <c r="I83" i="13"/>
  <c r="C84" i="13"/>
  <c r="C85" i="13"/>
  <c r="D85" i="13"/>
  <c r="D84" i="13" s="1"/>
  <c r="E85" i="13"/>
  <c r="I85" i="13" s="1"/>
  <c r="H85" i="13"/>
  <c r="D86" i="13"/>
  <c r="E86" i="13"/>
  <c r="C88" i="13"/>
  <c r="D88" i="13"/>
  <c r="E89" i="13"/>
  <c r="E90" i="13"/>
  <c r="H90" i="13" s="1"/>
  <c r="E91" i="13"/>
  <c r="H91" i="13"/>
  <c r="E92" i="13"/>
  <c r="H92" i="13"/>
  <c r="E93" i="13"/>
  <c r="H93" i="13" s="1"/>
  <c r="E94" i="13"/>
  <c r="H94" i="13"/>
  <c r="E95" i="13"/>
  <c r="H95" i="13"/>
  <c r="C96" i="13"/>
  <c r="D96" i="13"/>
  <c r="E97" i="13"/>
  <c r="E98" i="13"/>
  <c r="I98" i="13" s="1"/>
  <c r="H98" i="13"/>
  <c r="C99" i="13"/>
  <c r="D99" i="13"/>
  <c r="E99" i="13"/>
  <c r="E100" i="13"/>
  <c r="I100" i="13" s="1"/>
  <c r="H100" i="13"/>
  <c r="E102" i="13"/>
  <c r="H102" i="13"/>
  <c r="E103" i="13"/>
  <c r="H103" i="13" s="1"/>
  <c r="E104" i="13"/>
  <c r="H104" i="13"/>
  <c r="E105" i="13"/>
  <c r="H105" i="13"/>
  <c r="C106" i="13"/>
  <c r="D106" i="13"/>
  <c r="D101" i="13" s="1"/>
  <c r="D107" i="13"/>
  <c r="E107" i="13" s="1"/>
  <c r="C108" i="13"/>
  <c r="E108" i="13" s="1"/>
  <c r="H108" i="13" s="1"/>
  <c r="E109" i="13"/>
  <c r="H109" i="13" s="1"/>
  <c r="C110" i="13"/>
  <c r="D111" i="13"/>
  <c r="D110" i="13" s="1"/>
  <c r="E110" i="13" s="1"/>
  <c r="E111" i="13"/>
  <c r="I111" i="13" s="1"/>
  <c r="C113" i="13"/>
  <c r="D113" i="13"/>
  <c r="D112" i="13" s="1"/>
  <c r="D114" i="13"/>
  <c r="E114" i="13" s="1"/>
  <c r="H114" i="13" s="1"/>
  <c r="I114" i="13"/>
  <c r="E115" i="13"/>
  <c r="D116" i="13"/>
  <c r="C117" i="13"/>
  <c r="D118" i="13"/>
  <c r="D117" i="13" s="1"/>
  <c r="E118" i="13"/>
  <c r="H118" i="13"/>
  <c r="I118" i="13"/>
  <c r="C119" i="13"/>
  <c r="D119" i="13"/>
  <c r="E119" i="13"/>
  <c r="I119" i="13" s="1"/>
  <c r="H119" i="13"/>
  <c r="E120" i="13"/>
  <c r="H120" i="13"/>
  <c r="I120" i="13"/>
  <c r="C122" i="13"/>
  <c r="C121" i="13" s="1"/>
  <c r="D122" i="13"/>
  <c r="E122" i="13"/>
  <c r="E123" i="13"/>
  <c r="I123" i="13" s="1"/>
  <c r="H123" i="13"/>
  <c r="C124" i="13"/>
  <c r="D124" i="13"/>
  <c r="E124" i="13"/>
  <c r="E125" i="13"/>
  <c r="I125" i="13" s="1"/>
  <c r="H125" i="13"/>
  <c r="C126" i="13"/>
  <c r="D126" i="13"/>
  <c r="E126" i="13" s="1"/>
  <c r="E127" i="13"/>
  <c r="I127" i="13" s="1"/>
  <c r="H127" i="13"/>
  <c r="C128" i="13"/>
  <c r="D128" i="13"/>
  <c r="E128" i="13" s="1"/>
  <c r="E129" i="13"/>
  <c r="I129" i="13" s="1"/>
  <c r="H129" i="13"/>
  <c r="C130" i="13"/>
  <c r="D130" i="13"/>
  <c r="E130" i="13"/>
  <c r="D131" i="13"/>
  <c r="E131" i="13"/>
  <c r="C132" i="13"/>
  <c r="D133" i="13"/>
  <c r="E133" i="13" s="1"/>
  <c r="H133" i="13" s="1"/>
  <c r="E134" i="13"/>
  <c r="H134" i="13" s="1"/>
  <c r="C136" i="13"/>
  <c r="D136" i="13"/>
  <c r="C137" i="13"/>
  <c r="D138" i="13"/>
  <c r="D137" i="13" s="1"/>
  <c r="E138" i="13"/>
  <c r="H138" i="13"/>
  <c r="I138" i="13"/>
  <c r="C139" i="13"/>
  <c r="D139" i="13"/>
  <c r="E139" i="13"/>
  <c r="I139" i="13" s="1"/>
  <c r="H139" i="13"/>
  <c r="E140" i="13"/>
  <c r="H140" i="13"/>
  <c r="I140" i="13"/>
  <c r="C141" i="13"/>
  <c r="D141" i="13"/>
  <c r="E141" i="13"/>
  <c r="I141" i="13" s="1"/>
  <c r="H141" i="13"/>
  <c r="E142" i="13"/>
  <c r="H142" i="13"/>
  <c r="I142" i="13"/>
  <c r="C143" i="13"/>
  <c r="E143" i="13"/>
  <c r="D144" i="13"/>
  <c r="D143" i="13" s="1"/>
  <c r="E144" i="13"/>
  <c r="I144" i="13" s="1"/>
  <c r="H144" i="13"/>
  <c r="C145" i="13"/>
  <c r="D145" i="13"/>
  <c r="E145" i="13"/>
  <c r="D146" i="13"/>
  <c r="E146" i="13"/>
  <c r="E147" i="13"/>
  <c r="H147" i="13"/>
  <c r="E148" i="13"/>
  <c r="H148" i="13"/>
  <c r="C149" i="13"/>
  <c r="D149" i="13"/>
  <c r="E150" i="13"/>
  <c r="C151" i="13"/>
  <c r="D151" i="13"/>
  <c r="E152" i="13"/>
  <c r="C154" i="13"/>
  <c r="D154" i="13"/>
  <c r="E155" i="13"/>
  <c r="H155" i="13"/>
  <c r="I155" i="13"/>
  <c r="C156" i="13"/>
  <c r="E156" i="13" s="1"/>
  <c r="H156" i="13" s="1"/>
  <c r="D156" i="13"/>
  <c r="I156" i="13"/>
  <c r="E157" i="13"/>
  <c r="H157" i="13"/>
  <c r="I157" i="13"/>
  <c r="C158" i="13"/>
  <c r="E158" i="13" s="1"/>
  <c r="H158" i="13" s="1"/>
  <c r="D159" i="13"/>
  <c r="D158" i="13" s="1"/>
  <c r="D153" i="13" s="1"/>
  <c r="E159" i="13"/>
  <c r="H159" i="13"/>
  <c r="I159" i="13"/>
  <c r="E160" i="13"/>
  <c r="H160" i="13"/>
  <c r="I160" i="13"/>
  <c r="C161" i="13"/>
  <c r="E161" i="13" s="1"/>
  <c r="D161" i="13"/>
  <c r="H161" i="13"/>
  <c r="I161" i="13"/>
  <c r="E162" i="13"/>
  <c r="H162" i="13"/>
  <c r="I162" i="13"/>
  <c r="C163" i="13"/>
  <c r="E163" i="13" s="1"/>
  <c r="H163" i="13" s="1"/>
  <c r="D163" i="13"/>
  <c r="E164" i="13"/>
  <c r="H164" i="13"/>
  <c r="I164" i="13"/>
  <c r="C165" i="13"/>
  <c r="E165" i="13" s="1"/>
  <c r="I165" i="13" s="1"/>
  <c r="D165" i="13"/>
  <c r="H165" i="13"/>
  <c r="E166" i="13"/>
  <c r="H166" i="13"/>
  <c r="I166" i="13"/>
  <c r="C168" i="13"/>
  <c r="D168" i="13"/>
  <c r="E168" i="13"/>
  <c r="I168" i="13" s="1"/>
  <c r="H168" i="13"/>
  <c r="E169" i="13"/>
  <c r="H169" i="13"/>
  <c r="I169" i="13"/>
  <c r="C170" i="13"/>
  <c r="D170" i="13"/>
  <c r="E170" i="13"/>
  <c r="I170" i="13" s="1"/>
  <c r="H170" i="13"/>
  <c r="E171" i="13"/>
  <c r="H171" i="13"/>
  <c r="I171" i="13"/>
  <c r="C172" i="13"/>
  <c r="D172" i="13"/>
  <c r="E172" i="13"/>
  <c r="I172" i="13" s="1"/>
  <c r="H172" i="13"/>
  <c r="E173" i="13"/>
  <c r="H173" i="13"/>
  <c r="I173" i="13"/>
  <c r="E174" i="13"/>
  <c r="H174" i="13"/>
  <c r="I174" i="13"/>
  <c r="C175" i="13"/>
  <c r="E175" i="13" s="1"/>
  <c r="H175" i="13" s="1"/>
  <c r="D175" i="13"/>
  <c r="I175" i="13"/>
  <c r="E176" i="13"/>
  <c r="H176" i="13"/>
  <c r="I176" i="13"/>
  <c r="C177" i="13"/>
  <c r="E177" i="13" s="1"/>
  <c r="H177" i="13" s="1"/>
  <c r="E178" i="13"/>
  <c r="H178" i="13"/>
  <c r="E179" i="13"/>
  <c r="I179" i="13" s="1"/>
  <c r="H179" i="13"/>
  <c r="D180" i="13"/>
  <c r="D177" i="13" s="1"/>
  <c r="E180" i="13"/>
  <c r="I180" i="13" s="1"/>
  <c r="E181" i="13"/>
  <c r="H181" i="13"/>
  <c r="C182" i="13"/>
  <c r="E182" i="13" s="1"/>
  <c r="D182" i="13"/>
  <c r="E183" i="13"/>
  <c r="H183" i="13"/>
  <c r="I183" i="13"/>
  <c r="C184" i="13"/>
  <c r="E184" i="13" s="1"/>
  <c r="I184" i="13" s="1"/>
  <c r="D184" i="13"/>
  <c r="H184" i="13"/>
  <c r="E185" i="13"/>
  <c r="H185" i="13"/>
  <c r="I185" i="13"/>
  <c r="C186" i="13"/>
  <c r="E186" i="13" s="1"/>
  <c r="H186" i="13"/>
  <c r="I186" i="13"/>
  <c r="C187" i="13"/>
  <c r="D187" i="13"/>
  <c r="D186" i="13" s="1"/>
  <c r="E187" i="13"/>
  <c r="I187" i="13" s="1"/>
  <c r="H187" i="13"/>
  <c r="E188" i="13"/>
  <c r="H188" i="13"/>
  <c r="I188" i="13"/>
  <c r="C189" i="13"/>
  <c r="D189" i="13"/>
  <c r="E189" i="13"/>
  <c r="I189" i="13" s="1"/>
  <c r="H189" i="13"/>
  <c r="D190" i="13"/>
  <c r="E190" i="13"/>
  <c r="I190" i="13" s="1"/>
  <c r="C191" i="13"/>
  <c r="D191" i="13"/>
  <c r="E191" i="13"/>
  <c r="E192" i="13"/>
  <c r="I192" i="13" s="1"/>
  <c r="H192" i="13"/>
  <c r="C193" i="13"/>
  <c r="D193" i="13"/>
  <c r="E193" i="13"/>
  <c r="E194" i="13"/>
  <c r="I194" i="13" s="1"/>
  <c r="H194" i="13"/>
  <c r="C196" i="13"/>
  <c r="D197" i="13"/>
  <c r="E197" i="13" s="1"/>
  <c r="H197" i="13" s="1"/>
  <c r="C198" i="13"/>
  <c r="E198" i="13" s="1"/>
  <c r="H198" i="13" s="1"/>
  <c r="D198" i="13"/>
  <c r="I198" i="13"/>
  <c r="E199" i="13"/>
  <c r="H199" i="13"/>
  <c r="I199" i="13"/>
  <c r="C200" i="13"/>
  <c r="E201" i="13"/>
  <c r="H201" i="13"/>
  <c r="I201" i="13"/>
  <c r="D202" i="13"/>
  <c r="C203" i="13"/>
  <c r="E203" i="13" s="1"/>
  <c r="D203" i="13"/>
  <c r="H203" i="13"/>
  <c r="I203" i="13"/>
  <c r="E204" i="13"/>
  <c r="H204" i="13"/>
  <c r="I204" i="13"/>
  <c r="C205" i="13"/>
  <c r="E205" i="13" s="1"/>
  <c r="H205" i="13" s="1"/>
  <c r="D205" i="13"/>
  <c r="I205" i="13"/>
  <c r="E206" i="13"/>
  <c r="H206" i="13"/>
  <c r="I206" i="13"/>
  <c r="E207" i="13"/>
  <c r="C208" i="13"/>
  <c r="E208" i="13" s="1"/>
  <c r="D208" i="13"/>
  <c r="E209" i="13"/>
  <c r="C210" i="13"/>
  <c r="E210" i="13" s="1"/>
  <c r="D210" i="13"/>
  <c r="D211" i="13"/>
  <c r="E211" i="13" s="1"/>
  <c r="H211" i="13" s="1"/>
  <c r="I211" i="13"/>
  <c r="C212" i="13"/>
  <c r="C213" i="13"/>
  <c r="D214" i="13"/>
  <c r="E214" i="13" s="1"/>
  <c r="I214" i="13" s="1"/>
  <c r="C215" i="13"/>
  <c r="D215" i="13"/>
  <c r="E215" i="13" s="1"/>
  <c r="E216" i="13"/>
  <c r="I216" i="13" s="1"/>
  <c r="H216" i="13"/>
  <c r="C217" i="13"/>
  <c r="D217" i="13"/>
  <c r="E217" i="13" s="1"/>
  <c r="E218" i="13"/>
  <c r="I218" i="13" s="1"/>
  <c r="H218" i="13"/>
  <c r="C219" i="13"/>
  <c r="D219" i="13"/>
  <c r="E219" i="13"/>
  <c r="E220" i="13"/>
  <c r="I220" i="13" s="1"/>
  <c r="H220" i="13"/>
  <c r="C222" i="13"/>
  <c r="D222" i="13"/>
  <c r="E223" i="13"/>
  <c r="H223" i="13" s="1"/>
  <c r="E224" i="13"/>
  <c r="I224" i="13" s="1"/>
  <c r="H224" i="13"/>
  <c r="C225" i="13"/>
  <c r="D226" i="13"/>
  <c r="D225" i="13" s="1"/>
  <c r="C227" i="13"/>
  <c r="D227" i="13"/>
  <c r="E228" i="13"/>
  <c r="E229" i="13"/>
  <c r="I229" i="13" s="1"/>
  <c r="H229" i="13"/>
  <c r="C230" i="13"/>
  <c r="E230" i="13" s="1"/>
  <c r="D230" i="13"/>
  <c r="E231" i="13"/>
  <c r="C232" i="13"/>
  <c r="D232" i="13"/>
  <c r="E232" i="13"/>
  <c r="H232" i="13" s="1"/>
  <c r="E233" i="13"/>
  <c r="I233" i="13" s="1"/>
  <c r="H233" i="13"/>
  <c r="C234" i="13"/>
  <c r="E234" i="13" s="1"/>
  <c r="D234" i="13"/>
  <c r="E235" i="13"/>
  <c r="H235" i="13" s="1"/>
  <c r="C236" i="13"/>
  <c r="E236" i="13" s="1"/>
  <c r="D236" i="13"/>
  <c r="C237" i="13"/>
  <c r="E237" i="13" s="1"/>
  <c r="I237" i="13" s="1"/>
  <c r="D237" i="13"/>
  <c r="D238" i="13"/>
  <c r="E238" i="13"/>
  <c r="H238" i="13"/>
  <c r="I238" i="13"/>
  <c r="E239" i="13"/>
  <c r="H239" i="13"/>
  <c r="E240" i="13"/>
  <c r="H240" i="13" s="1"/>
  <c r="C241" i="13"/>
  <c r="D241" i="13"/>
  <c r="E241" i="13"/>
  <c r="H241" i="13" s="1"/>
  <c r="E242" i="13"/>
  <c r="H242" i="13"/>
  <c r="I242" i="13"/>
  <c r="E243" i="13"/>
  <c r="H243" i="13"/>
  <c r="E244" i="13"/>
  <c r="H244" i="13" s="1"/>
  <c r="C246" i="13"/>
  <c r="C245" i="13" s="1"/>
  <c r="D247" i="13"/>
  <c r="C248" i="13"/>
  <c r="D249" i="13"/>
  <c r="E249" i="13" s="1"/>
  <c r="C250" i="13"/>
  <c r="E250" i="13" s="1"/>
  <c r="I250" i="13" s="1"/>
  <c r="D250" i="13"/>
  <c r="E251" i="13"/>
  <c r="H251" i="13"/>
  <c r="I251" i="13"/>
  <c r="C252" i="13"/>
  <c r="D253" i="13"/>
  <c r="E253" i="13" s="1"/>
  <c r="H253" i="13" s="1"/>
  <c r="E256" i="13"/>
  <c r="H256" i="13" s="1"/>
  <c r="E257" i="13"/>
  <c r="H257" i="13"/>
  <c r="E258" i="13"/>
  <c r="H258" i="13" s="1"/>
  <c r="E259" i="13"/>
  <c r="H259" i="13"/>
  <c r="E260" i="13"/>
  <c r="H260" i="13" s="1"/>
  <c r="D261" i="13"/>
  <c r="D255" i="13" s="1"/>
  <c r="C262" i="13"/>
  <c r="D262" i="13"/>
  <c r="D263" i="13"/>
  <c r="E263" i="13" s="1"/>
  <c r="H263" i="13" s="1"/>
  <c r="I263" i="13"/>
  <c r="E264" i="13"/>
  <c r="H264" i="13" s="1"/>
  <c r="E265" i="13"/>
  <c r="H265" i="13" s="1"/>
  <c r="E266" i="13"/>
  <c r="H266" i="13"/>
  <c r="I266" i="13"/>
  <c r="E267" i="13"/>
  <c r="H267" i="13"/>
  <c r="I267" i="13"/>
  <c r="E268" i="13"/>
  <c r="H268" i="13" s="1"/>
  <c r="E269" i="13"/>
  <c r="E270" i="13"/>
  <c r="H270" i="13"/>
  <c r="I270" i="13"/>
  <c r="E271" i="13"/>
  <c r="H271" i="13"/>
  <c r="I271" i="13"/>
  <c r="E272" i="13"/>
  <c r="H272" i="13" s="1"/>
  <c r="C274" i="13"/>
  <c r="C275" i="13"/>
  <c r="E275" i="13" s="1"/>
  <c r="H275" i="13" s="1"/>
  <c r="D275" i="13"/>
  <c r="E276" i="13"/>
  <c r="H276" i="13" s="1"/>
  <c r="E277" i="13"/>
  <c r="H277" i="13"/>
  <c r="I277" i="13"/>
  <c r="E278" i="13"/>
  <c r="H278" i="13"/>
  <c r="I278" i="13"/>
  <c r="C279" i="13"/>
  <c r="D280" i="13"/>
  <c r="D279" i="13" s="1"/>
  <c r="D274" i="13" s="1"/>
  <c r="E280" i="13"/>
  <c r="H280" i="13"/>
  <c r="I280" i="13"/>
  <c r="C281" i="13"/>
  <c r="D282" i="13"/>
  <c r="D281" i="13" s="1"/>
  <c r="E281" i="13" s="1"/>
  <c r="E282" i="13"/>
  <c r="E283" i="13"/>
  <c r="H283" i="13"/>
  <c r="E284" i="13"/>
  <c r="H284" i="13" s="1"/>
  <c r="E285" i="13"/>
  <c r="H285" i="13"/>
  <c r="E286" i="13"/>
  <c r="H286" i="13" s="1"/>
  <c r="E287" i="13"/>
  <c r="H287" i="13"/>
  <c r="E288" i="13"/>
  <c r="H288" i="13" s="1"/>
  <c r="E289" i="13"/>
  <c r="H289" i="13"/>
  <c r="E290" i="13"/>
  <c r="H290" i="13" s="1"/>
  <c r="C292" i="13"/>
  <c r="C291" i="13" s="1"/>
  <c r="D292" i="13"/>
  <c r="E293" i="13"/>
  <c r="H293" i="13"/>
  <c r="E294" i="13"/>
  <c r="H294" i="13" s="1"/>
  <c r="E295" i="13"/>
  <c r="H295" i="13"/>
  <c r="C297" i="13"/>
  <c r="D297" i="13"/>
  <c r="E297" i="13"/>
  <c r="E298" i="13"/>
  <c r="H298" i="13"/>
  <c r="I298" i="13"/>
  <c r="E299" i="13"/>
  <c r="H299" i="13"/>
  <c r="I299" i="13"/>
  <c r="C300" i="13"/>
  <c r="C296" i="13" s="1"/>
  <c r="D301" i="13"/>
  <c r="D300" i="13" s="1"/>
  <c r="E301" i="13"/>
  <c r="H301" i="13"/>
  <c r="I301" i="13"/>
  <c r="C302" i="13"/>
  <c r="D302" i="13"/>
  <c r="E302" i="13"/>
  <c r="H302" i="13" s="1"/>
  <c r="E303" i="13"/>
  <c r="H303" i="13"/>
  <c r="I303" i="13"/>
  <c r="E304" i="13"/>
  <c r="H304" i="13"/>
  <c r="E305" i="13"/>
  <c r="H305" i="13" s="1"/>
  <c r="E306" i="13"/>
  <c r="H306" i="13"/>
  <c r="E307" i="13"/>
  <c r="H307" i="13" s="1"/>
  <c r="E308" i="13"/>
  <c r="H308" i="13"/>
  <c r="E309" i="13"/>
  <c r="H309" i="13" s="1"/>
  <c r="E310" i="13"/>
  <c r="H310" i="13"/>
  <c r="E311" i="13"/>
  <c r="H311" i="13" s="1"/>
  <c r="E312" i="13"/>
  <c r="H312" i="13"/>
  <c r="E313" i="13"/>
  <c r="H313" i="13" s="1"/>
  <c r="E314" i="13"/>
  <c r="H314" i="13"/>
  <c r="E315" i="13"/>
  <c r="H315" i="13" s="1"/>
  <c r="E316" i="13"/>
  <c r="H316" i="13"/>
  <c r="E317" i="13"/>
  <c r="H317" i="13" s="1"/>
  <c r="C320" i="13"/>
  <c r="C321" i="13"/>
  <c r="E321" i="13" s="1"/>
  <c r="I321" i="13" s="1"/>
  <c r="D321" i="13"/>
  <c r="E322" i="13"/>
  <c r="H322" i="13"/>
  <c r="I322" i="13"/>
  <c r="E323" i="13"/>
  <c r="H323" i="13" s="1"/>
  <c r="E324" i="13"/>
  <c r="H324" i="13"/>
  <c r="I324" i="13"/>
  <c r="E325" i="13"/>
  <c r="H325" i="13"/>
  <c r="C326" i="13"/>
  <c r="E327" i="13"/>
  <c r="H327" i="13" s="1"/>
  <c r="E328" i="13"/>
  <c r="H328" i="13"/>
  <c r="I328" i="13"/>
  <c r="E329" i="13"/>
  <c r="H329" i="13"/>
  <c r="I329" i="13"/>
  <c r="D330" i="13"/>
  <c r="E330" i="13" s="1"/>
  <c r="E331" i="13"/>
  <c r="H331" i="13" s="1"/>
  <c r="E332" i="13"/>
  <c r="H332" i="13" s="1"/>
  <c r="E333" i="13"/>
  <c r="H333" i="13"/>
  <c r="I333" i="13"/>
  <c r="D334" i="13"/>
  <c r="E334" i="13" s="1"/>
  <c r="H334" i="13" s="1"/>
  <c r="E335" i="13"/>
  <c r="H335" i="13" s="1"/>
  <c r="E336" i="13"/>
  <c r="H336" i="13"/>
  <c r="E337" i="13"/>
  <c r="H337" i="13" s="1"/>
  <c r="E338" i="13"/>
  <c r="H338" i="13"/>
  <c r="E339" i="13"/>
  <c r="H339" i="13" s="1"/>
  <c r="C341" i="13"/>
  <c r="C342" i="13"/>
  <c r="E342" i="13" s="1"/>
  <c r="I342" i="13" s="1"/>
  <c r="D342" i="13"/>
  <c r="E343" i="13"/>
  <c r="H343" i="13"/>
  <c r="I343" i="13"/>
  <c r="E344" i="13"/>
  <c r="H344" i="13" s="1"/>
  <c r="E345" i="13"/>
  <c r="H345" i="13"/>
  <c r="E346" i="13"/>
  <c r="H346" i="13" s="1"/>
  <c r="C347" i="13"/>
  <c r="D347" i="13"/>
  <c r="D341" i="13" s="1"/>
  <c r="D340" i="13" s="1"/>
  <c r="E348" i="13"/>
  <c r="E349" i="13"/>
  <c r="H349" i="13" s="1"/>
  <c r="E350" i="13"/>
  <c r="H350" i="13"/>
  <c r="I350" i="13"/>
  <c r="E351" i="13"/>
  <c r="H351" i="13"/>
  <c r="E352" i="13"/>
  <c r="H352" i="13" s="1"/>
  <c r="E353" i="13"/>
  <c r="H353" i="13"/>
  <c r="I353" i="13"/>
  <c r="E354" i="13"/>
  <c r="H354" i="13" s="1"/>
  <c r="E355" i="13"/>
  <c r="H355" i="13"/>
  <c r="C358" i="13"/>
  <c r="C357" i="13" s="1"/>
  <c r="C356" i="13" s="1"/>
  <c r="D358" i="13"/>
  <c r="E358" i="13" s="1"/>
  <c r="E359" i="13"/>
  <c r="E360" i="13"/>
  <c r="H360" i="13"/>
  <c r="C363" i="13"/>
  <c r="C362" i="13" s="1"/>
  <c r="D363" i="13"/>
  <c r="E364" i="13"/>
  <c r="H364" i="13" s="1"/>
  <c r="E365" i="13"/>
  <c r="H365" i="13"/>
  <c r="I365" i="13"/>
  <c r="C366" i="13"/>
  <c r="C367" i="13"/>
  <c r="D367" i="13"/>
  <c r="D366" i="13" s="1"/>
  <c r="E367" i="13"/>
  <c r="E368" i="13"/>
  <c r="H368" i="13"/>
  <c r="E369" i="13"/>
  <c r="H369" i="13" s="1"/>
  <c r="C370" i="13"/>
  <c r="E370" i="13" s="1"/>
  <c r="C371" i="13"/>
  <c r="D372" i="13"/>
  <c r="E372" i="13"/>
  <c r="H372" i="13"/>
  <c r="I372" i="13"/>
  <c r="D373" i="13"/>
  <c r="D371" i="13" s="1"/>
  <c r="D370" i="13" s="1"/>
  <c r="E373" i="13"/>
  <c r="H373" i="13"/>
  <c r="I373" i="13"/>
  <c r="E374" i="13"/>
  <c r="H374" i="13"/>
  <c r="F375" i="13"/>
  <c r="G375" i="13"/>
  <c r="A2" i="12"/>
  <c r="A5" i="12"/>
  <c r="C11" i="12"/>
  <c r="D11" i="12"/>
  <c r="F11" i="12"/>
  <c r="F10" i="12" s="1"/>
  <c r="G11" i="12"/>
  <c r="E12" i="12"/>
  <c r="E13" i="12"/>
  <c r="H13" i="12"/>
  <c r="E14" i="12"/>
  <c r="H14" i="12" s="1"/>
  <c r="E15" i="12"/>
  <c r="H15" i="12"/>
  <c r="E16" i="12"/>
  <c r="H16" i="12" s="1"/>
  <c r="E17" i="12"/>
  <c r="H17" i="12"/>
  <c r="E18" i="12"/>
  <c r="H18" i="12" s="1"/>
  <c r="E19" i="12"/>
  <c r="H19" i="12"/>
  <c r="C21" i="12"/>
  <c r="C10" i="12" s="1"/>
  <c r="C83" i="12" s="1"/>
  <c r="I83" i="12" s="1"/>
  <c r="D21" i="12"/>
  <c r="D10" i="12" s="1"/>
  <c r="F21" i="12"/>
  <c r="G21" i="12"/>
  <c r="E22" i="12"/>
  <c r="H22" i="12"/>
  <c r="E23" i="12"/>
  <c r="E24" i="12"/>
  <c r="H24" i="12"/>
  <c r="E25" i="12"/>
  <c r="H25" i="12" s="1"/>
  <c r="E26" i="12"/>
  <c r="H26" i="12"/>
  <c r="E27" i="12"/>
  <c r="H27" i="12" s="1"/>
  <c r="E28" i="12"/>
  <c r="H28" i="12"/>
  <c r="C30" i="12"/>
  <c r="D30" i="12"/>
  <c r="F30" i="12"/>
  <c r="G30" i="12"/>
  <c r="G10" i="12" s="1"/>
  <c r="G83" i="12" s="1"/>
  <c r="E31" i="12"/>
  <c r="H31" i="12"/>
  <c r="E32" i="12"/>
  <c r="H32" i="12" s="1"/>
  <c r="E33" i="12"/>
  <c r="H33" i="12"/>
  <c r="E34" i="12"/>
  <c r="H34" i="12" s="1"/>
  <c r="E35" i="12"/>
  <c r="H35" i="12"/>
  <c r="E36" i="12"/>
  <c r="H36" i="12" s="1"/>
  <c r="E37" i="12"/>
  <c r="H37" i="12"/>
  <c r="E38" i="12"/>
  <c r="H38" i="12" s="1"/>
  <c r="E39" i="12"/>
  <c r="H39" i="12"/>
  <c r="C41" i="12"/>
  <c r="D41" i="12"/>
  <c r="F41" i="12"/>
  <c r="G41" i="12"/>
  <c r="E42" i="12"/>
  <c r="H42" i="12"/>
  <c r="E43" i="12"/>
  <c r="H43" i="12" s="1"/>
  <c r="E44" i="12"/>
  <c r="H44" i="12"/>
  <c r="E45" i="12"/>
  <c r="H45" i="12" s="1"/>
  <c r="C48" i="12"/>
  <c r="C47" i="12" s="1"/>
  <c r="D48" i="12"/>
  <c r="D47" i="12" s="1"/>
  <c r="F48" i="12"/>
  <c r="G48" i="12"/>
  <c r="G47" i="12" s="1"/>
  <c r="E49" i="12"/>
  <c r="H49" i="12"/>
  <c r="E50" i="12"/>
  <c r="E51" i="12"/>
  <c r="H51" i="12"/>
  <c r="E52" i="12"/>
  <c r="H52" i="12" s="1"/>
  <c r="E53" i="12"/>
  <c r="H53" i="12"/>
  <c r="E54" i="12"/>
  <c r="H54" i="12" s="1"/>
  <c r="E55" i="12"/>
  <c r="H55" i="12"/>
  <c r="E56" i="12"/>
  <c r="H56" i="12" s="1"/>
  <c r="C58" i="12"/>
  <c r="D58" i="12"/>
  <c r="F58" i="12"/>
  <c r="F47" i="12" s="1"/>
  <c r="G58" i="12"/>
  <c r="E59" i="12"/>
  <c r="H59" i="12" s="1"/>
  <c r="E60" i="12"/>
  <c r="H60" i="12"/>
  <c r="E61" i="12"/>
  <c r="H61" i="12" s="1"/>
  <c r="E62" i="12"/>
  <c r="H62" i="12"/>
  <c r="E63" i="12"/>
  <c r="H63" i="12" s="1"/>
  <c r="E64" i="12"/>
  <c r="H64" i="12"/>
  <c r="E65" i="12"/>
  <c r="H65" i="12" s="1"/>
  <c r="C66" i="12"/>
  <c r="D66" i="12"/>
  <c r="F66" i="12"/>
  <c r="G66" i="12"/>
  <c r="E67" i="12"/>
  <c r="H68" i="12"/>
  <c r="E69" i="12"/>
  <c r="H69" i="12"/>
  <c r="E70" i="12"/>
  <c r="H70" i="12" s="1"/>
  <c r="E71" i="12"/>
  <c r="H71" i="12"/>
  <c r="E72" i="12"/>
  <c r="H72" i="12" s="1"/>
  <c r="E73" i="12"/>
  <c r="H73" i="12"/>
  <c r="E74" i="12"/>
  <c r="H74" i="12" s="1"/>
  <c r="E75" i="12"/>
  <c r="H75" i="12"/>
  <c r="C77" i="12"/>
  <c r="D77" i="12"/>
  <c r="F77" i="12"/>
  <c r="G77" i="12"/>
  <c r="E78" i="12"/>
  <c r="H78" i="12"/>
  <c r="H77" i="12" s="1"/>
  <c r="E79" i="12"/>
  <c r="H79" i="12" s="1"/>
  <c r="E80" i="12"/>
  <c r="H80" i="12"/>
  <c r="E81" i="12"/>
  <c r="H81" i="12" s="1"/>
  <c r="D83" i="12"/>
  <c r="A4" i="11"/>
  <c r="A5" i="11"/>
  <c r="B10" i="11"/>
  <c r="B45" i="11" s="1"/>
  <c r="C10" i="11"/>
  <c r="C45" i="11" s="1"/>
  <c r="E10" i="11"/>
  <c r="F10" i="11"/>
  <c r="D11" i="11"/>
  <c r="G11" i="11"/>
  <c r="D12" i="11"/>
  <c r="G12" i="11" s="1"/>
  <c r="D13" i="11"/>
  <c r="G13" i="11"/>
  <c r="D14" i="11"/>
  <c r="G14" i="11" s="1"/>
  <c r="D15" i="11"/>
  <c r="G15" i="11"/>
  <c r="D16" i="11"/>
  <c r="G16" i="11" s="1"/>
  <c r="D17" i="11"/>
  <c r="G17" i="11"/>
  <c r="D18" i="11"/>
  <c r="G18" i="11" s="1"/>
  <c r="D19" i="11"/>
  <c r="G19" i="11"/>
  <c r="B20" i="11"/>
  <c r="D20" i="11" s="1"/>
  <c r="G20" i="11" s="1"/>
  <c r="C20" i="11"/>
  <c r="E20" i="11"/>
  <c r="F20" i="11"/>
  <c r="D21" i="11"/>
  <c r="G21" i="11"/>
  <c r="D22" i="11"/>
  <c r="G22" i="11" s="1"/>
  <c r="D23" i="11"/>
  <c r="G23" i="11"/>
  <c r="D24" i="11"/>
  <c r="G24" i="11" s="1"/>
  <c r="D25" i="11"/>
  <c r="G25" i="11"/>
  <c r="D26" i="11"/>
  <c r="G26" i="11" s="1"/>
  <c r="D27" i="11"/>
  <c r="G27" i="11"/>
  <c r="D28" i="11"/>
  <c r="G28" i="11"/>
  <c r="B29" i="11"/>
  <c r="C29" i="11"/>
  <c r="D29" i="11"/>
  <c r="G29" i="11" s="1"/>
  <c r="E29" i="11"/>
  <c r="F29" i="11"/>
  <c r="D30" i="11"/>
  <c r="G30" i="11" s="1"/>
  <c r="D31" i="11"/>
  <c r="G31" i="11"/>
  <c r="D32" i="11"/>
  <c r="G32" i="11" s="1"/>
  <c r="D33" i="11"/>
  <c r="G33" i="11"/>
  <c r="D34" i="11"/>
  <c r="G34" i="11" s="1"/>
  <c r="D35" i="11"/>
  <c r="G35" i="11"/>
  <c r="D36" i="11"/>
  <c r="G36" i="11" s="1"/>
  <c r="D37" i="11"/>
  <c r="G37" i="11"/>
  <c r="D38" i="11"/>
  <c r="G38" i="11" s="1"/>
  <c r="D39" i="11"/>
  <c r="G39" i="11"/>
  <c r="B40" i="11"/>
  <c r="D40" i="11" s="1"/>
  <c r="G40" i="11" s="1"/>
  <c r="C40" i="11"/>
  <c r="E40" i="11"/>
  <c r="F40" i="11"/>
  <c r="D41" i="11"/>
  <c r="G41" i="11"/>
  <c r="D42" i="11"/>
  <c r="G42" i="11" s="1"/>
  <c r="D43" i="11"/>
  <c r="G43" i="11"/>
  <c r="D44" i="11"/>
  <c r="G44" i="11" s="1"/>
  <c r="E45" i="11"/>
  <c r="H47" i="11" s="1"/>
  <c r="A4" i="10"/>
  <c r="A5" i="10"/>
  <c r="D10" i="10"/>
  <c r="G10" i="10"/>
  <c r="D11" i="10"/>
  <c r="G11" i="10"/>
  <c r="D12" i="10"/>
  <c r="G12" i="10"/>
  <c r="D13" i="10"/>
  <c r="G13" i="10"/>
  <c r="D14" i="10"/>
  <c r="G14" i="10"/>
  <c r="D15" i="10"/>
  <c r="G15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B23" i="10"/>
  <c r="D23" i="10" s="1"/>
  <c r="C23" i="10"/>
  <c r="E23" i="10"/>
  <c r="H26" i="10" s="1"/>
  <c r="F23" i="10"/>
  <c r="A4" i="9"/>
  <c r="A5" i="9"/>
  <c r="D10" i="9"/>
  <c r="G10" i="9"/>
  <c r="D11" i="9"/>
  <c r="G11" i="9" s="1"/>
  <c r="D12" i="9"/>
  <c r="G12" i="9"/>
  <c r="D13" i="9"/>
  <c r="G13" i="9" s="1"/>
  <c r="B15" i="9"/>
  <c r="C15" i="9"/>
  <c r="E15" i="9"/>
  <c r="F15" i="9"/>
  <c r="H21" i="9"/>
  <c r="A2" i="8"/>
  <c r="A5" i="8"/>
  <c r="C10" i="8"/>
  <c r="E10" i="8"/>
  <c r="F10" i="8"/>
  <c r="D11" i="8"/>
  <c r="G11" i="8" s="1"/>
  <c r="D12" i="8"/>
  <c r="G12" i="8"/>
  <c r="D13" i="8"/>
  <c r="D10" i="8" s="1"/>
  <c r="D31" i="8" s="1"/>
  <c r="B14" i="8"/>
  <c r="B10" i="8" s="1"/>
  <c r="D14" i="8"/>
  <c r="G14" i="8"/>
  <c r="D15" i="8"/>
  <c r="G15" i="8"/>
  <c r="D16" i="8"/>
  <c r="G16" i="8" s="1"/>
  <c r="D17" i="8"/>
  <c r="G17" i="8"/>
  <c r="D18" i="8"/>
  <c r="G18" i="8"/>
  <c r="D19" i="8"/>
  <c r="G19" i="8"/>
  <c r="B21" i="8"/>
  <c r="C21" i="8"/>
  <c r="E21" i="8"/>
  <c r="E31" i="8" s="1"/>
  <c r="F21" i="8"/>
  <c r="F31" i="8" s="1"/>
  <c r="C22" i="8"/>
  <c r="D22" i="8"/>
  <c r="D21" i="8" s="1"/>
  <c r="G22" i="8"/>
  <c r="G21" i="8" s="1"/>
  <c r="D23" i="8"/>
  <c r="G23" i="8" s="1"/>
  <c r="D24" i="8"/>
  <c r="G24" i="8"/>
  <c r="D25" i="8"/>
  <c r="G25" i="8" s="1"/>
  <c r="D26" i="8"/>
  <c r="G26" i="8"/>
  <c r="D27" i="8"/>
  <c r="G27" i="8" s="1"/>
  <c r="D28" i="8"/>
  <c r="G28" i="8"/>
  <c r="D29" i="8"/>
  <c r="G29" i="8" s="1"/>
  <c r="C31" i="8"/>
  <c r="H32" i="8" s="1"/>
  <c r="A4" i="7"/>
  <c r="A5" i="7"/>
  <c r="D9" i="7"/>
  <c r="G9" i="7"/>
  <c r="B10" i="7"/>
  <c r="D10" i="7" s="1"/>
  <c r="C10" i="7"/>
  <c r="E10" i="7"/>
  <c r="C11" i="7"/>
  <c r="D11" i="7"/>
  <c r="E11" i="7"/>
  <c r="G11" i="7"/>
  <c r="B12" i="7"/>
  <c r="D12" i="7"/>
  <c r="E12" i="7"/>
  <c r="G12" i="7" s="1"/>
  <c r="B13" i="7"/>
  <c r="C13" i="7"/>
  <c r="D13" i="7"/>
  <c r="G13" i="7" s="1"/>
  <c r="E13" i="7"/>
  <c r="D14" i="7"/>
  <c r="G14" i="7"/>
  <c r="C15" i="7"/>
  <c r="D15" i="7" s="1"/>
  <c r="G15" i="7" s="1"/>
  <c r="D16" i="7"/>
  <c r="G16" i="7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D31" i="7"/>
  <c r="G31" i="7"/>
  <c r="B32" i="7"/>
  <c r="C32" i="7"/>
  <c r="F32" i="7"/>
  <c r="A4" i="6"/>
  <c r="A5" i="6"/>
  <c r="D9" i="6"/>
  <c r="G9" i="6"/>
  <c r="D10" i="6"/>
  <c r="G10" i="6"/>
  <c r="D11" i="6"/>
  <c r="G11" i="6" s="1"/>
  <c r="D12" i="6"/>
  <c r="G12" i="6"/>
  <c r="D13" i="6"/>
  <c r="G13" i="6"/>
  <c r="B15" i="6"/>
  <c r="C15" i="6"/>
  <c r="D15" i="6"/>
  <c r="E15" i="6"/>
  <c r="F15" i="6"/>
  <c r="A2" i="5"/>
  <c r="C11" i="5"/>
  <c r="D11" i="5"/>
  <c r="F11" i="5"/>
  <c r="G11" i="5"/>
  <c r="E12" i="5"/>
  <c r="H12" i="5"/>
  <c r="E13" i="5"/>
  <c r="H13" i="5"/>
  <c r="E14" i="5"/>
  <c r="E11" i="5" s="1"/>
  <c r="E15" i="5"/>
  <c r="H15" i="5" s="1"/>
  <c r="E16" i="5"/>
  <c r="H16" i="5"/>
  <c r="E17" i="5"/>
  <c r="H17" i="5"/>
  <c r="E18" i="5"/>
  <c r="H18" i="5" s="1"/>
  <c r="C19" i="5"/>
  <c r="D19" i="5"/>
  <c r="F19" i="5"/>
  <c r="G19" i="5"/>
  <c r="E20" i="5"/>
  <c r="E19" i="5" s="1"/>
  <c r="E21" i="5"/>
  <c r="H21" i="5" s="1"/>
  <c r="E22" i="5"/>
  <c r="H22" i="5"/>
  <c r="E23" i="5"/>
  <c r="H23" i="5"/>
  <c r="E24" i="5"/>
  <c r="H24" i="5"/>
  <c r="E25" i="5"/>
  <c r="H25" i="5" s="1"/>
  <c r="E26" i="5"/>
  <c r="H26" i="5" s="1"/>
  <c r="E27" i="5"/>
  <c r="H27" i="5"/>
  <c r="E28" i="5"/>
  <c r="H28" i="5" s="1"/>
  <c r="C29" i="5"/>
  <c r="D29" i="5"/>
  <c r="F29" i="5"/>
  <c r="G29" i="5"/>
  <c r="E30" i="5"/>
  <c r="H30" i="5"/>
  <c r="E31" i="5"/>
  <c r="H31" i="5" s="1"/>
  <c r="E32" i="5"/>
  <c r="H32" i="5" s="1"/>
  <c r="E33" i="5"/>
  <c r="H33" i="5"/>
  <c r="E34" i="5"/>
  <c r="H34" i="5" s="1"/>
  <c r="E35" i="5"/>
  <c r="H35" i="5" s="1"/>
  <c r="E36" i="5"/>
  <c r="H36" i="5"/>
  <c r="E37" i="5"/>
  <c r="H37" i="5"/>
  <c r="E38" i="5"/>
  <c r="H38" i="5"/>
  <c r="C39" i="5"/>
  <c r="D39" i="5"/>
  <c r="F39" i="5"/>
  <c r="G39" i="5"/>
  <c r="E40" i="5"/>
  <c r="H40" i="5" s="1"/>
  <c r="E41" i="5"/>
  <c r="H41" i="5" s="1"/>
  <c r="E42" i="5"/>
  <c r="H42" i="5"/>
  <c r="E43" i="5"/>
  <c r="H43" i="5"/>
  <c r="E44" i="5"/>
  <c r="E39" i="5" s="1"/>
  <c r="E45" i="5"/>
  <c r="H45" i="5" s="1"/>
  <c r="E46" i="5"/>
  <c r="H46" i="5" s="1"/>
  <c r="E47" i="5"/>
  <c r="H47" i="5"/>
  <c r="E48" i="5"/>
  <c r="H48" i="5" s="1"/>
  <c r="C49" i="5"/>
  <c r="D49" i="5"/>
  <c r="E49" i="5"/>
  <c r="F49" i="5"/>
  <c r="G49" i="5"/>
  <c r="E50" i="5"/>
  <c r="H50" i="5"/>
  <c r="E51" i="5"/>
  <c r="H51" i="5" s="1"/>
  <c r="E52" i="5"/>
  <c r="H52" i="5" s="1"/>
  <c r="E53" i="5"/>
  <c r="H53" i="5"/>
  <c r="E54" i="5"/>
  <c r="H54" i="5" s="1"/>
  <c r="E55" i="5"/>
  <c r="H55" i="5" s="1"/>
  <c r="E56" i="5"/>
  <c r="H56" i="5" s="1"/>
  <c r="E57" i="5"/>
  <c r="H57" i="5"/>
  <c r="E58" i="5"/>
  <c r="H58" i="5"/>
  <c r="C59" i="5"/>
  <c r="D59" i="5"/>
  <c r="F59" i="5"/>
  <c r="G59" i="5"/>
  <c r="E60" i="5"/>
  <c r="H60" i="5" s="1"/>
  <c r="H59" i="5" s="1"/>
  <c r="E61" i="5"/>
  <c r="H61" i="5" s="1"/>
  <c r="E62" i="5"/>
  <c r="H62" i="5"/>
  <c r="C63" i="5"/>
  <c r="D63" i="5"/>
  <c r="F63" i="5"/>
  <c r="G63" i="5"/>
  <c r="E64" i="5"/>
  <c r="H64" i="5" s="1"/>
  <c r="H63" i="5" s="1"/>
  <c r="E65" i="5"/>
  <c r="H65" i="5"/>
  <c r="E66" i="5"/>
  <c r="H66" i="5" s="1"/>
  <c r="E67" i="5"/>
  <c r="H67" i="5" s="1"/>
  <c r="E68" i="5"/>
  <c r="H68" i="5"/>
  <c r="E69" i="5"/>
  <c r="H69" i="5"/>
  <c r="E70" i="5"/>
  <c r="H70" i="5" s="1"/>
  <c r="E71" i="5"/>
  <c r="H71" i="5" s="1"/>
  <c r="C72" i="5"/>
  <c r="C10" i="5" s="1"/>
  <c r="D72" i="5"/>
  <c r="F72" i="5"/>
  <c r="G72" i="5"/>
  <c r="E73" i="5"/>
  <c r="H73" i="5" s="1"/>
  <c r="E74" i="5"/>
  <c r="H74" i="5" s="1"/>
  <c r="H72" i="5" s="1"/>
  <c r="E75" i="5"/>
  <c r="H75" i="5"/>
  <c r="C76" i="5"/>
  <c r="D76" i="5"/>
  <c r="D10" i="5" s="1"/>
  <c r="D159" i="5" s="1"/>
  <c r="I156" i="5" s="1"/>
  <c r="F76" i="5"/>
  <c r="G76" i="5"/>
  <c r="E77" i="5"/>
  <c r="H77" i="5"/>
  <c r="E78" i="5"/>
  <c r="H78" i="5"/>
  <c r="E79" i="5"/>
  <c r="H79" i="5" s="1"/>
  <c r="E80" i="5"/>
  <c r="H80" i="5" s="1"/>
  <c r="E81" i="5"/>
  <c r="H81" i="5"/>
  <c r="E82" i="5"/>
  <c r="H82" i="5" s="1"/>
  <c r="E83" i="5"/>
  <c r="H83" i="5" s="1"/>
  <c r="C85" i="5"/>
  <c r="D85" i="5"/>
  <c r="F85" i="5"/>
  <c r="G85" i="5"/>
  <c r="E86" i="5"/>
  <c r="E85" i="5" s="1"/>
  <c r="E87" i="5"/>
  <c r="H87" i="5" s="1"/>
  <c r="E88" i="5"/>
  <c r="H88" i="5"/>
  <c r="E89" i="5"/>
  <c r="H89" i="5"/>
  <c r="E90" i="5"/>
  <c r="H90" i="5"/>
  <c r="E91" i="5"/>
  <c r="H91" i="5" s="1"/>
  <c r="E92" i="5"/>
  <c r="H92" i="5" s="1"/>
  <c r="C93" i="5"/>
  <c r="D93" i="5"/>
  <c r="F93" i="5"/>
  <c r="G93" i="5"/>
  <c r="E94" i="5"/>
  <c r="H94" i="5" s="1"/>
  <c r="E95" i="5"/>
  <c r="H95" i="5" s="1"/>
  <c r="E96" i="5"/>
  <c r="H96" i="5" s="1"/>
  <c r="E97" i="5"/>
  <c r="H97" i="5" s="1"/>
  <c r="E98" i="5"/>
  <c r="H98" i="5"/>
  <c r="E99" i="5"/>
  <c r="H99" i="5" s="1"/>
  <c r="E100" i="5"/>
  <c r="H100" i="5"/>
  <c r="E101" i="5"/>
  <c r="H101" i="5" s="1"/>
  <c r="E102" i="5"/>
  <c r="H102" i="5"/>
  <c r="C103" i="5"/>
  <c r="D103" i="5"/>
  <c r="F103" i="5"/>
  <c r="G103" i="5"/>
  <c r="E104" i="5"/>
  <c r="H104" i="5" s="1"/>
  <c r="E105" i="5"/>
  <c r="H105" i="5" s="1"/>
  <c r="E106" i="5"/>
  <c r="H106" i="5"/>
  <c r="E107" i="5"/>
  <c r="H107" i="5" s="1"/>
  <c r="E108" i="5"/>
  <c r="H108" i="5" s="1"/>
  <c r="E109" i="5"/>
  <c r="H109" i="5" s="1"/>
  <c r="E110" i="5"/>
  <c r="H110" i="5"/>
  <c r="E111" i="5"/>
  <c r="H111" i="5" s="1"/>
  <c r="E112" i="5"/>
  <c r="H112" i="5" s="1"/>
  <c r="C113" i="5"/>
  <c r="D113" i="5"/>
  <c r="E113" i="5"/>
  <c r="F113" i="5"/>
  <c r="G113" i="5"/>
  <c r="E114" i="5"/>
  <c r="H114" i="5"/>
  <c r="E115" i="5"/>
  <c r="H115" i="5" s="1"/>
  <c r="E116" i="5"/>
  <c r="H116" i="5"/>
  <c r="E117" i="5"/>
  <c r="H117" i="5" s="1"/>
  <c r="E118" i="5"/>
  <c r="H118" i="5"/>
  <c r="E119" i="5"/>
  <c r="H119" i="5" s="1"/>
  <c r="E120" i="5"/>
  <c r="H120" i="5" s="1"/>
  <c r="E121" i="5"/>
  <c r="H121" i="5" s="1"/>
  <c r="E122" i="5"/>
  <c r="H122" i="5"/>
  <c r="C123" i="5"/>
  <c r="D123" i="5"/>
  <c r="F123" i="5"/>
  <c r="G123" i="5"/>
  <c r="E124" i="5"/>
  <c r="H124" i="5"/>
  <c r="E125" i="5"/>
  <c r="H125" i="5" s="1"/>
  <c r="E126" i="5"/>
  <c r="H126" i="5"/>
  <c r="E127" i="5"/>
  <c r="H127" i="5" s="1"/>
  <c r="E128" i="5"/>
  <c r="H128" i="5" s="1"/>
  <c r="E129" i="5"/>
  <c r="H129" i="5" s="1"/>
  <c r="E130" i="5"/>
  <c r="H130" i="5"/>
  <c r="E131" i="5"/>
  <c r="H131" i="5" s="1"/>
  <c r="E132" i="5"/>
  <c r="H132" i="5" s="1"/>
  <c r="C133" i="5"/>
  <c r="C84" i="5" s="1"/>
  <c r="D133" i="5"/>
  <c r="F133" i="5"/>
  <c r="G133" i="5"/>
  <c r="G84" i="5" s="1"/>
  <c r="E134" i="5"/>
  <c r="H134" i="5" s="1"/>
  <c r="H133" i="5" s="1"/>
  <c r="E135" i="5"/>
  <c r="H135" i="5" s="1"/>
  <c r="E136" i="5"/>
  <c r="H136" i="5" s="1"/>
  <c r="C137" i="5"/>
  <c r="D137" i="5"/>
  <c r="D84" i="5" s="1"/>
  <c r="F137" i="5"/>
  <c r="G137" i="5"/>
  <c r="E138" i="5"/>
  <c r="E137" i="5" s="1"/>
  <c r="E139" i="5"/>
  <c r="H139" i="5"/>
  <c r="E140" i="5"/>
  <c r="H140" i="5"/>
  <c r="E141" i="5"/>
  <c r="H141" i="5"/>
  <c r="E142" i="5"/>
  <c r="H142" i="5" s="1"/>
  <c r="E143" i="5"/>
  <c r="H143" i="5"/>
  <c r="E144" i="5"/>
  <c r="H144" i="5"/>
  <c r="E145" i="5"/>
  <c r="H145" i="5"/>
  <c r="C146" i="5"/>
  <c r="D146" i="5"/>
  <c r="F146" i="5"/>
  <c r="G146" i="5"/>
  <c r="E147" i="5"/>
  <c r="E146" i="5" s="1"/>
  <c r="H147" i="5"/>
  <c r="E148" i="5"/>
  <c r="H148" i="5" s="1"/>
  <c r="E149" i="5"/>
  <c r="H149" i="5"/>
  <c r="C150" i="5"/>
  <c r="D150" i="5"/>
  <c r="F150" i="5"/>
  <c r="G150" i="5"/>
  <c r="E151" i="5"/>
  <c r="H151" i="5"/>
  <c r="E152" i="5"/>
  <c r="H152" i="5"/>
  <c r="E153" i="5"/>
  <c r="E150" i="5" s="1"/>
  <c r="H153" i="5"/>
  <c r="E154" i="5"/>
  <c r="H154" i="5" s="1"/>
  <c r="E155" i="5"/>
  <c r="H155" i="5"/>
  <c r="E156" i="5"/>
  <c r="H156" i="5" s="1"/>
  <c r="E157" i="5"/>
  <c r="H157" i="5" s="1"/>
  <c r="E158" i="5"/>
  <c r="A4" i="4"/>
  <c r="A5" i="4"/>
  <c r="B9" i="4"/>
  <c r="D9" i="4" s="1"/>
  <c r="G9" i="4" s="1"/>
  <c r="C9" i="4"/>
  <c r="E9" i="4"/>
  <c r="F9" i="4"/>
  <c r="D10" i="4"/>
  <c r="G10" i="4" s="1"/>
  <c r="D11" i="4"/>
  <c r="G11" i="4" s="1"/>
  <c r="D12" i="4"/>
  <c r="G12" i="4"/>
  <c r="D13" i="4"/>
  <c r="G13" i="4" s="1"/>
  <c r="D14" i="4"/>
  <c r="G14" i="4" s="1"/>
  <c r="D15" i="4"/>
  <c r="G15" i="4" s="1"/>
  <c r="D16" i="4"/>
  <c r="G16" i="4"/>
  <c r="B17" i="4"/>
  <c r="D17" i="4" s="1"/>
  <c r="G17" i="4" s="1"/>
  <c r="C17" i="4"/>
  <c r="E17" i="4"/>
  <c r="F17" i="4"/>
  <c r="D18" i="4"/>
  <c r="G18" i="4"/>
  <c r="D19" i="4"/>
  <c r="G19" i="4" s="1"/>
  <c r="D20" i="4"/>
  <c r="G20" i="4" s="1"/>
  <c r="D21" i="4"/>
  <c r="G21" i="4" s="1"/>
  <c r="D22" i="4"/>
  <c r="G22" i="4"/>
  <c r="D23" i="4"/>
  <c r="G23" i="4" s="1"/>
  <c r="D24" i="4"/>
  <c r="G24" i="4" s="1"/>
  <c r="D25" i="4"/>
  <c r="G25" i="4" s="1"/>
  <c r="D26" i="4"/>
  <c r="G26" i="4"/>
  <c r="B27" i="4"/>
  <c r="D27" i="4" s="1"/>
  <c r="G27" i="4" s="1"/>
  <c r="C27" i="4"/>
  <c r="E27" i="4"/>
  <c r="F27" i="4"/>
  <c r="D28" i="4"/>
  <c r="G28" i="4"/>
  <c r="D29" i="4"/>
  <c r="G29" i="4" s="1"/>
  <c r="D30" i="4"/>
  <c r="G30" i="4" s="1"/>
  <c r="D31" i="4"/>
  <c r="G31" i="4" s="1"/>
  <c r="D32" i="4"/>
  <c r="G32" i="4"/>
  <c r="D33" i="4"/>
  <c r="G33" i="4" s="1"/>
  <c r="D34" i="4"/>
  <c r="G34" i="4" s="1"/>
  <c r="D35" i="4"/>
  <c r="G35" i="4" s="1"/>
  <c r="D36" i="4"/>
  <c r="G36" i="4"/>
  <c r="B37" i="4"/>
  <c r="D37" i="4" s="1"/>
  <c r="G37" i="4" s="1"/>
  <c r="C37" i="4"/>
  <c r="E37" i="4"/>
  <c r="F37" i="4"/>
  <c r="D38" i="4"/>
  <c r="G38" i="4"/>
  <c r="D39" i="4"/>
  <c r="G39" i="4" s="1"/>
  <c r="D40" i="4"/>
  <c r="G40" i="4" s="1"/>
  <c r="D41" i="4"/>
  <c r="G41" i="4" s="1"/>
  <c r="D42" i="4"/>
  <c r="G42" i="4"/>
  <c r="D43" i="4"/>
  <c r="G43" i="4" s="1"/>
  <c r="D44" i="4"/>
  <c r="G44" i="4" s="1"/>
  <c r="D45" i="4"/>
  <c r="G45" i="4" s="1"/>
  <c r="D46" i="4"/>
  <c r="G46" i="4"/>
  <c r="B47" i="4"/>
  <c r="D47" i="4" s="1"/>
  <c r="G47" i="4" s="1"/>
  <c r="C47" i="4"/>
  <c r="E47" i="4"/>
  <c r="F47" i="4"/>
  <c r="D48" i="4"/>
  <c r="G48" i="4"/>
  <c r="D49" i="4"/>
  <c r="G49" i="4" s="1"/>
  <c r="D50" i="4"/>
  <c r="G50" i="4" s="1"/>
  <c r="D51" i="4"/>
  <c r="G51" i="4" s="1"/>
  <c r="D52" i="4"/>
  <c r="G52" i="4"/>
  <c r="D53" i="4"/>
  <c r="G53" i="4" s="1"/>
  <c r="D54" i="4"/>
  <c r="G54" i="4" s="1"/>
  <c r="D55" i="4"/>
  <c r="G55" i="4" s="1"/>
  <c r="D56" i="4"/>
  <c r="G56" i="4"/>
  <c r="B57" i="4"/>
  <c r="D57" i="4" s="1"/>
  <c r="G57" i="4" s="1"/>
  <c r="C57" i="4"/>
  <c r="E57" i="4"/>
  <c r="F57" i="4"/>
  <c r="D58" i="4"/>
  <c r="G58" i="4"/>
  <c r="D59" i="4"/>
  <c r="G59" i="4" s="1"/>
  <c r="D60" i="4"/>
  <c r="G60" i="4" s="1"/>
  <c r="B61" i="4"/>
  <c r="D61" i="4" s="1"/>
  <c r="G61" i="4" s="1"/>
  <c r="C61" i="4"/>
  <c r="E61" i="4"/>
  <c r="F61" i="4"/>
  <c r="D62" i="4"/>
  <c r="G62" i="4" s="1"/>
  <c r="D63" i="4"/>
  <c r="G63" i="4" s="1"/>
  <c r="D64" i="4"/>
  <c r="G64" i="4"/>
  <c r="D65" i="4"/>
  <c r="G65" i="4" s="1"/>
  <c r="D66" i="4"/>
  <c r="G66" i="4" s="1"/>
  <c r="D67" i="4"/>
  <c r="G67" i="4" s="1"/>
  <c r="D68" i="4"/>
  <c r="G68" i="4"/>
  <c r="B69" i="4"/>
  <c r="D69" i="4" s="1"/>
  <c r="G69" i="4" s="1"/>
  <c r="C69" i="4"/>
  <c r="E69" i="4"/>
  <c r="F69" i="4"/>
  <c r="D70" i="4"/>
  <c r="G70" i="4"/>
  <c r="D71" i="4"/>
  <c r="G71" i="4" s="1"/>
  <c r="D72" i="4"/>
  <c r="G72" i="4" s="1"/>
  <c r="B73" i="4"/>
  <c r="D73" i="4" s="1"/>
  <c r="G73" i="4" s="1"/>
  <c r="C73" i="4"/>
  <c r="C81" i="4" s="1"/>
  <c r="E73" i="4"/>
  <c r="F73" i="4"/>
  <c r="F81" i="4" s="1"/>
  <c r="D74" i="4"/>
  <c r="G74" i="4" s="1"/>
  <c r="D75" i="4"/>
  <c r="G75" i="4" s="1"/>
  <c r="D76" i="4"/>
  <c r="G76" i="4"/>
  <c r="D77" i="4"/>
  <c r="G77" i="4" s="1"/>
  <c r="D78" i="4"/>
  <c r="G78" i="4" s="1"/>
  <c r="D79" i="4"/>
  <c r="G79" i="4" s="1"/>
  <c r="D80" i="4"/>
  <c r="G80" i="4"/>
  <c r="B81" i="4"/>
  <c r="H45" i="11" s="1"/>
  <c r="E81" i="4"/>
  <c r="C6" i="15" s="1"/>
  <c r="A3" i="3"/>
  <c r="A4" i="3"/>
  <c r="D6" i="3"/>
  <c r="E6" i="3" s="1"/>
  <c r="D9" i="3"/>
  <c r="E10" i="3"/>
  <c r="E12" i="3"/>
  <c r="E13" i="3"/>
  <c r="E14" i="3"/>
  <c r="D18" i="3"/>
  <c r="A3" i="2"/>
  <c r="A4" i="2"/>
  <c r="A5" i="5" s="1"/>
  <c r="F11" i="2"/>
  <c r="F44" i="2" s="1"/>
  <c r="I11" i="2"/>
  <c r="F12" i="2"/>
  <c r="I12" i="2"/>
  <c r="F13" i="2"/>
  <c r="I13" i="2"/>
  <c r="F14" i="2"/>
  <c r="I14" i="2"/>
  <c r="F15" i="2"/>
  <c r="I15" i="2"/>
  <c r="F16" i="2"/>
  <c r="I16" i="2"/>
  <c r="F17" i="2"/>
  <c r="I17" i="2"/>
  <c r="D18" i="2"/>
  <c r="D44" i="2" s="1"/>
  <c r="E18" i="2"/>
  <c r="G18" i="2"/>
  <c r="H18" i="2"/>
  <c r="F20" i="2"/>
  <c r="F18" i="2" s="1"/>
  <c r="I20" i="2"/>
  <c r="F21" i="2"/>
  <c r="I21" i="2"/>
  <c r="I18" i="2" s="1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F30" i="2"/>
  <c r="I30" i="2"/>
  <c r="D31" i="2"/>
  <c r="E31" i="2"/>
  <c r="F31" i="2"/>
  <c r="G31" i="2"/>
  <c r="H31" i="2"/>
  <c r="H44" i="2" s="1"/>
  <c r="I32" i="2"/>
  <c r="I31" i="2" s="1"/>
  <c r="F33" i="2"/>
  <c r="I33" i="2"/>
  <c r="F34" i="2"/>
  <c r="I34" i="2"/>
  <c r="F35" i="2"/>
  <c r="I35" i="2"/>
  <c r="F36" i="2"/>
  <c r="I36" i="2"/>
  <c r="F37" i="2"/>
  <c r="I37" i="2"/>
  <c r="D38" i="2"/>
  <c r="E38" i="2"/>
  <c r="E44" i="2" s="1"/>
  <c r="E75" i="2" s="1"/>
  <c r="G38" i="2"/>
  <c r="H38" i="2"/>
  <c r="I38" i="2"/>
  <c r="F39" i="2"/>
  <c r="F38" i="2" s="1"/>
  <c r="I39" i="2"/>
  <c r="D40" i="2"/>
  <c r="E40" i="2"/>
  <c r="G40" i="2"/>
  <c r="H40" i="2"/>
  <c r="F41" i="2"/>
  <c r="F40" i="2" s="1"/>
  <c r="I41" i="2"/>
  <c r="F42" i="2"/>
  <c r="I42" i="2"/>
  <c r="I40" i="2" s="1"/>
  <c r="G44" i="2"/>
  <c r="G75" i="2" s="1"/>
  <c r="D50" i="2"/>
  <c r="D70" i="2" s="1"/>
  <c r="E50" i="2"/>
  <c r="G50" i="2"/>
  <c r="H50" i="2"/>
  <c r="H70" i="2" s="1"/>
  <c r="F51" i="2"/>
  <c r="I51" i="2"/>
  <c r="F52" i="2"/>
  <c r="F50" i="2" s="1"/>
  <c r="I52" i="2"/>
  <c r="F53" i="2"/>
  <c r="I53" i="2"/>
  <c r="F54" i="2"/>
  <c r="I54" i="2"/>
  <c r="I50" i="2" s="1"/>
  <c r="F55" i="2"/>
  <c r="I55" i="2"/>
  <c r="F56" i="2"/>
  <c r="I56" i="2"/>
  <c r="F57" i="2"/>
  <c r="I57" i="2"/>
  <c r="F58" i="2"/>
  <c r="I58" i="2"/>
  <c r="D59" i="2"/>
  <c r="E59" i="2"/>
  <c r="G59" i="2"/>
  <c r="H59" i="2"/>
  <c r="F60" i="2"/>
  <c r="I60" i="2"/>
  <c r="I59" i="2" s="1"/>
  <c r="I61" i="2"/>
  <c r="I62" i="2"/>
  <c r="F63" i="2"/>
  <c r="F59" i="2" s="1"/>
  <c r="I63" i="2"/>
  <c r="D64" i="2"/>
  <c r="E64" i="2"/>
  <c r="G64" i="2"/>
  <c r="H64" i="2"/>
  <c r="F65" i="2"/>
  <c r="F64" i="2" s="1"/>
  <c r="I65" i="2"/>
  <c r="I66" i="2"/>
  <c r="I64" i="2" s="1"/>
  <c r="F67" i="2"/>
  <c r="I67" i="2"/>
  <c r="F68" i="2"/>
  <c r="I68" i="2"/>
  <c r="E70" i="2"/>
  <c r="G70" i="2"/>
  <c r="D72" i="2"/>
  <c r="E72" i="2"/>
  <c r="F72" i="2"/>
  <c r="G72" i="2"/>
  <c r="H72" i="2"/>
  <c r="I72" i="2"/>
  <c r="I73" i="2"/>
  <c r="F78" i="2"/>
  <c r="I78" i="2"/>
  <c r="F79" i="2"/>
  <c r="I79" i="2"/>
  <c r="I80" i="2" s="1"/>
  <c r="D80" i="2"/>
  <c r="E80" i="2"/>
  <c r="F80" i="2"/>
  <c r="G80" i="2"/>
  <c r="H80" i="2"/>
  <c r="A3" i="1"/>
  <c r="A4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E20" i="1" s="1"/>
  <c r="H17" i="1"/>
  <c r="E18" i="1"/>
  <c r="H18" i="1"/>
  <c r="E19" i="1"/>
  <c r="H19" i="1"/>
  <c r="C20" i="1"/>
  <c r="D20" i="1"/>
  <c r="F20" i="1"/>
  <c r="G20" i="1"/>
  <c r="H20" i="1" s="1"/>
  <c r="F21" i="1"/>
  <c r="C26" i="1"/>
  <c r="D26" i="1"/>
  <c r="F26" i="1"/>
  <c r="G26" i="1"/>
  <c r="E27" i="1"/>
  <c r="H27" i="1"/>
  <c r="H26" i="1" s="1"/>
  <c r="E29" i="1"/>
  <c r="H29" i="1"/>
  <c r="E30" i="1"/>
  <c r="E26" i="1" s="1"/>
  <c r="H30" i="1"/>
  <c r="E31" i="1"/>
  <c r="H31" i="1"/>
  <c r="E32" i="1"/>
  <c r="H32" i="1"/>
  <c r="E33" i="1"/>
  <c r="H33" i="1"/>
  <c r="E34" i="1"/>
  <c r="H34" i="1"/>
  <c r="C36" i="1"/>
  <c r="C45" i="1" s="1"/>
  <c r="D36" i="1"/>
  <c r="D45" i="1" s="1"/>
  <c r="F36" i="1"/>
  <c r="F45" i="1" s="1"/>
  <c r="G36" i="1"/>
  <c r="E37" i="1"/>
  <c r="E36" i="1" s="1"/>
  <c r="H37" i="1"/>
  <c r="E39" i="1"/>
  <c r="H39" i="1"/>
  <c r="H36" i="1" s="1"/>
  <c r="E40" i="1"/>
  <c r="H40" i="1"/>
  <c r="C42" i="1"/>
  <c r="D42" i="1"/>
  <c r="E42" i="1"/>
  <c r="F42" i="1"/>
  <c r="G42" i="1"/>
  <c r="E43" i="1"/>
  <c r="H43" i="1"/>
  <c r="H42" i="1" s="1"/>
  <c r="G45" i="1"/>
  <c r="H75" i="2" l="1"/>
  <c r="I47" i="2"/>
  <c r="H45" i="1"/>
  <c r="I70" i="2"/>
  <c r="H103" i="5"/>
  <c r="H93" i="5"/>
  <c r="C159" i="5"/>
  <c r="I155" i="5" s="1"/>
  <c r="H76" i="5"/>
  <c r="H46" i="1"/>
  <c r="J87" i="2"/>
  <c r="J81" i="2"/>
  <c r="I44" i="2"/>
  <c r="I75" i="2" s="1"/>
  <c r="H19" i="9"/>
  <c r="H29" i="6"/>
  <c r="H19" i="6"/>
  <c r="J89" i="2"/>
  <c r="J83" i="2"/>
  <c r="H16" i="6"/>
  <c r="H24" i="10"/>
  <c r="H26" i="6"/>
  <c r="H150" i="5"/>
  <c r="E45" i="1"/>
  <c r="F70" i="2"/>
  <c r="F75" i="2" s="1"/>
  <c r="D75" i="2"/>
  <c r="H146" i="5"/>
  <c r="H39" i="5"/>
  <c r="D15" i="9"/>
  <c r="H16" i="9"/>
  <c r="H23" i="12"/>
  <c r="H21" i="12" s="1"/>
  <c r="E21" i="12"/>
  <c r="H123" i="5"/>
  <c r="E76" i="5"/>
  <c r="E63" i="5"/>
  <c r="H14" i="5"/>
  <c r="H11" i="5" s="1"/>
  <c r="H10" i="5" s="1"/>
  <c r="I84" i="12"/>
  <c r="E58" i="12"/>
  <c r="E41" i="12"/>
  <c r="H30" i="12"/>
  <c r="H359" i="13"/>
  <c r="I359" i="13"/>
  <c r="H321" i="13"/>
  <c r="E279" i="13"/>
  <c r="E262" i="13"/>
  <c r="C261" i="13"/>
  <c r="H250" i="13"/>
  <c r="H234" i="13"/>
  <c r="I234" i="13"/>
  <c r="H230" i="13"/>
  <c r="I230" i="13"/>
  <c r="E32" i="16"/>
  <c r="F10" i="5"/>
  <c r="F159" i="5" s="1"/>
  <c r="I159" i="5" s="1"/>
  <c r="H67" i="12"/>
  <c r="H66" i="12" s="1"/>
  <c r="E66" i="12"/>
  <c r="H370" i="13"/>
  <c r="I370" i="13"/>
  <c r="E225" i="13"/>
  <c r="D221" i="13"/>
  <c r="H138" i="5"/>
  <c r="H137" i="5" s="1"/>
  <c r="E133" i="5"/>
  <c r="H44" i="5"/>
  <c r="E29" i="5"/>
  <c r="E10" i="5" s="1"/>
  <c r="E159" i="5" s="1"/>
  <c r="I157" i="5" s="1"/>
  <c r="B31" i="8"/>
  <c r="H31" i="8" s="1"/>
  <c r="F45" i="11"/>
  <c r="H48" i="11" s="1"/>
  <c r="H12" i="12"/>
  <c r="H11" i="12" s="1"/>
  <c r="E11" i="12"/>
  <c r="E10" i="12" s="1"/>
  <c r="H358" i="13"/>
  <c r="I358" i="13"/>
  <c r="H282" i="13"/>
  <c r="I282" i="13"/>
  <c r="H237" i="13"/>
  <c r="E154" i="13"/>
  <c r="C153" i="13"/>
  <c r="E153" i="13" s="1"/>
  <c r="H21" i="1"/>
  <c r="E103" i="5"/>
  <c r="E84" i="5" s="1"/>
  <c r="H86" i="5"/>
  <c r="H85" i="5" s="1"/>
  <c r="E59" i="5"/>
  <c r="H20" i="5"/>
  <c r="H19" i="5" s="1"/>
  <c r="H27" i="10"/>
  <c r="E30" i="12"/>
  <c r="H281" i="13"/>
  <c r="I281" i="13"/>
  <c r="H215" i="13"/>
  <c r="I215" i="13"/>
  <c r="H126" i="13"/>
  <c r="I126" i="13"/>
  <c r="I110" i="13"/>
  <c r="H110" i="13"/>
  <c r="H113" i="5"/>
  <c r="H49" i="5"/>
  <c r="H46" i="11"/>
  <c r="F83" i="12"/>
  <c r="I86" i="12" s="1"/>
  <c r="H367" i="13"/>
  <c r="I367" i="13"/>
  <c r="E363" i="13"/>
  <c r="D362" i="13"/>
  <c r="D361" i="13" s="1"/>
  <c r="H342" i="13"/>
  <c r="C319" i="13"/>
  <c r="H297" i="13"/>
  <c r="I297" i="13"/>
  <c r="E292" i="13"/>
  <c r="H292" i="13" s="1"/>
  <c r="D291" i="13"/>
  <c r="D273" i="13" s="1"/>
  <c r="E274" i="13"/>
  <c r="C273" i="13"/>
  <c r="H269" i="13"/>
  <c r="I269" i="13"/>
  <c r="H249" i="13"/>
  <c r="I249" i="13"/>
  <c r="E136" i="13"/>
  <c r="D6" i="15"/>
  <c r="C42" i="15"/>
  <c r="E123" i="5"/>
  <c r="G10" i="5"/>
  <c r="G159" i="5" s="1"/>
  <c r="I160" i="5" s="1"/>
  <c r="H28" i="6"/>
  <c r="H18" i="6"/>
  <c r="E32" i="7"/>
  <c r="H18" i="9"/>
  <c r="D45" i="11"/>
  <c r="G45" i="11" s="1"/>
  <c r="H49" i="11" s="1"/>
  <c r="H50" i="12"/>
  <c r="H48" i="12" s="1"/>
  <c r="E48" i="12"/>
  <c r="C361" i="13"/>
  <c r="D296" i="13"/>
  <c r="E296" i="13" s="1"/>
  <c r="E291" i="13"/>
  <c r="H291" i="13" s="1"/>
  <c r="E252" i="13"/>
  <c r="H252" i="13" s="1"/>
  <c r="H115" i="13"/>
  <c r="I115" i="13"/>
  <c r="H89" i="13"/>
  <c r="I89" i="13"/>
  <c r="H50" i="13"/>
  <c r="I50" i="13"/>
  <c r="E46" i="13"/>
  <c r="D45" i="13"/>
  <c r="E45" i="13" s="1"/>
  <c r="H42" i="13"/>
  <c r="I42" i="13"/>
  <c r="D23" i="3"/>
  <c r="E23" i="3" s="1"/>
  <c r="E93" i="5"/>
  <c r="F84" i="5"/>
  <c r="H29" i="5"/>
  <c r="H27" i="6"/>
  <c r="G15" i="6"/>
  <c r="H30" i="6" s="1"/>
  <c r="H25" i="10"/>
  <c r="G23" i="10"/>
  <c r="H28" i="10" s="1"/>
  <c r="H58" i="12"/>
  <c r="H330" i="13"/>
  <c r="I330" i="13"/>
  <c r="E248" i="13"/>
  <c r="H236" i="13"/>
  <c r="I236" i="13"/>
  <c r="H182" i="13"/>
  <c r="I182" i="13"/>
  <c r="I143" i="13"/>
  <c r="H143" i="13"/>
  <c r="D62" i="13"/>
  <c r="H15" i="6"/>
  <c r="H15" i="9"/>
  <c r="D81" i="4"/>
  <c r="G81" i="4" s="1"/>
  <c r="G10" i="7"/>
  <c r="D32" i="7"/>
  <c r="G32" i="7" s="1"/>
  <c r="H41" i="12"/>
  <c r="E371" i="13"/>
  <c r="E366" i="13"/>
  <c r="E341" i="13"/>
  <c r="C340" i="13"/>
  <c r="E340" i="13" s="1"/>
  <c r="I334" i="13"/>
  <c r="E247" i="13"/>
  <c r="D246" i="13"/>
  <c r="I231" i="13"/>
  <c r="H231" i="13"/>
  <c r="H217" i="13"/>
  <c r="I217" i="13"/>
  <c r="H207" i="13"/>
  <c r="I207" i="13"/>
  <c r="H128" i="13"/>
  <c r="I128" i="13"/>
  <c r="H124" i="13"/>
  <c r="I124" i="13"/>
  <c r="H72" i="13"/>
  <c r="I72" i="13"/>
  <c r="H23" i="10"/>
  <c r="I369" i="13"/>
  <c r="D357" i="13"/>
  <c r="I331" i="13"/>
  <c r="I268" i="13"/>
  <c r="I235" i="13"/>
  <c r="I163" i="13"/>
  <c r="H145" i="13"/>
  <c r="I145" i="13"/>
  <c r="H130" i="13"/>
  <c r="I130" i="13"/>
  <c r="E106" i="13"/>
  <c r="D87" i="13"/>
  <c r="C61" i="13"/>
  <c r="E20" i="13"/>
  <c r="D19" i="13"/>
  <c r="H16" i="13"/>
  <c r="I16" i="13"/>
  <c r="E72" i="5"/>
  <c r="D10" i="11"/>
  <c r="G10" i="11" s="1"/>
  <c r="I302" i="13"/>
  <c r="I265" i="13"/>
  <c r="D252" i="13"/>
  <c r="I241" i="13"/>
  <c r="E227" i="13"/>
  <c r="H214" i="13"/>
  <c r="H193" i="13"/>
  <c r="I193" i="13"/>
  <c r="H190" i="13"/>
  <c r="I177" i="13"/>
  <c r="D167" i="13"/>
  <c r="E149" i="13"/>
  <c r="H97" i="13"/>
  <c r="I97" i="13"/>
  <c r="E88" i="13"/>
  <c r="C87" i="13"/>
  <c r="E87" i="13" s="1"/>
  <c r="E79" i="13"/>
  <c r="H32" i="13"/>
  <c r="I32" i="13"/>
  <c r="E19" i="13"/>
  <c r="G29" i="14"/>
  <c r="G28" i="14" s="1"/>
  <c r="G21" i="14" s="1"/>
  <c r="D28" i="14"/>
  <c r="B32" i="14"/>
  <c r="G10" i="14"/>
  <c r="G9" i="14" s="1"/>
  <c r="E347" i="13"/>
  <c r="D326" i="13"/>
  <c r="D320" i="13" s="1"/>
  <c r="D319" i="13" s="1"/>
  <c r="D318" i="13" s="1"/>
  <c r="D248" i="13"/>
  <c r="I232" i="13"/>
  <c r="E226" i="13"/>
  <c r="I223" i="13"/>
  <c r="I197" i="13"/>
  <c r="H180" i="13"/>
  <c r="I158" i="13"/>
  <c r="H152" i="13"/>
  <c r="I152" i="13"/>
  <c r="I133" i="13"/>
  <c r="E84" i="13"/>
  <c r="I75" i="13"/>
  <c r="H15" i="13"/>
  <c r="I15" i="13"/>
  <c r="H210" i="13"/>
  <c r="I210" i="13"/>
  <c r="E200" i="13"/>
  <c r="E113" i="13"/>
  <c r="C112" i="13"/>
  <c r="E112" i="13" s="1"/>
  <c r="H86" i="13"/>
  <c r="I86" i="13"/>
  <c r="E66" i="13"/>
  <c r="D65" i="13"/>
  <c r="E65" i="13" s="1"/>
  <c r="H52" i="13"/>
  <c r="I52" i="13"/>
  <c r="H48" i="13"/>
  <c r="I48" i="13"/>
  <c r="H40" i="13"/>
  <c r="I40" i="13"/>
  <c r="E35" i="13"/>
  <c r="D34" i="13"/>
  <c r="E34" i="13" s="1"/>
  <c r="H28" i="13"/>
  <c r="I28" i="13"/>
  <c r="E77" i="12"/>
  <c r="E300" i="13"/>
  <c r="I264" i="13"/>
  <c r="H219" i="13"/>
  <c r="I219" i="13"/>
  <c r="H209" i="13"/>
  <c r="I209" i="13"/>
  <c r="D196" i="13"/>
  <c r="D195" i="13" s="1"/>
  <c r="D132" i="13"/>
  <c r="H122" i="13"/>
  <c r="I122" i="13"/>
  <c r="E117" i="13"/>
  <c r="C116" i="13"/>
  <c r="E116" i="13" s="1"/>
  <c r="H99" i="13"/>
  <c r="I99" i="13"/>
  <c r="E96" i="13"/>
  <c r="I69" i="13"/>
  <c r="H39" i="13"/>
  <c r="I39" i="13"/>
  <c r="H36" i="13"/>
  <c r="I36" i="13"/>
  <c r="G13" i="8"/>
  <c r="G10" i="8" s="1"/>
  <c r="G31" i="8" s="1"/>
  <c r="H35" i="8" s="1"/>
  <c r="H228" i="13"/>
  <c r="I228" i="13"/>
  <c r="E196" i="13"/>
  <c r="C195" i="13"/>
  <c r="E195" i="13" s="1"/>
  <c r="C167" i="13"/>
  <c r="E167" i="13" s="1"/>
  <c r="E151" i="13"/>
  <c r="E137" i="13"/>
  <c r="E132" i="13"/>
  <c r="D121" i="13"/>
  <c r="E121" i="13" s="1"/>
  <c r="H111" i="13"/>
  <c r="H107" i="13"/>
  <c r="I107" i="13"/>
  <c r="H64" i="13"/>
  <c r="I64" i="13"/>
  <c r="H26" i="13"/>
  <c r="I26" i="13"/>
  <c r="E222" i="13"/>
  <c r="C221" i="13"/>
  <c r="H208" i="13"/>
  <c r="I208" i="13"/>
  <c r="D200" i="13"/>
  <c r="E202" i="13"/>
  <c r="H191" i="13"/>
  <c r="I191" i="13"/>
  <c r="H150" i="13"/>
  <c r="I150" i="13"/>
  <c r="H146" i="13"/>
  <c r="I146" i="13"/>
  <c r="H131" i="13"/>
  <c r="I131" i="13"/>
  <c r="H54" i="13"/>
  <c r="I54" i="13"/>
  <c r="H30" i="13"/>
  <c r="I30" i="13"/>
  <c r="D21" i="14"/>
  <c r="D213" i="13"/>
  <c r="C101" i="13"/>
  <c r="E101" i="13" s="1"/>
  <c r="I63" i="13"/>
  <c r="C56" i="13"/>
  <c r="E56" i="13" s="1"/>
  <c r="I51" i="13"/>
  <c r="I41" i="13"/>
  <c r="I27" i="13"/>
  <c r="C22" i="13"/>
  <c r="E22" i="13" s="1"/>
  <c r="D11" i="13"/>
  <c r="D16" i="14"/>
  <c r="D9" i="14" s="1"/>
  <c r="D32" i="14" s="1"/>
  <c r="C78" i="13"/>
  <c r="E78" i="13" s="1"/>
  <c r="I70" i="13"/>
  <c r="I68" i="13"/>
  <c r="I58" i="13"/>
  <c r="I24" i="13"/>
  <c r="J88" i="2" l="1"/>
  <c r="J82" i="2"/>
  <c r="I121" i="13"/>
  <c r="H121" i="13"/>
  <c r="H45" i="13"/>
  <c r="I45" i="13"/>
  <c r="H159" i="5"/>
  <c r="I158" i="5" s="1"/>
  <c r="D135" i="13"/>
  <c r="H296" i="13"/>
  <c r="I296" i="13"/>
  <c r="H262" i="13"/>
  <c r="I262" i="13"/>
  <c r="G15" i="9"/>
  <c r="H17" i="9"/>
  <c r="E61" i="13"/>
  <c r="H366" i="13"/>
  <c r="I366" i="13"/>
  <c r="H195" i="13"/>
  <c r="I195" i="13"/>
  <c r="G32" i="14"/>
  <c r="H341" i="13"/>
  <c r="I341" i="13"/>
  <c r="H248" i="13"/>
  <c r="I248" i="13"/>
  <c r="H196" i="13"/>
  <c r="I196" i="13"/>
  <c r="H300" i="13"/>
  <c r="I300" i="13"/>
  <c r="D61" i="13"/>
  <c r="H274" i="13"/>
  <c r="I274" i="13"/>
  <c r="H279" i="13"/>
  <c r="I279" i="13"/>
  <c r="E221" i="13"/>
  <c r="H112" i="13"/>
  <c r="I112" i="13"/>
  <c r="I84" i="13"/>
  <c r="H84" i="13"/>
  <c r="H226" i="13"/>
  <c r="I226" i="13"/>
  <c r="H88" i="13"/>
  <c r="I88" i="13"/>
  <c r="H106" i="13"/>
  <c r="I106" i="13"/>
  <c r="I371" i="13"/>
  <c r="H371" i="13"/>
  <c r="C135" i="13"/>
  <c r="E135" i="13" s="1"/>
  <c r="H363" i="13"/>
  <c r="I363" i="13"/>
  <c r="H153" i="13"/>
  <c r="I153" i="13"/>
  <c r="H10" i="12"/>
  <c r="H225" i="13"/>
  <c r="I225" i="13"/>
  <c r="D356" i="13"/>
  <c r="E356" i="13" s="1"/>
  <c r="E357" i="13"/>
  <c r="E246" i="13"/>
  <c r="D245" i="13"/>
  <c r="E245" i="13" s="1"/>
  <c r="H136" i="13"/>
  <c r="I136" i="13"/>
  <c r="H154" i="13"/>
  <c r="I154" i="13"/>
  <c r="J85" i="2"/>
  <c r="J91" i="2"/>
  <c r="H56" i="13"/>
  <c r="I56" i="13"/>
  <c r="H132" i="13"/>
  <c r="I132" i="13"/>
  <c r="H19" i="13"/>
  <c r="I19" i="13"/>
  <c r="I227" i="13"/>
  <c r="H227" i="13"/>
  <c r="H247" i="13"/>
  <c r="I247" i="13"/>
  <c r="E361" i="13"/>
  <c r="H34" i="8"/>
  <c r="H101" i="13"/>
  <c r="I101" i="13"/>
  <c r="H137" i="13"/>
  <c r="I137" i="13"/>
  <c r="E326" i="13"/>
  <c r="E362" i="13"/>
  <c r="J86" i="2"/>
  <c r="J80" i="2"/>
  <c r="I87" i="12"/>
  <c r="E273" i="13"/>
  <c r="H87" i="13"/>
  <c r="I87" i="13"/>
  <c r="H222" i="13"/>
  <c r="I222" i="13"/>
  <c r="H113" i="13"/>
  <c r="I113" i="13"/>
  <c r="H200" i="13"/>
  <c r="I200" i="13"/>
  <c r="H149" i="13"/>
  <c r="I149" i="13"/>
  <c r="D10" i="13"/>
  <c r="E11" i="13"/>
  <c r="D212" i="13"/>
  <c r="E212" i="13" s="1"/>
  <c r="E213" i="13"/>
  <c r="H202" i="13"/>
  <c r="I202" i="13"/>
  <c r="H151" i="13"/>
  <c r="I151" i="13"/>
  <c r="H116" i="13"/>
  <c r="I116" i="13"/>
  <c r="H34" i="13"/>
  <c r="I34" i="13"/>
  <c r="H65" i="13"/>
  <c r="I65" i="13"/>
  <c r="H347" i="13"/>
  <c r="I347" i="13"/>
  <c r="H20" i="13"/>
  <c r="I20" i="13"/>
  <c r="E47" i="12"/>
  <c r="E83" i="12" s="1"/>
  <c r="E319" i="13"/>
  <c r="C318" i="13"/>
  <c r="E318" i="13" s="1"/>
  <c r="H79" i="13"/>
  <c r="I79" i="13"/>
  <c r="H46" i="13"/>
  <c r="I46" i="13"/>
  <c r="C9" i="13"/>
  <c r="H96" i="13"/>
  <c r="I96" i="13"/>
  <c r="H78" i="13"/>
  <c r="I78" i="13"/>
  <c r="H22" i="13"/>
  <c r="I22" i="13"/>
  <c r="H167" i="13"/>
  <c r="I167" i="13"/>
  <c r="H117" i="13"/>
  <c r="I117" i="13"/>
  <c r="H35" i="13"/>
  <c r="I35" i="13"/>
  <c r="H66" i="13"/>
  <c r="I66" i="13"/>
  <c r="E62" i="13"/>
  <c r="H340" i="13"/>
  <c r="I340" i="13"/>
  <c r="H17" i="6"/>
  <c r="H47" i="12"/>
  <c r="E320" i="13"/>
  <c r="H84" i="5"/>
  <c r="C255" i="13"/>
  <c r="E255" i="13" s="1"/>
  <c r="E261" i="13"/>
  <c r="J84" i="2"/>
  <c r="J90" i="2"/>
  <c r="H273" i="13" l="1"/>
  <c r="I273" i="13"/>
  <c r="H356" i="13"/>
  <c r="I356" i="13"/>
  <c r="H318" i="13"/>
  <c r="I318" i="13"/>
  <c r="H61" i="13"/>
  <c r="I61" i="13"/>
  <c r="H212" i="13"/>
  <c r="I212" i="13"/>
  <c r="I361" i="13"/>
  <c r="H361" i="13"/>
  <c r="H83" i="12"/>
  <c r="I88" i="12" s="1"/>
  <c r="H11" i="13"/>
  <c r="I11" i="13"/>
  <c r="H362" i="13"/>
  <c r="I362" i="13"/>
  <c r="C375" i="13"/>
  <c r="H20" i="9"/>
  <c r="H22" i="9"/>
  <c r="H319" i="13"/>
  <c r="I319" i="13"/>
  <c r="I213" i="13"/>
  <c r="H213" i="13"/>
  <c r="H62" i="13"/>
  <c r="I62" i="13"/>
  <c r="D9" i="13"/>
  <c r="D375" i="13" s="1"/>
  <c r="E10" i="13"/>
  <c r="H326" i="13"/>
  <c r="I326" i="13"/>
  <c r="H245" i="13"/>
  <c r="I245" i="13"/>
  <c r="H255" i="13"/>
  <c r="I255" i="13"/>
  <c r="H246" i="13"/>
  <c r="I246" i="13"/>
  <c r="H320" i="13"/>
  <c r="I320" i="13"/>
  <c r="H135" i="13"/>
  <c r="I135" i="13"/>
  <c r="H261" i="13"/>
  <c r="I261" i="13"/>
  <c r="H221" i="13"/>
  <c r="I221" i="13"/>
  <c r="H357" i="13"/>
  <c r="I357" i="13"/>
  <c r="E9" i="13" l="1"/>
  <c r="H10" i="13"/>
  <c r="I10" i="13"/>
  <c r="H9" i="13" l="1"/>
  <c r="H375" i="13" s="1"/>
  <c r="I9" i="13"/>
  <c r="E37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6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2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<sst xmlns="http://schemas.openxmlformats.org/spreadsheetml/2006/main" count="1167" uniqueCount="754">
  <si>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</si>
  <si>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</si>
  <si>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</si>
  <si>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</si>
  <si>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</si>
  <si>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</si>
  <si>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</si>
  <si>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</si>
  <si>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</si>
  <si>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</si>
  <si>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</si>
  <si>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</si>
  <si>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</si>
  <si>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</si>
  <si>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</si>
  <si>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</si>
  <si>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</si>
  <si>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</si>
  <si>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</si>
  <si>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</si>
  <si>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</si>
  <si>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</si>
  <si>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</si>
  <si>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</si>
  <si>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</si>
  <si>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</si>
  <si>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</si>
  <si>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</si>
  <si>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</si>
  <si>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</si>
  <si>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</si>
  <si>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</si>
  <si>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</si>
  <si>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</si>
  <si>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</si>
  <si>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</si>
  <si>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</si>
  <si>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</si>
  <si>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</si>
  <si>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</si>
  <si>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(PESOS)</t>
  </si>
  <si>
    <t>Estado Analítico de Ingresos</t>
  </si>
  <si>
    <t>Sistema Estatal de Evaluación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</si>
  <si>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</si>
  <si>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</si>
  <si>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</si>
  <si>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</si>
  <si>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</si>
  <si>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</si>
  <si>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</si>
  <si>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</si>
  <si>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</si>
  <si>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</si>
  <si>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</si>
  <si>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</si>
  <si>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</si>
  <si>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</si>
  <si>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</si>
  <si>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</si>
  <si>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</si>
  <si>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</si>
  <si>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</si>
  <si>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</si>
  <si>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</si>
  <si>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</si>
  <si>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</si>
  <si>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</si>
  <si>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</si>
  <si>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</si>
  <si>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</si>
  <si>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</si>
  <si>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</si>
  <si>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</si>
  <si>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</si>
  <si>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</si>
  <si>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</si>
  <si>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</si>
  <si>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</si>
  <si>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</si>
  <si>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</si>
  <si>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</si>
  <si>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</si>
  <si>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</si>
  <si>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</si>
  <si>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</si>
  <si>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</si>
  <si>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</si>
  <si>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</si>
  <si>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</si>
  <si>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</si>
  <si>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</si>
  <si>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</si>
  <si>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</si>
  <si>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</si>
  <si>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</si>
  <si>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</si>
  <si>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</si>
  <si>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</si>
  <si>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</si>
  <si>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</si>
  <si>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</si>
  <si>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</si>
  <si>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</si>
  <si>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</si>
  <si>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</si>
  <si>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</si>
  <si>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</si>
  <si>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</si>
  <si>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</si>
  <si>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</si>
  <si>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</si>
  <si>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</si>
  <si>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</si>
  <si>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</si>
  <si>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</si>
  <si>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</si>
  <si>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</si>
  <si>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</si>
  <si>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</si>
  <si>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</si>
  <si>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</si>
  <si>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</si>
  <si>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</si>
  <si>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</si>
  <si>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</si>
  <si>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</si>
  <si>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</si>
  <si>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</si>
  <si>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</si>
  <si>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</si>
  <si>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(PESOS)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</si>
  <si>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</si>
  <si>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</si>
  <si>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</si>
  <si>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</si>
  <si>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</si>
  <si>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</si>
  <si>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</si>
  <si>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</si>
  <si>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</si>
  <si>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</si>
  <si>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</si>
  <si>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</si>
  <si>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</si>
  <si>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</si>
  <si>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</si>
  <si>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</si>
  <si>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</si>
  <si>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</si>
  <si>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</si>
  <si>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</si>
  <si>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</si>
  <si>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</si>
  <si>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</si>
  <si>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</si>
  <si>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</si>
  <si>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</si>
  <si>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</si>
  <si>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</si>
  <si>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</si>
  <si>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</si>
  <si>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</si>
  <si>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</si>
  <si>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</si>
  <si>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</si>
  <si>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</si>
  <si>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</si>
  <si>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</si>
  <si>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</si>
  <si>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</si>
  <si>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</si>
  <si>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</si>
  <si>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</si>
  <si>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</si>
  <si>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</si>
  <si>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</si>
  <si>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</si>
  <si>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</si>
  <si>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</si>
  <si>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</si>
  <si>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</si>
  <si>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</si>
  <si>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</si>
  <si>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</si>
  <si>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</si>
  <si>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</si>
  <si>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</si>
  <si>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</si>
  <si>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</si>
  <si>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</si>
  <si>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</si>
  <si>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</si>
  <si>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</si>
  <si>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</si>
  <si>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</si>
  <si>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</si>
  <si>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</si>
  <si>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</si>
  <si>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</si>
  <si>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</si>
  <si>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</si>
  <si>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</si>
  <si>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</si>
  <si>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</si>
  <si>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</si>
  <si>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</si>
  <si>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</si>
  <si>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</si>
  <si>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</si>
  <si>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</si>
  <si>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</si>
  <si>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</si>
  <si>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</si>
  <si>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(PESOS)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</si>
  <si>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</si>
  <si>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</si>
  <si>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</si>
  <si>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</si>
  <si>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</si>
  <si>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</si>
  <si>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</si>
  <si>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</si>
  <si>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</si>
  <si>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</si>
  <si>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</si>
  <si>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</si>
  <si>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</si>
  <si>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</si>
  <si>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</si>
  <si>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</si>
  <si>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</si>
  <si>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</si>
  <si>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</si>
  <si>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</si>
  <si>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</si>
  <si>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</si>
  <si>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</si>
  <si>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</si>
  <si>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</si>
  <si>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</si>
  <si>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</si>
  <si>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</si>
  <si>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</si>
  <si>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</si>
  <si>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</si>
  <si>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</si>
  <si>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</si>
  <si>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</si>
  <si>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</si>
  <si>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</si>
  <si>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</si>
  <si>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</si>
  <si>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</si>
  <si>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</si>
  <si>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</si>
  <si>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</si>
  <si>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</si>
  <si>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</si>
  <si>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</si>
  <si>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</si>
  <si>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</si>
  <si>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</si>
  <si>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</si>
  <si>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</si>
  <si>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</si>
  <si>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</si>
  <si>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</si>
  <si>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</si>
  <si>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</si>
  <si>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</si>
  <si>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</si>
  <si>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</si>
  <si>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</si>
  <si>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</si>
  <si>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</si>
  <si>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</si>
  <si>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</si>
  <si>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</si>
  <si>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</si>
  <si>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</si>
  <si>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</si>
  <si>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</si>
  <si>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</si>
  <si>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</si>
  <si>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</si>
  <si>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</si>
  <si>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</si>
  <si>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</si>
  <si>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</si>
  <si>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</si>
  <si>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</si>
  <si>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</si>
  <si>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</si>
  <si>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</si>
  <si>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</si>
  <si>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</si>
  <si>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</si>
  <si>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</si>
  <si>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</si>
  <si>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</si>
  <si>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</si>
  <si>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</si>
  <si>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</si>
  <si>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</si>
  <si>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</si>
  <si>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</si>
  <si>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</si>
  <si>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</si>
  <si>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</si>
  <si>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</si>
  <si>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</si>
  <si>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</si>
  <si>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</si>
  <si>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</si>
  <si>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</si>
  <si>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</si>
  <si>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(PESOS)</t>
  </si>
  <si>
    <t>Clasificación Económica (por Tipo de Gasto)</t>
  </si>
  <si>
    <t>ORGANISMOS OPERADORES</t>
  </si>
  <si>
    <t>ORGANO INTERNO DE CONTROL</t>
  </si>
  <si>
    <t>COSTOS, CONCURSOS Y CONTRATOS</t>
  </si>
  <si>
    <t>UNIDAD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</si>
  <si>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</si>
  <si>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</si>
  <si>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</si>
  <si>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</si>
  <si>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</si>
  <si>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</si>
  <si>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(PESOS)</t>
  </si>
  <si>
    <t>ORGANO DE CONTRO Y DESARROLLO ADMINISTRATIVO</t>
  </si>
  <si>
    <t>DIRECCION JURIDICA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</si>
  <si>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</si>
  <si>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</si>
  <si>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</si>
  <si>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</si>
  <si>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</si>
  <si>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</si>
  <si>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</si>
  <si>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</si>
  <si>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</si>
  <si>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</si>
  <si>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</si>
  <si>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(PESOS)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</si>
  <si>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</si>
  <si>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</si>
  <si>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</si>
  <si>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</si>
  <si>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</si>
  <si>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</si>
  <si>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</si>
  <si>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(PESOS)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</si>
  <si>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</si>
  <si>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</si>
  <si>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</si>
  <si>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</si>
  <si>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</si>
  <si>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</si>
  <si>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</si>
  <si>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</si>
  <si>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</si>
  <si>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</si>
  <si>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</si>
  <si>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</si>
  <si>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</si>
  <si>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</si>
  <si>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</si>
  <si>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</si>
  <si>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</si>
  <si>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</si>
  <si>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</si>
  <si>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</si>
  <si>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</si>
  <si>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</si>
  <si>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</si>
  <si>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</si>
  <si>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</si>
  <si>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</si>
  <si>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</si>
  <si>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</si>
  <si>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</si>
  <si>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</si>
  <si>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</si>
  <si>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</si>
  <si>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</si>
  <si>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</si>
  <si>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</si>
  <si>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</si>
  <si>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</si>
  <si>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</si>
  <si>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</si>
  <si>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</si>
  <si>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</si>
  <si>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</si>
  <si>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</si>
  <si>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</si>
  <si>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</si>
  <si>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</si>
  <si>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</si>
  <si>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</si>
  <si>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</si>
  <si>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</si>
  <si>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</si>
  <si>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</si>
  <si>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</si>
  <si>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</si>
  <si>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</si>
  <si>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</si>
  <si>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</si>
  <si>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</si>
  <si>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</si>
  <si>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</si>
  <si>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</si>
  <si>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</si>
  <si>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</si>
  <si>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</si>
  <si>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</si>
  <si>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</si>
  <si>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</si>
  <si>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 xml:space="preserve">         DIRECTOR DE ADMINISTRACION Y FINANZAS</t>
  </si>
  <si>
    <t xml:space="preserve">                 DIRECTOR ADMINISTRATIVO</t>
  </si>
  <si>
    <t>C.P. MARIO ALBERTO MERINO DIAZ</t>
  </si>
  <si>
    <t>C.P. LEONOR LANDAVAZO GUTIERREZ</t>
  </si>
  <si>
    <t>Adefas Inversión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</si>
  <si>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</si>
  <si>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</si>
  <si>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</si>
  <si>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</si>
  <si>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</si>
  <si>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</si>
  <si>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</si>
  <si>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</si>
  <si>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</si>
  <si>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</si>
  <si>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</si>
  <si>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</si>
  <si>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</si>
  <si>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</si>
  <si>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</si>
  <si>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</si>
  <si>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</si>
  <si>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</si>
  <si>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</si>
  <si>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</si>
  <si>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</si>
  <si>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 xml:space="preserve">Conservación y mantenimiento 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</si>
  <si>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</si>
  <si>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</si>
  <si>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</si>
  <si>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Fortalecimiento a organismos operadores de sistemas de agua potable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</si>
  <si>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</si>
  <si>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</si>
  <si>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</si>
  <si>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</si>
  <si>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</si>
  <si>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</si>
  <si>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</si>
  <si>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</si>
  <si>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</si>
  <si>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</si>
  <si>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</si>
  <si>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</si>
  <si>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</si>
  <si>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</si>
  <si>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</si>
  <si>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</si>
  <si>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</si>
  <si>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</si>
  <si>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</si>
  <si>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</si>
  <si>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</si>
  <si>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de construcción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</si>
  <si>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</si>
  <si>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</si>
  <si>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</si>
  <si>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</si>
  <si>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</si>
  <si>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</si>
  <si>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</si>
  <si>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</si>
  <si>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</si>
  <si>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</si>
  <si>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</si>
  <si>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</si>
  <si>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</si>
  <si>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</si>
  <si>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</si>
  <si>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</si>
  <si>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</si>
  <si>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</si>
  <si>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</si>
  <si>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</si>
  <si>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</si>
  <si>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</si>
  <si>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</si>
  <si>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</si>
  <si>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producción</t>
  </si>
  <si>
    <t>Subsidios y subvenciones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</si>
  <si>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</si>
  <si>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</si>
  <si>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</si>
  <si>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</si>
  <si>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</si>
  <si>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</si>
  <si>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</si>
  <si>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</si>
  <si>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Impuestos sobre nominas.</t>
  </si>
  <si>
    <t>IMPUESTOS SOBRE NOMINAS Y OTROS QUE SE DERIVEN DE UNA RELACIÓN LABORAL.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</si>
  <si>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</si>
  <si>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</si>
  <si>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</si>
  <si>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</si>
  <si>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</si>
  <si>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</si>
  <si>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</si>
  <si>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</si>
  <si>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</si>
  <si>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</si>
  <si>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</si>
  <si>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</si>
  <si>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</si>
  <si>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</si>
  <si>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</si>
  <si>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</si>
  <si>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</si>
  <si>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</si>
  <si>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</si>
  <si>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</si>
  <si>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</si>
  <si>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</si>
  <si>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</si>
  <si>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</si>
  <si>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</si>
  <si>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</si>
  <si>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</si>
  <si>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</si>
  <si>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</si>
  <si>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</si>
  <si>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</si>
  <si>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</si>
  <si>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</si>
  <si>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</si>
  <si>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</si>
  <si>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</si>
  <si>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</si>
  <si>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</si>
  <si>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</si>
  <si>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</si>
  <si>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</si>
  <si>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</si>
  <si>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</si>
  <si>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</si>
  <si>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</si>
  <si>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</si>
  <si>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</si>
  <si>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</si>
  <si>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</si>
  <si>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</si>
  <si>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</si>
  <si>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</si>
  <si>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</si>
  <si>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</si>
  <si>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</si>
  <si>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</si>
  <si>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</si>
  <si>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</si>
  <si>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</si>
  <si>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</si>
  <si>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</si>
  <si>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</si>
  <si>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</si>
  <si>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</si>
  <si>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</si>
  <si>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</si>
  <si>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</si>
  <si>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</si>
  <si>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</si>
  <si>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</si>
  <si>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</si>
  <si>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</si>
  <si>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</si>
  <si>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</si>
  <si>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</si>
  <si>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</si>
  <si>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</si>
  <si>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</si>
  <si>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</si>
  <si>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</si>
  <si>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</si>
  <si>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</si>
  <si>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</si>
  <si>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</si>
  <si>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</si>
  <si>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Refacciones y accesorios menores de equipo de computo y tecnologías de la información</t>
  </si>
  <si>
    <t>Refacciones y accesorios menores de mobiliario y equipo de administracion, educaconal y recrativo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</si>
  <si>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</si>
  <si>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</si>
  <si>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</si>
  <si>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</si>
  <si>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</si>
  <si>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</si>
  <si>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</si>
  <si>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</si>
  <si>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</si>
  <si>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</si>
  <si>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</si>
  <si>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</si>
  <si>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</si>
  <si>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</si>
  <si>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</si>
  <si>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</si>
  <si>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</si>
  <si>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</si>
  <si>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</si>
  <si>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</si>
  <si>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</si>
  <si>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</si>
  <si>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</si>
  <si>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</si>
  <si>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</si>
  <si>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</si>
  <si>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</si>
  <si>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</si>
  <si>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</si>
  <si>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</si>
  <si>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</si>
  <si>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</si>
  <si>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</si>
  <si>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</si>
  <si>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</si>
  <si>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</si>
  <si>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</si>
  <si>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</si>
  <si>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</si>
  <si>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</si>
  <si>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</si>
  <si>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</si>
  <si>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</si>
  <si>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</si>
  <si>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</si>
  <si>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</si>
  <si>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</si>
  <si>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</si>
  <si>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</si>
  <si>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</si>
  <si>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</si>
  <si>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</si>
  <si>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Ayuda para Servicio de Transporte</t>
  </si>
  <si>
    <t>Bono para despensa</t>
  </si>
  <si>
    <t>Prestaciones contractuales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</si>
  <si>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</si>
  <si>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</si>
  <si>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</si>
  <si>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</si>
  <si>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</si>
  <si>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</si>
  <si>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</si>
  <si>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</si>
  <si>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</si>
  <si>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</si>
  <si>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</si>
  <si>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</si>
  <si>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</si>
  <si>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cuotas por servicio medico del isssteson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</si>
  <si>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</si>
  <si>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</si>
  <si>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</si>
  <si>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</si>
  <si>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</si>
  <si>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</si>
  <si>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</si>
  <si>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</si>
  <si>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</si>
  <si>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</si>
  <si>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</si>
  <si>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</si>
  <si>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</si>
  <si>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</si>
  <si>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</si>
  <si>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</si>
  <si>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</si>
  <si>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</si>
  <si>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</si>
  <si>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</si>
  <si>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</si>
  <si>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</si>
  <si>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</si>
  <si>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</si>
  <si>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</si>
  <si>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</si>
  <si>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</si>
  <si>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</si>
  <si>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</si>
  <si>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</si>
  <si>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</si>
  <si>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</si>
  <si>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</si>
  <si>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</si>
  <si>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>Del 01 al 31 de Diciembre del 2019</t>
  </si>
  <si>
    <t>Comision Estatal del Agua</t>
  </si>
  <si>
    <t>Por Partida del Gasto</t>
  </si>
  <si>
    <t>Sistema Estatal de Evaluacion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</si>
  <si>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</si>
  <si>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</si>
  <si>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</si>
  <si>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</si>
  <si>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</si>
  <si>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</si>
  <si>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</si>
  <si>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</si>
  <si>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</si>
  <si>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</si>
  <si>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</si>
  <si>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</si>
  <si>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</si>
  <si>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</si>
  <si>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</si>
  <si>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</si>
  <si>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</si>
  <si>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</si>
  <si>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</si>
  <si>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</si>
  <si>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</si>
  <si>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</si>
  <si>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</si>
  <si>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</si>
  <si>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</si>
  <si>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</si>
  <si>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</si>
  <si>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</si>
  <si>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</si>
  <si>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</si>
  <si>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</si>
  <si>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</si>
  <si>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</si>
  <si>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</si>
  <si>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</si>
  <si>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</si>
  <si>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</si>
  <si>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</si>
  <si>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</si>
  <si>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</si>
  <si>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</si>
  <si>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</si>
  <si>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</si>
  <si>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</si>
  <si>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</si>
  <si>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</si>
  <si>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</si>
  <si>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</si>
  <si>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</si>
  <si>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</si>
  <si>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</si>
  <si>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(pesos)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</si>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</sst>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_-;\-* #,##0.0000_-;_-* &quot;-&quot;??_-;_-@_-"/>
    <numFmt numFmtId="165" formatCode="_-* #,##0.000_-;\-* #,##0.000_-;_-* &quot;-&quot;??_-;_-@_-"/>
    <numFmt numFmtId="166" formatCode="_-* #,##0_-;\-* #,##0_-;_-* &quot;-&quot;??_-;_-@_-"/>
    <numFmt numFmtId="167" formatCode="_(* #,##0_);_(* \(#,##0\);_(* &quot;-&quot;??_);_(@_)"/>
    <numFmt numFmtId="168" formatCode="0.00_ ;\-0.0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2" xfId="0" applyNumberFormat="1" applyFont="1" applyBorder="1" applyAlignment="1" applyProtection="1">
      <alignment vertical="center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3" fontId="10" fillId="0" borderId="5" xfId="0" applyNumberFormat="1" applyFont="1" applyBorder="1" applyAlignment="1">
      <alignment horizontal="righ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3" fontId="1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justify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3" fontId="3" fillId="0" borderId="9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vertical="center"/>
    </xf>
    <xf numFmtId="3" fontId="10" fillId="0" borderId="6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20" fillId="0" borderId="17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64" fontId="0" fillId="0" borderId="0" xfId="1" applyNumberFormat="1" applyFont="1"/>
    <xf numFmtId="43" fontId="24" fillId="0" borderId="5" xfId="0" applyNumberFormat="1" applyFont="1" applyBorder="1" applyAlignment="1">
      <alignment horizontal="right" vertical="center"/>
    </xf>
    <xf numFmtId="0" fontId="25" fillId="0" borderId="2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43" fontId="26" fillId="0" borderId="9" xfId="0" applyNumberFormat="1" applyFont="1" applyBorder="1" applyAlignment="1">
      <alignment horizontal="right" vertical="center"/>
    </xf>
    <xf numFmtId="0" fontId="26" fillId="0" borderId="2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43" fontId="24" fillId="0" borderId="9" xfId="0" applyNumberFormat="1" applyFont="1" applyBorder="1" applyAlignment="1">
      <alignment horizontal="right" vertical="center"/>
    </xf>
    <xf numFmtId="43" fontId="24" fillId="0" borderId="9" xfId="0" applyNumberFormat="1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horizontal="left" vertical="justify"/>
    </xf>
    <xf numFmtId="0" fontId="24" fillId="0" borderId="0" xfId="0" applyFont="1" applyAlignment="1">
      <alignment horizontal="left" vertical="justify"/>
    </xf>
    <xf numFmtId="0" fontId="24" fillId="0" borderId="2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43" fontId="24" fillId="0" borderId="8" xfId="0" applyNumberFormat="1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horizontal="left" vertical="justify"/>
    </xf>
    <xf numFmtId="0" fontId="24" fillId="0" borderId="0" xfId="0" applyFont="1" applyAlignment="1">
      <alignment horizontal="left" vertical="center"/>
    </xf>
    <xf numFmtId="43" fontId="24" fillId="0" borderId="5" xfId="0" applyNumberFormat="1" applyFont="1" applyBorder="1" applyAlignment="1" applyProtection="1">
      <alignment horizontal="right" vertical="center"/>
      <protection locked="0"/>
    </xf>
    <xf numFmtId="0" fontId="24" fillId="0" borderId="24" xfId="0" applyFont="1" applyBorder="1" applyAlignment="1">
      <alignment horizontal="left" vertical="justify"/>
    </xf>
    <xf numFmtId="0" fontId="24" fillId="0" borderId="1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43" fontId="24" fillId="3" borderId="9" xfId="0" applyNumberFormat="1" applyFont="1" applyFill="1" applyBorder="1" applyAlignment="1">
      <alignment horizontal="right" vertical="center"/>
    </xf>
    <xf numFmtId="43" fontId="26" fillId="0" borderId="26" xfId="0" applyNumberFormat="1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vertical="center"/>
    </xf>
    <xf numFmtId="43" fontId="24" fillId="0" borderId="8" xfId="0" applyNumberFormat="1" applyFont="1" applyBorder="1" applyAlignment="1">
      <alignment horizontal="right" vertical="center"/>
    </xf>
    <xf numFmtId="165" fontId="24" fillId="0" borderId="8" xfId="0" applyNumberFormat="1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4" xfId="0" applyFont="1" applyBorder="1" applyAlignment="1">
      <alignment horizontal="left" vertical="center"/>
    </xf>
    <xf numFmtId="43" fontId="24" fillId="0" borderId="26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165" fontId="24" fillId="0" borderId="9" xfId="0" applyNumberFormat="1" applyFont="1" applyBorder="1" applyAlignment="1" applyProtection="1">
      <alignment horizontal="right" vertical="center"/>
      <protection locked="0"/>
    </xf>
    <xf numFmtId="0" fontId="24" fillId="0" borderId="9" xfId="0" applyFont="1" applyBorder="1" applyAlignment="1">
      <alignment horizontal="right" vertical="center"/>
    </xf>
    <xf numFmtId="0" fontId="26" fillId="0" borderId="9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justify" vertical="center"/>
    </xf>
    <xf numFmtId="0" fontId="24" fillId="0" borderId="4" xfId="0" applyFont="1" applyBorder="1" applyAlignment="1">
      <alignment horizontal="justify" vertical="center"/>
    </xf>
    <xf numFmtId="0" fontId="24" fillId="0" borderId="11" xfId="0" applyFont="1" applyBorder="1" applyAlignment="1">
      <alignment horizontal="justify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justify"/>
    </xf>
    <xf numFmtId="0" fontId="26" fillId="2" borderId="5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justify"/>
    </xf>
    <xf numFmtId="0" fontId="26" fillId="2" borderId="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0" fontId="29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4" fontId="20" fillId="4" borderId="27" xfId="0" applyNumberFormat="1" applyFont="1" applyFill="1" applyBorder="1" applyAlignment="1">
      <alignment horizontal="right" vertical="center" wrapText="1"/>
    </xf>
    <xf numFmtId="0" fontId="31" fillId="4" borderId="28" xfId="0" applyFont="1" applyFill="1" applyBorder="1" applyAlignment="1" applyProtection="1">
      <alignment horizontal="justify" vertical="center"/>
      <protection locked="0"/>
    </xf>
    <xf numFmtId="0" fontId="32" fillId="4" borderId="28" xfId="0" applyFont="1" applyFill="1" applyBorder="1" applyAlignment="1" applyProtection="1">
      <alignment vertical="center"/>
      <protection locked="0"/>
    </xf>
    <xf numFmtId="0" fontId="32" fillId="4" borderId="16" xfId="0" applyFont="1" applyFill="1" applyBorder="1" applyAlignment="1" applyProtection="1">
      <alignment vertical="center"/>
      <protection locked="0"/>
    </xf>
    <xf numFmtId="4" fontId="31" fillId="5" borderId="29" xfId="0" applyNumberFormat="1" applyFont="1" applyFill="1" applyBorder="1" applyAlignment="1">
      <alignment horizontal="right" vertical="center"/>
    </xf>
    <xf numFmtId="0" fontId="31" fillId="5" borderId="30" xfId="0" applyFont="1" applyFill="1" applyBorder="1" applyAlignment="1" applyProtection="1">
      <alignment horizontal="right" vertical="center"/>
      <protection locked="0"/>
    </xf>
    <xf numFmtId="0" fontId="33" fillId="5" borderId="31" xfId="0" applyFont="1" applyFill="1" applyBorder="1" applyAlignment="1" applyProtection="1">
      <alignment horizontal="justify" vertical="center"/>
      <protection locked="0"/>
    </xf>
    <xf numFmtId="0" fontId="31" fillId="5" borderId="10" xfId="0" applyFont="1" applyFill="1" applyBorder="1" applyAlignment="1" applyProtection="1">
      <alignment horizontal="justify" vertical="center"/>
      <protection locked="0"/>
    </xf>
    <xf numFmtId="43" fontId="20" fillId="0" borderId="32" xfId="0" applyNumberFormat="1" applyFont="1" applyBorder="1" applyAlignment="1" applyProtection="1">
      <alignment horizontal="right" vertical="center" wrapText="1"/>
      <protection locked="0"/>
    </xf>
    <xf numFmtId="0" fontId="34" fillId="5" borderId="33" xfId="0" applyFont="1" applyFill="1" applyBorder="1" applyAlignment="1" applyProtection="1">
      <alignment horizontal="justify" vertical="center"/>
      <protection locked="0"/>
    </xf>
    <xf numFmtId="0" fontId="31" fillId="5" borderId="10" xfId="0" applyFont="1" applyFill="1" applyBorder="1" applyAlignment="1" applyProtection="1">
      <alignment vertical="center"/>
      <protection locked="0"/>
    </xf>
    <xf numFmtId="0" fontId="20" fillId="0" borderId="30" xfId="0" applyFont="1" applyBorder="1" applyAlignment="1" applyProtection="1">
      <alignment horizontal="right" vertical="center" wrapText="1"/>
      <protection locked="0"/>
    </xf>
    <xf numFmtId="0" fontId="33" fillId="5" borderId="33" xfId="0" applyFont="1" applyFill="1" applyBorder="1" applyAlignment="1" applyProtection="1">
      <alignment horizontal="justify" vertical="center"/>
      <protection locked="0"/>
    </xf>
    <xf numFmtId="0" fontId="33" fillId="5" borderId="34" xfId="0" applyFont="1" applyFill="1" applyBorder="1" applyAlignment="1" applyProtection="1">
      <alignment horizontal="justify" vertical="center"/>
      <protection locked="0"/>
    </xf>
    <xf numFmtId="4" fontId="20" fillId="0" borderId="27" xfId="0" applyNumberFormat="1" applyFont="1" applyBorder="1" applyAlignment="1">
      <alignment horizontal="right" vertical="center" wrapText="1"/>
    </xf>
    <xf numFmtId="0" fontId="31" fillId="5" borderId="28" xfId="0" applyFont="1" applyFill="1" applyBorder="1" applyAlignment="1" applyProtection="1">
      <alignment horizontal="justify" vertical="center"/>
      <protection locked="0"/>
    </xf>
    <xf numFmtId="0" fontId="32" fillId="5" borderId="28" xfId="0" applyFont="1" applyFill="1" applyBorder="1" applyAlignment="1" applyProtection="1">
      <alignment vertical="center"/>
      <protection locked="0"/>
    </xf>
    <xf numFmtId="0" fontId="32" fillId="5" borderId="16" xfId="0" applyFont="1" applyFill="1" applyBorder="1" applyAlignment="1" applyProtection="1">
      <alignment vertical="center"/>
      <protection locked="0"/>
    </xf>
    <xf numFmtId="4" fontId="31" fillId="5" borderId="5" xfId="0" applyNumberFormat="1" applyFont="1" applyFill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35" fillId="5" borderId="17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horizontal="left" vertical="center"/>
      <protection locked="0"/>
    </xf>
    <xf numFmtId="4" fontId="31" fillId="5" borderId="3" xfId="0" applyNumberFormat="1" applyFont="1" applyFill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33" fillId="5" borderId="4" xfId="0" applyFont="1" applyFill="1" applyBorder="1" applyAlignment="1" applyProtection="1">
      <alignment horizontal="justify" vertical="center"/>
      <protection locked="0"/>
    </xf>
    <xf numFmtId="0" fontId="31" fillId="5" borderId="11" xfId="0" applyFont="1" applyFill="1" applyBorder="1" applyAlignment="1" applyProtection="1">
      <alignment horizontal="justify" vertical="center"/>
      <protection locked="0"/>
    </xf>
    <xf numFmtId="4" fontId="31" fillId="5" borderId="35" xfId="0" applyNumberFormat="1" applyFont="1" applyFill="1" applyBorder="1" applyAlignment="1">
      <alignment horizontal="right" vertical="center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1" fillId="5" borderId="7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43" fontId="20" fillId="0" borderId="30" xfId="0" applyNumberFormat="1" applyFont="1" applyBorder="1" applyAlignment="1" applyProtection="1">
      <alignment horizontal="right" vertical="center" wrapText="1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4" fontId="20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0" fillId="2" borderId="17" xfId="0" applyFont="1" applyFill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 applyProtection="1">
      <alignment horizontal="left" vertical="center"/>
      <protection locked="0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0" fillId="4" borderId="28" xfId="0" applyFont="1" applyFill="1" applyBorder="1" applyAlignment="1" applyProtection="1">
      <alignment horizontal="center" vertical="center" wrapText="1"/>
      <protection locked="0"/>
    </xf>
    <xf numFmtId="0" fontId="20" fillId="4" borderId="28" xfId="0" applyFont="1" applyFill="1" applyBorder="1" applyAlignment="1" applyProtection="1">
      <alignment horizontal="left" vertical="center"/>
      <protection locked="0"/>
    </xf>
    <xf numFmtId="0" fontId="20" fillId="4" borderId="16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3" fontId="10" fillId="0" borderId="27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32" xfId="0" applyNumberFormat="1" applyFont="1" applyBorder="1" applyAlignment="1" applyProtection="1">
      <alignment horizontal="right" vertical="center" wrapText="1"/>
      <protection locked="0"/>
    </xf>
    <xf numFmtId="3" fontId="3" fillId="0" borderId="32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 indent="3"/>
    </xf>
    <xf numFmtId="3" fontId="3" fillId="0" borderId="29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 applyProtection="1">
      <alignment horizontal="right" vertical="center" wrapText="1"/>
      <protection locked="0"/>
    </xf>
    <xf numFmtId="3" fontId="3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left" vertical="center" wrapText="1" indent="3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/>
      <protection locked="0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43" fontId="38" fillId="0" borderId="8" xfId="0" applyNumberFormat="1" applyFont="1" applyBorder="1" applyAlignment="1">
      <alignment vertical="center"/>
    </xf>
    <xf numFmtId="0" fontId="38" fillId="0" borderId="9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7" fillId="2" borderId="9" xfId="0" applyNumberFormat="1" applyFont="1" applyFill="1" applyBorder="1" applyAlignment="1">
      <alignment vertical="center"/>
    </xf>
    <xf numFmtId="43" fontId="37" fillId="2" borderId="8" xfId="0" applyNumberFormat="1" applyFont="1" applyFill="1" applyBorder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43" fontId="37" fillId="2" borderId="8" xfId="0" applyNumberFormat="1" applyFont="1" applyFill="1" applyBorder="1" applyAlignment="1" applyProtection="1">
      <alignment vertical="center"/>
      <protection locked="0"/>
    </xf>
    <xf numFmtId="0" fontId="37" fillId="2" borderId="9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43" fontId="37" fillId="2" borderId="5" xfId="0" applyNumberFormat="1" applyFont="1" applyFill="1" applyBorder="1" applyAlignment="1">
      <alignment vertical="center"/>
    </xf>
    <xf numFmtId="43" fontId="37" fillId="2" borderId="6" xfId="0" applyNumberFormat="1" applyFont="1" applyFill="1" applyBorder="1" applyAlignment="1" applyProtection="1">
      <alignment vertical="center"/>
      <protection locked="0"/>
    </xf>
    <xf numFmtId="43" fontId="37" fillId="2" borderId="6" xfId="0" applyNumberFormat="1" applyFont="1" applyFill="1" applyBorder="1" applyAlignment="1">
      <alignment vertical="center"/>
    </xf>
    <xf numFmtId="0" fontId="37" fillId="2" borderId="17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left" vertical="center"/>
    </xf>
    <xf numFmtId="0" fontId="0" fillId="6" borderId="0" xfId="0" applyFill="1"/>
    <xf numFmtId="43" fontId="38" fillId="2" borderId="8" xfId="0" applyNumberFormat="1" applyFont="1" applyFill="1" applyBorder="1" applyAlignment="1">
      <alignment vertical="center"/>
    </xf>
    <xf numFmtId="0" fontId="38" fillId="2" borderId="9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9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right"/>
      <protection locked="0"/>
    </xf>
    <xf numFmtId="0" fontId="39" fillId="0" borderId="0" xfId="0" applyFont="1" applyAlignment="1" applyProtection="1">
      <alignment horizontal="left" vertical="justify" indent="3"/>
      <protection locked="0"/>
    </xf>
    <xf numFmtId="0" fontId="39" fillId="0" borderId="0" xfId="0" applyFont="1" applyAlignment="1" applyProtection="1">
      <alignment horizontal="justify"/>
      <protection locked="0"/>
    </xf>
    <xf numFmtId="0" fontId="39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3" fontId="8" fillId="0" borderId="35" xfId="0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41" fillId="0" borderId="32" xfId="0" applyNumberFormat="1" applyFont="1" applyBorder="1" applyAlignment="1">
      <alignment horizontal="right" vertical="center" wrapTex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3" fontId="30" fillId="0" borderId="35" xfId="0" applyNumberFormat="1" applyFont="1" applyBorder="1" applyAlignment="1">
      <alignment horizontal="right" vertical="center" wrapText="1"/>
    </xf>
    <xf numFmtId="3" fontId="30" fillId="0" borderId="32" xfId="0" applyNumberFormat="1" applyFont="1" applyBorder="1" applyAlignment="1" applyProtection="1">
      <alignment horizontal="right" vertical="center" wrapText="1"/>
      <protection locked="0"/>
    </xf>
    <xf numFmtId="3" fontId="30" fillId="0" borderId="32" xfId="0" applyNumberFormat="1" applyFont="1" applyBorder="1" applyAlignment="1">
      <alignment horizontal="right" vertical="center" wrapText="1"/>
    </xf>
    <xf numFmtId="0" fontId="3" fillId="0" borderId="19" xfId="0" applyFont="1" applyBorder="1" applyAlignment="1" applyProtection="1">
      <alignment horizontal="justify" vertical="center" wrapText="1"/>
      <protection locked="0"/>
    </xf>
    <xf numFmtId="3" fontId="30" fillId="0" borderId="29" xfId="0" applyNumberFormat="1" applyFont="1" applyBorder="1" applyAlignment="1">
      <alignment horizontal="right" vertical="center" wrapText="1"/>
    </xf>
    <xf numFmtId="3" fontId="30" fillId="0" borderId="30" xfId="0" applyNumberFormat="1" applyFont="1" applyBorder="1" applyAlignment="1" applyProtection="1">
      <alignment horizontal="right" vertical="center" wrapText="1"/>
      <protection locked="0"/>
    </xf>
    <xf numFmtId="3" fontId="30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left" vertical="center" wrapText="1" indent="2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top"/>
      <protection locked="0"/>
    </xf>
    <xf numFmtId="43" fontId="30" fillId="0" borderId="0" xfId="1" applyFont="1" applyFill="1" applyAlignment="1" applyProtection="1">
      <alignment vertical="center"/>
      <protection locked="0"/>
    </xf>
    <xf numFmtId="43" fontId="42" fillId="0" borderId="0" xfId="1" applyFont="1" applyFill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vertical="center"/>
      <protection locked="0"/>
    </xf>
    <xf numFmtId="166" fontId="28" fillId="0" borderId="0" xfId="0" applyNumberFormat="1" applyFont="1"/>
    <xf numFmtId="0" fontId="10" fillId="0" borderId="16" xfId="0" applyFont="1" applyBorder="1" applyAlignment="1" applyProtection="1">
      <alignment horizontal="justify" vertical="center" wrapText="1"/>
      <protection locked="0"/>
    </xf>
    <xf numFmtId="3" fontId="30" fillId="0" borderId="29" xfId="0" applyNumberFormat="1" applyFont="1" applyBorder="1" applyAlignment="1" applyProtection="1">
      <alignment horizontal="right" vertical="center" wrapText="1"/>
      <protection locked="0"/>
    </xf>
    <xf numFmtId="0" fontId="30" fillId="0" borderId="21" xfId="0" applyFont="1" applyBorder="1" applyAlignment="1" applyProtection="1">
      <alignment horizontal="justify" vertical="center" wrapText="1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3" fontId="42" fillId="0" borderId="0" xfId="0" applyNumberFormat="1" applyFont="1" applyAlignment="1" applyProtection="1">
      <alignment vertical="center"/>
      <protection locked="0"/>
    </xf>
    <xf numFmtId="3" fontId="43" fillId="0" borderId="30" xfId="0" applyNumberFormat="1" applyFont="1" applyBorder="1" applyAlignment="1" applyProtection="1">
      <alignment horizontal="right" vertical="center" wrapText="1"/>
      <protection locked="0"/>
    </xf>
    <xf numFmtId="0" fontId="42" fillId="0" borderId="21" xfId="0" applyFont="1" applyBorder="1" applyAlignment="1" applyProtection="1">
      <alignment horizontal="justify" vertical="center"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17" fillId="0" borderId="35" xfId="0" applyNumberFormat="1" applyFont="1" applyBorder="1" applyAlignment="1" applyProtection="1">
      <alignment horizontal="center" vertical="center" wrapText="1"/>
      <protection locked="0"/>
    </xf>
    <xf numFmtId="49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43" fontId="44" fillId="0" borderId="0" xfId="0" applyNumberFormat="1" applyFont="1"/>
    <xf numFmtId="43" fontId="45" fillId="0" borderId="0" xfId="1" applyFont="1"/>
    <xf numFmtId="43" fontId="0" fillId="0" borderId="0" xfId="1" applyFont="1"/>
    <xf numFmtId="166" fontId="0" fillId="0" borderId="0" xfId="0" applyNumberFormat="1"/>
    <xf numFmtId="43" fontId="44" fillId="0" borderId="0" xfId="1" applyFont="1"/>
    <xf numFmtId="166" fontId="44" fillId="0" borderId="0" xfId="1" applyNumberFormat="1" applyFont="1"/>
    <xf numFmtId="43" fontId="9" fillId="0" borderId="5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45" fillId="0" borderId="0" xfId="0" applyFont="1"/>
    <xf numFmtId="0" fontId="17" fillId="0" borderId="0" xfId="0" applyFont="1" applyAlignment="1">
      <alignment vertical="center"/>
    </xf>
    <xf numFmtId="43" fontId="42" fillId="0" borderId="9" xfId="0" applyNumberFormat="1" applyFont="1" applyBorder="1" applyAlignment="1">
      <alignment horizontal="right" vertical="center" wrapText="1"/>
    </xf>
    <xf numFmtId="43" fontId="42" fillId="2" borderId="9" xfId="0" applyNumberFormat="1" applyFont="1" applyFill="1" applyBorder="1" applyAlignment="1">
      <alignment horizontal="right" vertical="center" wrapText="1"/>
    </xf>
    <xf numFmtId="166" fontId="42" fillId="2" borderId="9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42" fillId="0" borderId="8" xfId="0" applyFont="1" applyBorder="1" applyAlignment="1">
      <alignment horizontal="justify" vertical="center" wrapText="1"/>
    </xf>
    <xf numFmtId="0" fontId="42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3" fontId="30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42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right" vertical="center" wrapText="1"/>
    </xf>
    <xf numFmtId="3" fontId="10" fillId="0" borderId="32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justify" vertical="center" wrapText="1"/>
    </xf>
    <xf numFmtId="4" fontId="3" fillId="0" borderId="29" xfId="0" applyNumberFormat="1" applyFont="1" applyBorder="1" applyAlignment="1">
      <alignment horizontal="justify" vertical="center" wrapText="1"/>
    </xf>
    <xf numFmtId="4" fontId="3" fillId="0" borderId="30" xfId="0" applyNumberFormat="1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49" fontId="17" fillId="0" borderId="0" xfId="0" applyNumberFormat="1" applyFont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 applyProtection="1">
      <alignment horizontal="right" vertical="center" wrapText="1"/>
      <protection locked="0"/>
    </xf>
    <xf numFmtId="4" fontId="3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left" vertical="top" wrapText="1" indent="2"/>
      <protection locked="0"/>
    </xf>
    <xf numFmtId="3" fontId="10" fillId="0" borderId="29" xfId="0" applyNumberFormat="1" applyFont="1" applyBorder="1" applyAlignment="1">
      <alignment horizontal="right" vertical="center" wrapText="1"/>
    </xf>
    <xf numFmtId="3" fontId="10" fillId="0" borderId="30" xfId="0" applyNumberFormat="1" applyFont="1" applyBorder="1" applyAlignment="1">
      <alignment horizontal="right" vertical="center" wrapText="1"/>
    </xf>
    <xf numFmtId="0" fontId="10" fillId="0" borderId="21" xfId="0" applyFont="1" applyBorder="1" applyAlignment="1" applyProtection="1">
      <alignment vertical="center" wrapText="1"/>
      <protection locked="0"/>
    </xf>
    <xf numFmtId="4" fontId="2" fillId="0" borderId="29" xfId="0" applyNumberFormat="1" applyFont="1" applyBorder="1" applyAlignment="1" applyProtection="1">
      <alignment horizontal="justify" vertical="center" wrapText="1"/>
      <protection locked="0"/>
    </xf>
    <xf numFmtId="4" fontId="2" fillId="0" borderId="30" xfId="0" applyNumberFormat="1" applyFont="1" applyBorder="1" applyAlignment="1" applyProtection="1">
      <alignment horizontal="justify" vertical="center" wrapText="1"/>
      <protection locked="0"/>
    </xf>
    <xf numFmtId="0" fontId="2" fillId="0" borderId="21" xfId="0" applyFont="1" applyBorder="1" applyAlignment="1" applyProtection="1">
      <alignment horizontal="justify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8" fillId="0" borderId="32" xfId="0" applyNumberFormat="1" applyFont="1" applyBorder="1" applyAlignment="1" applyProtection="1">
      <alignment horizontal="center" vertical="center" wrapText="1"/>
      <protection locked="0"/>
    </xf>
    <xf numFmtId="4" fontId="8" fillId="0" borderId="36" xfId="0" applyNumberFormat="1" applyFont="1" applyBorder="1" applyAlignment="1" applyProtection="1">
      <alignment horizontal="center" vertical="center" wrapText="1"/>
      <protection locked="0"/>
    </xf>
    <xf numFmtId="4" fontId="8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0" fillId="0" borderId="0" xfId="0" applyNumberFormat="1" applyFont="1" applyAlignment="1" applyProtection="1">
      <alignment horizontal="right" vertical="top"/>
      <protection locked="0"/>
    </xf>
    <xf numFmtId="4" fontId="8" fillId="0" borderId="17" xfId="0" applyNumberFormat="1" applyFont="1" applyBorder="1" applyAlignment="1" applyProtection="1">
      <alignment horizontal="left" vertical="center"/>
      <protection locked="0"/>
    </xf>
    <xf numFmtId="43" fontId="42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166" fontId="42" fillId="0" borderId="5" xfId="0" applyNumberFormat="1" applyFont="1" applyBorder="1" applyAlignment="1">
      <alignment vertical="center"/>
    </xf>
    <xf numFmtId="0" fontId="42" fillId="0" borderId="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43" fontId="42" fillId="0" borderId="9" xfId="0" applyNumberFormat="1" applyFont="1" applyBorder="1" applyAlignment="1">
      <alignment vertical="center"/>
    </xf>
    <xf numFmtId="43" fontId="42" fillId="0" borderId="9" xfId="0" applyNumberFormat="1" applyFont="1" applyBorder="1" applyAlignment="1" applyProtection="1">
      <alignment vertical="center"/>
      <protection locked="0"/>
    </xf>
    <xf numFmtId="0" fontId="42" fillId="0" borderId="9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43" fontId="42" fillId="0" borderId="5" xfId="0" applyNumberFormat="1" applyFont="1" applyBorder="1" applyAlignment="1">
      <alignment vertical="center"/>
    </xf>
    <xf numFmtId="43" fontId="42" fillId="0" borderId="5" xfId="0" applyNumberFormat="1" applyFont="1" applyBorder="1" applyAlignment="1" applyProtection="1">
      <alignment vertical="center"/>
      <protection locked="0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3" fontId="17" fillId="0" borderId="9" xfId="0" applyNumberFormat="1" applyFont="1" applyBorder="1" applyAlignment="1" applyProtection="1">
      <alignment vertical="center"/>
      <protection locked="0"/>
    </xf>
    <xf numFmtId="0" fontId="17" fillId="0" borderId="9" xfId="0" applyFont="1" applyBorder="1" applyAlignment="1">
      <alignment horizontal="justify" vertical="center"/>
    </xf>
    <xf numFmtId="0" fontId="17" fillId="0" borderId="10" xfId="0" applyFont="1" applyBorder="1" applyAlignment="1">
      <alignment horizontal="justify" vertical="center"/>
    </xf>
    <xf numFmtId="43" fontId="45" fillId="0" borderId="0" xfId="0" applyNumberFormat="1" applyFont="1"/>
    <xf numFmtId="43" fontId="17" fillId="0" borderId="9" xfId="0" applyNumberFormat="1" applyFont="1" applyBorder="1" applyAlignment="1">
      <alignment vertical="center"/>
    </xf>
    <xf numFmtId="0" fontId="17" fillId="0" borderId="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6" fontId="0" fillId="2" borderId="0" xfId="0" applyNumberFormat="1" applyFill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42" fillId="0" borderId="0" xfId="1" applyFont="1" applyAlignment="1">
      <alignment vertical="center"/>
    </xf>
    <xf numFmtId="43" fontId="42" fillId="2" borderId="0" xfId="1" applyFont="1" applyFill="1" applyAlignment="1">
      <alignment vertical="center"/>
    </xf>
    <xf numFmtId="166" fontId="28" fillId="2" borderId="0" xfId="0" applyNumberFormat="1" applyFont="1" applyFill="1"/>
    <xf numFmtId="43" fontId="42" fillId="2" borderId="0" xfId="0" applyNumberFormat="1" applyFont="1" applyFill="1" applyAlignment="1">
      <alignment vertical="center"/>
    </xf>
    <xf numFmtId="43" fontId="42" fillId="2" borderId="39" xfId="0" applyNumberFormat="1" applyFont="1" applyFill="1" applyBorder="1" applyAlignment="1">
      <alignment vertical="center"/>
    </xf>
    <xf numFmtId="167" fontId="46" fillId="2" borderId="39" xfId="1" applyNumberFormat="1" applyFont="1" applyFill="1" applyBorder="1" applyAlignment="1">
      <alignment horizontal="right" vertical="center" indent="1"/>
    </xf>
    <xf numFmtId="167" fontId="47" fillId="2" borderId="39" xfId="1" applyNumberFormat="1" applyFont="1" applyFill="1" applyBorder="1" applyAlignment="1">
      <alignment horizontal="right" vertical="center" indent="1"/>
    </xf>
    <xf numFmtId="0" fontId="48" fillId="2" borderId="39" xfId="0" applyFont="1" applyFill="1" applyBorder="1" applyAlignment="1">
      <alignment horizontal="left" vertical="center" wrapText="1"/>
    </xf>
    <xf numFmtId="0" fontId="48" fillId="2" borderId="39" xfId="0" applyFont="1" applyFill="1" applyBorder="1" applyAlignment="1">
      <alignment horizontal="right" vertical="center"/>
    </xf>
    <xf numFmtId="0" fontId="28" fillId="2" borderId="39" xfId="0" applyFont="1" applyFill="1" applyBorder="1" applyAlignment="1">
      <alignment horizontal="left" vertical="center" wrapText="1"/>
    </xf>
    <xf numFmtId="0" fontId="46" fillId="2" borderId="39" xfId="0" applyFont="1" applyFill="1" applyBorder="1" applyAlignment="1">
      <alignment horizontal="right" vertical="center"/>
    </xf>
    <xf numFmtId="0" fontId="46" fillId="2" borderId="39" xfId="0" applyFont="1" applyFill="1" applyBorder="1" applyAlignment="1">
      <alignment horizontal="left" vertical="center"/>
    </xf>
    <xf numFmtId="0" fontId="47" fillId="2" borderId="39" xfId="0" applyFont="1" applyFill="1" applyBorder="1" applyAlignment="1">
      <alignment horizontal="right" vertical="center"/>
    </xf>
    <xf numFmtId="0" fontId="46" fillId="2" borderId="39" xfId="0" applyFont="1" applyFill="1" applyBorder="1" applyAlignment="1">
      <alignment horizontal="center" vertical="center"/>
    </xf>
    <xf numFmtId="167" fontId="0" fillId="0" borderId="0" xfId="0" applyNumberFormat="1"/>
    <xf numFmtId="0" fontId="47" fillId="2" borderId="39" xfId="0" applyFont="1" applyFill="1" applyBorder="1" applyAlignment="1">
      <alignment horizontal="left" vertical="center" wrapText="1"/>
    </xf>
    <xf numFmtId="0" fontId="46" fillId="2" borderId="39" xfId="0" applyFont="1" applyFill="1" applyBorder="1" applyAlignment="1">
      <alignment horizontal="left" vertical="center" wrapText="1"/>
    </xf>
    <xf numFmtId="0" fontId="28" fillId="2" borderId="39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left" vertical="center"/>
    </xf>
    <xf numFmtId="4" fontId="47" fillId="2" borderId="39" xfId="0" applyNumberFormat="1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vertical="center" wrapText="1"/>
    </xf>
    <xf numFmtId="4" fontId="48" fillId="2" borderId="39" xfId="0" applyNumberFormat="1" applyFont="1" applyFill="1" applyBorder="1" applyAlignment="1">
      <alignment horizontal="left" vertical="center" wrapText="1"/>
    </xf>
    <xf numFmtId="4" fontId="28" fillId="2" borderId="39" xfId="0" applyNumberFormat="1" applyFont="1" applyFill="1" applyBorder="1" applyAlignment="1">
      <alignment horizontal="left" vertical="center" wrapText="1"/>
    </xf>
    <xf numFmtId="0" fontId="46" fillId="2" borderId="39" xfId="0" applyFont="1" applyFill="1" applyBorder="1" applyAlignment="1">
      <alignment horizontal="left" vertical="center" wrapText="1" indent="4"/>
    </xf>
    <xf numFmtId="0" fontId="46" fillId="2" borderId="39" xfId="0" applyFont="1" applyFill="1" applyBorder="1" applyAlignment="1">
      <alignment horizontal="left" vertical="center" wrapText="1" indent="2"/>
    </xf>
    <xf numFmtId="0" fontId="48" fillId="2" borderId="39" xfId="0" applyFont="1" applyFill="1" applyBorder="1" applyAlignment="1">
      <alignment vertical="center" wrapText="1"/>
    </xf>
    <xf numFmtId="0" fontId="46" fillId="2" borderId="39" xfId="0" applyFont="1" applyFill="1" applyBorder="1" applyAlignment="1">
      <alignment horizontal="center" vertical="center" wrapText="1"/>
    </xf>
    <xf numFmtId="4" fontId="46" fillId="2" borderId="39" xfId="0" applyNumberFormat="1" applyFont="1" applyFill="1" applyBorder="1" applyAlignment="1">
      <alignment horizontal="left" vertical="center" wrapText="1"/>
    </xf>
    <xf numFmtId="0" fontId="48" fillId="2" borderId="39" xfId="0" applyFont="1" applyFill="1" applyBorder="1"/>
    <xf numFmtId="43" fontId="42" fillId="2" borderId="40" xfId="0" applyNumberFormat="1" applyFont="1" applyFill="1" applyBorder="1" applyAlignment="1">
      <alignment vertical="center"/>
    </xf>
    <xf numFmtId="167" fontId="46" fillId="2" borderId="40" xfId="1" applyNumberFormat="1" applyFont="1" applyFill="1" applyBorder="1" applyAlignment="1">
      <alignment horizontal="right" vertical="center" indent="1"/>
    </xf>
    <xf numFmtId="4" fontId="46" fillId="2" borderId="40" xfId="0" applyNumberFormat="1" applyFont="1" applyFill="1" applyBorder="1" applyAlignment="1">
      <alignment horizontal="left" vertical="center" wrapText="1"/>
    </xf>
    <xf numFmtId="0" fontId="46" fillId="2" borderId="40" xfId="0" applyFont="1" applyFill="1" applyBorder="1" applyAlignment="1">
      <alignment horizontal="left" vertical="center" wrapText="1"/>
    </xf>
    <xf numFmtId="9" fontId="49" fillId="0" borderId="0" xfId="2" applyFont="1" applyFill="1" applyBorder="1" applyAlignment="1">
      <alignment horizontal="center" vertical="center" wrapText="1"/>
    </xf>
    <xf numFmtId="9" fontId="49" fillId="0" borderId="5" xfId="2" applyFont="1" applyFill="1" applyBorder="1" applyAlignment="1">
      <alignment horizontal="center" vertical="center" wrapText="1"/>
    </xf>
    <xf numFmtId="43" fontId="49" fillId="0" borderId="32" xfId="0" applyNumberFormat="1" applyFont="1" applyBorder="1" applyAlignment="1">
      <alignment horizontal="center" vertical="center" wrapText="1"/>
    </xf>
    <xf numFmtId="166" fontId="49" fillId="2" borderId="32" xfId="0" applyNumberFormat="1" applyFont="1" applyFill="1" applyBorder="1" applyAlignment="1">
      <alignment horizontal="center" vertical="center" wrapText="1"/>
    </xf>
    <xf numFmtId="166" fontId="49" fillId="2" borderId="32" xfId="0" applyNumberFormat="1" applyFont="1" applyFill="1" applyBorder="1" applyAlignment="1">
      <alignment horizontal="center" vertical="center"/>
    </xf>
    <xf numFmtId="166" fontId="49" fillId="2" borderId="32" xfId="1" applyNumberFormat="1" applyFont="1" applyFill="1" applyBorder="1" applyAlignment="1">
      <alignment horizontal="center" vertical="center"/>
    </xf>
    <xf numFmtId="166" fontId="49" fillId="0" borderId="32" xfId="0" applyNumberFormat="1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9" fontId="49" fillId="0" borderId="3" xfId="2" applyFont="1" applyFill="1" applyBorder="1" applyAlignment="1">
      <alignment horizontal="center" vertical="center" wrapText="1"/>
    </xf>
    <xf numFmtId="43" fontId="49" fillId="0" borderId="37" xfId="0" applyNumberFormat="1" applyFont="1" applyBorder="1" applyAlignment="1">
      <alignment horizontal="center" vertical="center" wrapText="1"/>
    </xf>
    <xf numFmtId="166" fontId="49" fillId="2" borderId="37" xfId="0" applyNumberFormat="1" applyFont="1" applyFill="1" applyBorder="1" applyAlignment="1">
      <alignment horizontal="center" vertical="center" wrapText="1"/>
    </xf>
    <xf numFmtId="166" fontId="49" fillId="2" borderId="37" xfId="1" applyNumberFormat="1" applyFont="1" applyFill="1" applyBorder="1" applyAlignment="1">
      <alignment horizontal="center" vertical="center" wrapText="1"/>
    </xf>
    <xf numFmtId="166" fontId="49" fillId="0" borderId="37" xfId="0" applyNumberFormat="1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68" fontId="50" fillId="0" borderId="0" xfId="0" applyNumberFormat="1" applyFont="1" applyAlignment="1">
      <alignment horizontal="center"/>
    </xf>
    <xf numFmtId="168" fontId="50" fillId="0" borderId="0" xfId="0" applyNumberFormat="1" applyFont="1" applyAlignment="1">
      <alignment horizontal="center"/>
    </xf>
    <xf numFmtId="168" fontId="51" fillId="0" borderId="0" xfId="0" applyNumberFormat="1" applyFont="1" applyAlignment="1">
      <alignment horizontal="center"/>
    </xf>
    <xf numFmtId="168" fontId="51" fillId="0" borderId="0" xfId="0" applyNumberFormat="1" applyFont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43" fontId="52" fillId="0" borderId="8" xfId="0" applyNumberFormat="1" applyFont="1" applyBorder="1" applyAlignment="1">
      <alignment horizontal="right" wrapText="1"/>
    </xf>
    <xf numFmtId="0" fontId="26" fillId="0" borderId="10" xfId="0" applyFont="1" applyBorder="1" applyAlignment="1">
      <alignment horizontal="left" vertical="center" wrapText="1"/>
    </xf>
    <xf numFmtId="43" fontId="26" fillId="0" borderId="9" xfId="0" applyNumberFormat="1" applyFont="1" applyBorder="1" applyAlignment="1">
      <alignment horizontal="right" wrapText="1"/>
    </xf>
    <xf numFmtId="43" fontId="26" fillId="0" borderId="9" xfId="0" applyNumberFormat="1" applyFont="1" applyBorder="1" applyAlignment="1" applyProtection="1">
      <alignment horizontal="right" wrapText="1"/>
      <protection locked="0"/>
    </xf>
    <xf numFmtId="43" fontId="26" fillId="0" borderId="8" xfId="0" applyNumberFormat="1" applyFont="1" applyBorder="1" applyAlignment="1" applyProtection="1">
      <alignment horizontal="right" wrapText="1"/>
      <protection locked="0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43" fontId="26" fillId="0" borderId="8" xfId="0" applyNumberFormat="1" applyFont="1" applyBorder="1" applyAlignment="1">
      <alignment horizontal="right" wrapText="1"/>
    </xf>
    <xf numFmtId="43" fontId="52" fillId="0" borderId="9" xfId="0" applyNumberFormat="1" applyFont="1" applyBorder="1" applyAlignment="1">
      <alignment horizontal="right" wrapText="1"/>
    </xf>
    <xf numFmtId="43" fontId="52" fillId="0" borderId="9" xfId="0" applyNumberFormat="1" applyFont="1" applyBorder="1" applyAlignment="1" applyProtection="1">
      <alignment horizontal="right" wrapText="1"/>
      <protection locked="0"/>
    </xf>
    <xf numFmtId="43" fontId="52" fillId="0" borderId="8" xfId="0" applyNumberFormat="1" applyFont="1" applyBorder="1" applyAlignment="1" applyProtection="1">
      <alignment horizontal="right" wrapText="1"/>
      <protection locked="0"/>
    </xf>
    <xf numFmtId="0" fontId="26" fillId="3" borderId="6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 applyProtection="1">
      <alignment horizontal="justify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justify" vertical="center"/>
      <protection locked="0"/>
    </xf>
    <xf numFmtId="43" fontId="31" fillId="0" borderId="28" xfId="1" applyFont="1" applyFill="1" applyBorder="1" applyAlignment="1" applyProtection="1">
      <alignment horizontal="justify"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4" fontId="31" fillId="0" borderId="35" xfId="0" applyNumberFormat="1" applyFont="1" applyBorder="1" applyAlignment="1">
      <alignment horizontal="right" vertical="center"/>
    </xf>
    <xf numFmtId="43" fontId="31" fillId="0" borderId="32" xfId="1" applyFont="1" applyFill="1" applyBorder="1" applyAlignment="1" applyProtection="1">
      <alignment horizontal="justify" vertical="center"/>
      <protection locked="0"/>
    </xf>
    <xf numFmtId="0" fontId="33" fillId="0" borderId="19" xfId="0" applyFont="1" applyBorder="1" applyAlignment="1" applyProtection="1">
      <alignment horizontal="justify" vertical="center"/>
      <protection locked="0"/>
    </xf>
    <xf numFmtId="4" fontId="31" fillId="0" borderId="29" xfId="0" applyNumberFormat="1" applyFont="1" applyBorder="1" applyAlignment="1">
      <alignment horizontal="right" vertical="center"/>
    </xf>
    <xf numFmtId="43" fontId="2" fillId="0" borderId="30" xfId="1" applyFont="1" applyFill="1" applyBorder="1" applyAlignment="1" applyProtection="1">
      <alignment horizontal="right" vertical="center"/>
      <protection locked="0"/>
    </xf>
    <xf numFmtId="0" fontId="33" fillId="0" borderId="21" xfId="0" applyFont="1" applyBorder="1" applyAlignment="1" applyProtection="1">
      <alignment horizontal="left" vertical="center" indent="3"/>
      <protection locked="0"/>
    </xf>
    <xf numFmtId="4" fontId="20" fillId="4" borderId="36" xfId="0" applyNumberFormat="1" applyFont="1" applyFill="1" applyBorder="1" applyAlignment="1">
      <alignment horizontal="right" vertical="center" wrapText="1"/>
    </xf>
    <xf numFmtId="43" fontId="31" fillId="0" borderId="37" xfId="1" applyFont="1" applyFill="1" applyBorder="1" applyAlignment="1" applyProtection="1">
      <alignment horizontal="justify"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4" fontId="31" fillId="0" borderId="17" xfId="0" applyNumberFormat="1" applyFont="1" applyBorder="1" applyAlignment="1">
      <alignment horizontal="right" vertical="center"/>
    </xf>
    <xf numFmtId="0" fontId="32" fillId="0" borderId="17" xfId="0" applyFont="1" applyBorder="1" applyAlignment="1" applyProtection="1">
      <alignment horizontal="left" vertical="center"/>
      <protection locked="0"/>
    </xf>
    <xf numFmtId="4" fontId="31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 applyProtection="1">
      <alignment horizontal="justify" vertical="center"/>
      <protection locked="0"/>
    </xf>
    <xf numFmtId="43" fontId="2" fillId="0" borderId="32" xfId="1" applyFont="1" applyFill="1" applyBorder="1" applyAlignment="1" applyProtection="1">
      <alignment horizontal="right" vertical="center"/>
      <protection locked="0"/>
    </xf>
    <xf numFmtId="0" fontId="31" fillId="0" borderId="37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4" fontId="20" fillId="0" borderId="17" xfId="0" applyNumberFormat="1" applyFont="1" applyBorder="1" applyAlignment="1">
      <alignment horizontal="right" vertical="center" wrapText="1"/>
    </xf>
    <xf numFmtId="0" fontId="20" fillId="0" borderId="17" xfId="0" applyFont="1" applyBorder="1" applyAlignment="1" applyProtection="1">
      <alignment horizontal="left" vertical="center"/>
      <protection locked="0"/>
    </xf>
    <xf numFmtId="4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vertical="center"/>
      <protection locked="0"/>
    </xf>
    <xf numFmtId="4" fontId="20" fillId="0" borderId="17" xfId="0" applyNumberFormat="1" applyFont="1" applyBorder="1" applyAlignment="1" applyProtection="1">
      <alignment horizontal="left" vertical="top"/>
      <protection locked="0"/>
    </xf>
    <xf numFmtId="4" fontId="20" fillId="0" borderId="17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4" fillId="0" borderId="0" xfId="0" applyFont="1" applyProtection="1">
      <protection locked="0"/>
    </xf>
    <xf numFmtId="4" fontId="55" fillId="0" borderId="0" xfId="0" applyNumberFormat="1" applyFont="1" applyAlignment="1">
      <alignment horizontal="right" vertical="center"/>
    </xf>
    <xf numFmtId="0" fontId="55" fillId="0" borderId="0" xfId="0" applyFont="1" applyAlignment="1" applyProtection="1">
      <alignment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4" fontId="55" fillId="0" borderId="27" xfId="0" applyNumberFormat="1" applyFont="1" applyBorder="1" applyAlignment="1">
      <alignment horizontal="right" vertical="center"/>
    </xf>
    <xf numFmtId="4" fontId="55" fillId="0" borderId="28" xfId="0" applyNumberFormat="1" applyFont="1" applyBorder="1" applyAlignment="1">
      <alignment horizontal="right" vertical="center"/>
    </xf>
    <xf numFmtId="0" fontId="55" fillId="0" borderId="41" xfId="0" applyFont="1" applyBorder="1" applyAlignment="1" applyProtection="1">
      <alignment vertical="center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  <protection locked="0"/>
    </xf>
    <xf numFmtId="4" fontId="55" fillId="0" borderId="9" xfId="0" applyNumberFormat="1" applyFont="1" applyBorder="1" applyAlignment="1">
      <alignment horizontal="right" vertical="center"/>
    </xf>
    <xf numFmtId="4" fontId="55" fillId="0" borderId="33" xfId="0" applyNumberFormat="1" applyFont="1" applyBorder="1" applyAlignment="1">
      <alignment horizontal="right" vertical="center"/>
    </xf>
    <xf numFmtId="4" fontId="55" fillId="0" borderId="30" xfId="0" applyNumberFormat="1" applyFont="1" applyBorder="1" applyAlignment="1">
      <alignment horizontal="right" vertical="center"/>
    </xf>
    <xf numFmtId="0" fontId="55" fillId="0" borderId="33" xfId="0" applyFont="1" applyBorder="1" applyAlignment="1" applyProtection="1">
      <alignment horizontal="left" vertical="center" wrapText="1"/>
      <protection locked="0"/>
    </xf>
    <xf numFmtId="0" fontId="55" fillId="0" borderId="10" xfId="0" applyFont="1" applyBorder="1" applyAlignment="1" applyProtection="1">
      <alignment horizontal="center" vertical="center"/>
      <protection locked="0"/>
    </xf>
    <xf numFmtId="4" fontId="55" fillId="0" borderId="33" xfId="0" applyNumberFormat="1" applyFont="1" applyBorder="1" applyAlignment="1" applyProtection="1">
      <alignment horizontal="right" vertical="center"/>
      <protection locked="0"/>
    </xf>
    <xf numFmtId="4" fontId="55" fillId="0" borderId="30" xfId="0" applyNumberFormat="1" applyFont="1" applyBorder="1" applyAlignment="1" applyProtection="1">
      <alignment horizontal="right" vertical="center"/>
      <protection locked="0"/>
    </xf>
    <xf numFmtId="0" fontId="55" fillId="0" borderId="33" xfId="0" applyFont="1" applyBorder="1" applyAlignment="1" applyProtection="1">
      <alignment horizontal="center" vertical="center"/>
      <protection locked="0"/>
    </xf>
    <xf numFmtId="0" fontId="55" fillId="4" borderId="42" xfId="0" applyFont="1" applyFill="1" applyBorder="1" applyAlignment="1" applyProtection="1">
      <alignment horizontal="center" vertical="center"/>
      <protection locked="0"/>
    </xf>
    <xf numFmtId="0" fontId="55" fillId="4" borderId="43" xfId="0" applyFont="1" applyFill="1" applyBorder="1" applyAlignment="1" applyProtection="1">
      <alignment horizontal="center" vertical="center"/>
      <protection locked="0"/>
    </xf>
    <xf numFmtId="0" fontId="55" fillId="4" borderId="44" xfId="0" applyFont="1" applyFill="1" applyBorder="1" applyAlignment="1" applyProtection="1">
      <alignment horizontal="center" vertical="center"/>
      <protection locked="0"/>
    </xf>
    <xf numFmtId="0" fontId="55" fillId="0" borderId="33" xfId="0" applyFont="1" applyBorder="1" applyAlignment="1" applyProtection="1">
      <alignment horizontal="left" vertical="center"/>
      <protection locked="0"/>
    </xf>
    <xf numFmtId="0" fontId="55" fillId="4" borderId="45" xfId="0" applyFont="1" applyFill="1" applyBorder="1" applyAlignment="1" applyProtection="1">
      <alignment horizontal="center" vertical="center"/>
      <protection locked="0"/>
    </xf>
    <xf numFmtId="0" fontId="55" fillId="4" borderId="46" xfId="0" applyFont="1" applyFill="1" applyBorder="1" applyAlignment="1" applyProtection="1">
      <alignment horizontal="center" vertical="center"/>
      <protection locked="0"/>
    </xf>
    <xf numFmtId="0" fontId="55" fillId="4" borderId="47" xfId="0" applyFont="1" applyFill="1" applyBorder="1" applyAlignment="1" applyProtection="1">
      <alignment horizontal="center" vertical="center"/>
      <protection locked="0"/>
    </xf>
    <xf numFmtId="0" fontId="55" fillId="0" borderId="48" xfId="0" applyFont="1" applyBorder="1" applyAlignment="1" applyProtection="1">
      <alignment horizontal="center" vertical="center"/>
      <protection locked="0"/>
    </xf>
    <xf numFmtId="0" fontId="55" fillId="0" borderId="49" xfId="0" applyFont="1" applyBorder="1" applyAlignment="1" applyProtection="1">
      <alignment horizontal="center" vertical="center"/>
      <protection locked="0"/>
    </xf>
    <xf numFmtId="0" fontId="55" fillId="0" borderId="31" xfId="0" applyFont="1" applyBorder="1" applyAlignment="1" applyProtection="1">
      <alignment horizontal="center" vertical="center"/>
      <protection locked="0"/>
    </xf>
    <xf numFmtId="0" fontId="55" fillId="0" borderId="7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 wrapText="1"/>
      <protection locked="0"/>
    </xf>
    <xf numFmtId="0" fontId="55" fillId="0" borderId="37" xfId="0" applyFont="1" applyBorder="1" applyAlignment="1" applyProtection="1">
      <alignment horizontal="center" vertical="center" wrapText="1"/>
      <protection locked="0"/>
    </xf>
    <xf numFmtId="0" fontId="55" fillId="0" borderId="22" xfId="0" applyFont="1" applyBorder="1" applyAlignment="1" applyProtection="1">
      <alignment horizontal="center" vertical="center" wrapText="1"/>
      <protection locked="0"/>
    </xf>
    <xf numFmtId="0" fontId="55" fillId="0" borderId="34" xfId="0" applyFont="1" applyBorder="1" applyAlignment="1" applyProtection="1">
      <alignment horizontal="center" vertical="center"/>
      <protection locked="0"/>
    </xf>
    <xf numFmtId="0" fontId="55" fillId="0" borderId="11" xfId="0" applyFont="1" applyBorder="1" applyAlignment="1" applyProtection="1">
      <alignment horizontal="center" vertical="center"/>
      <protection locked="0"/>
    </xf>
    <xf numFmtId="0" fontId="56" fillId="0" borderId="0" xfId="0" applyFont="1" applyProtection="1">
      <protection locked="0"/>
    </xf>
    <xf numFmtId="0" fontId="56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0" borderId="0" xfId="0" applyFont="1" applyAlignment="1">
      <alignment horizontal="center" vertical="top"/>
    </xf>
    <xf numFmtId="4" fontId="55" fillId="0" borderId="1" xfId="0" applyNumberFormat="1" applyFont="1" applyBorder="1" applyAlignment="1">
      <alignment horizontal="right" vertical="center"/>
    </xf>
    <xf numFmtId="0" fontId="55" fillId="0" borderId="9" xfId="0" applyFont="1" applyBorder="1" applyAlignment="1" applyProtection="1">
      <alignment horizontal="center" vertical="center"/>
      <protection locked="0"/>
    </xf>
    <xf numFmtId="0" fontId="55" fillId="0" borderId="30" xfId="0" applyFont="1" applyBorder="1" applyAlignment="1" applyProtection="1">
      <alignment horizontal="center" vertical="center"/>
      <protection locked="0"/>
    </xf>
    <xf numFmtId="0" fontId="55" fillId="0" borderId="35" xfId="0" applyFont="1" applyBorder="1" applyAlignment="1" applyProtection="1">
      <alignment horizontal="center" vertical="center"/>
      <protection locked="0"/>
    </xf>
    <xf numFmtId="0" fontId="55" fillId="0" borderId="32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/>
      <protection locked="0"/>
    </xf>
    <xf numFmtId="0" fontId="55" fillId="0" borderId="37" xfId="0" applyFont="1" applyBorder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61E7DDE-9458-4A70-8A53-40E52624283D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7264B68-FD4C-4671-86A1-A76A2287C8A9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987260</xdr:colOff>
      <xdr:row>0</xdr:row>
      <xdr:rowOff>0</xdr:rowOff>
    </xdr:from>
    <xdr:ext cx="898002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78D4A00-8154-4203-8519-39D7A15D8A7F}"/>
            </a:ext>
          </a:extLst>
        </xdr:cNvPr>
        <xdr:cNvSpPr txBox="1"/>
      </xdr:nvSpPr>
      <xdr:spPr>
        <a:xfrm>
          <a:off x="5263985" y="0"/>
          <a:ext cx="89800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6D9EFB65-B8DE-4C80-8283-65B422C0A9FF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91AD126C-6728-45BE-9C89-E0E1B8541356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B318CFC0-8257-4449-AE24-6965E47B6E6D}"/>
            </a:ext>
          </a:extLst>
        </xdr:cNvPr>
        <xdr:cNvSpPr txBox="1"/>
      </xdr:nvSpPr>
      <xdr:spPr>
        <a:xfrm>
          <a:off x="52673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46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35F07AF5-DE2C-4E28-8838-4DD5CBDBBBC0}"/>
            </a:ext>
          </a:extLst>
        </xdr:cNvPr>
        <xdr:cNvSpPr txBox="1"/>
      </xdr:nvSpPr>
      <xdr:spPr>
        <a:xfrm>
          <a:off x="752475" y="87725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46</xdr:row>
      <xdr:rowOff>19049</xdr:rowOff>
    </xdr:from>
    <xdr:ext cx="3019425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39D5B94A-D351-4029-A845-9F6AE11D6193}"/>
            </a:ext>
          </a:extLst>
        </xdr:cNvPr>
        <xdr:cNvSpPr txBox="1"/>
      </xdr:nvSpPr>
      <xdr:spPr>
        <a:xfrm>
          <a:off x="3009900" y="8782049"/>
          <a:ext cx="301942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838199</xdr:colOff>
      <xdr:row>3</xdr:row>
      <xdr:rowOff>145493</xdr:rowOff>
    </xdr:from>
    <xdr:ext cx="2000249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D0C2F9AB-AA80-4369-88B5-C319BD47D72B}"/>
            </a:ext>
          </a:extLst>
        </xdr:cNvPr>
        <xdr:cNvSpPr txBox="1"/>
      </xdr:nvSpPr>
      <xdr:spPr>
        <a:xfrm>
          <a:off x="4514849" y="716993"/>
          <a:ext cx="200024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CUARTO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DE4B57C-DD6D-4B0B-BC72-5C41442D8B7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5E03E8F-DB08-4357-8512-0B80F66ACB8C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272424B-DD8C-4AEB-9DC2-3887BB84594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FB45B17-BEC4-45F0-A44F-430A610448D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2204755-1211-4A87-A70E-F182323CD72A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410A838-8042-484A-B1F9-9F932873341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2EE90EB2-5DA5-4902-B854-7ECEFC84F053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3B1828CA-3635-4264-B85D-1EC842507CE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767115CA-E255-4E69-A693-1F58D95A5381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2B063780-9804-477B-A705-FEBDD145C9A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A377A16E-A300-4D99-A2B8-49739EADE34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65E7066-C183-4C0F-B58B-FC6F7D847EC9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8AC6F2B3-D52A-4E7E-89DD-E47029472E48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6158829-3D40-4F7D-A192-5CA5C497AA2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956206FC-F400-4320-B738-F38D726FA43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9ADAB461-6ED5-4601-AA13-7A7DAC3DE877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0ACB3ACD-C15D-41FC-848F-0D1B5D6DB024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53AE0758-EB5F-4B4B-82E4-3A4852124934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0</xdr:col>
      <xdr:colOff>533400</xdr:colOff>
      <xdr:row>24</xdr:row>
      <xdr:rowOff>0</xdr:rowOff>
    </xdr:from>
    <xdr:ext cx="303847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333D21F5-6BBC-4CB9-9BFC-DC4EFC094001}"/>
            </a:ext>
          </a:extLst>
        </xdr:cNvPr>
        <xdr:cNvSpPr txBox="1"/>
      </xdr:nvSpPr>
      <xdr:spPr>
        <a:xfrm>
          <a:off x="533400" y="4572000"/>
          <a:ext cx="30384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3400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52ACFAF8-8FAD-4AAF-A5A9-31D6E8BF8D20}"/>
            </a:ext>
          </a:extLst>
        </xdr:cNvPr>
        <xdr:cNvSpPr txBox="1"/>
      </xdr:nvSpPr>
      <xdr:spPr>
        <a:xfrm>
          <a:off x="2257425" y="4572000"/>
          <a:ext cx="3400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838200</xdr:colOff>
      <xdr:row>4</xdr:row>
      <xdr:rowOff>123825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5B95B46E-BBA8-4D18-B71D-415F8B97B1E1}"/>
            </a:ext>
          </a:extLst>
        </xdr:cNvPr>
        <xdr:cNvSpPr txBox="1"/>
      </xdr:nvSpPr>
      <xdr:spPr>
        <a:xfrm>
          <a:off x="30099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4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A49A95CE-E513-4B7E-A92E-FCC7F032D969}"/>
            </a:ext>
          </a:extLst>
        </xdr:cNvPr>
        <xdr:cNvSpPr txBox="1"/>
      </xdr:nvSpPr>
      <xdr:spPr>
        <a:xfrm>
          <a:off x="1495425" y="9048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1100"/>
            <a:t>(PESOS)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50F66A26-2AC1-459E-9CBE-4FDAFD87A9C5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1688D66-6EF2-4EF7-9CEC-761DC02DD233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F3E6B6E-79E1-4D84-B4BA-B1CBBC81FBD1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3438D685-57FA-4FAA-A48F-1B735D1C37C6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419F0A36-2A1D-46DA-B8C5-35379CECB00A}"/>
            </a:ext>
          </a:extLst>
        </xdr:cNvPr>
        <xdr:cNvSpPr txBox="1"/>
      </xdr:nvSpPr>
      <xdr:spPr>
        <a:xfrm>
          <a:off x="3810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5017241-5539-4FDF-A412-84681CCB6A43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0</xdr:col>
      <xdr:colOff>559859</xdr:colOff>
      <xdr:row>44</xdr:row>
      <xdr:rowOff>137583</xdr:rowOff>
    </xdr:from>
    <xdr:ext cx="2733674" cy="63817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10F9AEB7-33BC-4D7D-AFDA-381F852F9AD4}"/>
            </a:ext>
          </a:extLst>
        </xdr:cNvPr>
        <xdr:cNvSpPr txBox="1"/>
      </xdr:nvSpPr>
      <xdr:spPr>
        <a:xfrm>
          <a:off x="559859" y="8519583"/>
          <a:ext cx="273367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338666</xdr:colOff>
      <xdr:row>44</xdr:row>
      <xdr:rowOff>127000</xdr:rowOff>
    </xdr:from>
    <xdr:ext cx="3310468" cy="747183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A4087ABD-85BB-4357-886A-88CACB63B721}"/>
            </a:ext>
          </a:extLst>
        </xdr:cNvPr>
        <xdr:cNvSpPr txBox="1"/>
      </xdr:nvSpPr>
      <xdr:spPr>
        <a:xfrm>
          <a:off x="1862666" y="8509000"/>
          <a:ext cx="3310468" cy="7471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219075</xdr:colOff>
      <xdr:row>4</xdr:row>
      <xdr:rowOff>152400</xdr:rowOff>
    </xdr:from>
    <xdr:ext cx="2790824" cy="254557"/>
    <xdr:sp macro="" textlink="">
      <xdr:nvSpPr>
        <xdr:cNvPr id="11" name="20 CuadroTexto">
          <a:extLst>
            <a:ext uri="{FF2B5EF4-FFF2-40B4-BE49-F238E27FC236}">
              <a16:creationId xmlns:a16="http://schemas.microsoft.com/office/drawing/2014/main" id="{1CC61C36-4075-41DF-9C9E-D992CFE38111}"/>
            </a:ext>
          </a:extLst>
        </xdr:cNvPr>
        <xdr:cNvSpPr txBox="1"/>
      </xdr:nvSpPr>
      <xdr:spPr>
        <a:xfrm>
          <a:off x="2505075" y="914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0</xdr:row>
      <xdr:rowOff>0</xdr:rowOff>
    </xdr:from>
    <xdr:ext cx="923924" cy="333375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F22D79F-1F27-4689-A7A2-E092985D44BA}"/>
            </a:ext>
          </a:extLst>
        </xdr:cNvPr>
        <xdr:cNvSpPr txBox="1"/>
      </xdr:nvSpPr>
      <xdr:spPr>
        <a:xfrm>
          <a:off x="5133975" y="0"/>
          <a:ext cx="923924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D40D09E7-2F81-4093-A015-046B654E1D87}"/>
            </a:ext>
          </a:extLst>
        </xdr:cNvPr>
        <xdr:cNvSpPr txBox="1"/>
      </xdr:nvSpPr>
      <xdr:spPr>
        <a:xfrm>
          <a:off x="762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22E2FD4-DAA8-4382-A0CA-410F806A1AC8}"/>
            </a:ext>
          </a:extLst>
        </xdr:cNvPr>
        <xdr:cNvSpPr txBox="1"/>
      </xdr:nvSpPr>
      <xdr:spPr>
        <a:xfrm>
          <a:off x="2286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129117</xdr:colOff>
      <xdr:row>4</xdr:row>
      <xdr:rowOff>41275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D9A74B9-6E5E-413E-A832-31E32D25ACC0}"/>
            </a:ext>
          </a:extLst>
        </xdr:cNvPr>
        <xdr:cNvSpPr txBox="1"/>
      </xdr:nvSpPr>
      <xdr:spPr>
        <a:xfrm>
          <a:off x="3939117" y="8032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114300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DCC3836-4B2F-457F-BC5C-4074D3177DCF}"/>
            </a:ext>
          </a:extLst>
        </xdr:cNvPr>
        <xdr:cNvSpPr txBox="1"/>
      </xdr:nvSpPr>
      <xdr:spPr>
        <a:xfrm>
          <a:off x="5248275" y="11430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22B85F2-5D1E-4192-9A7D-A2F268CA2BBA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247650</xdr:colOff>
      <xdr:row>4</xdr:row>
      <xdr:rowOff>133350</xdr:rowOff>
    </xdr:from>
    <xdr:ext cx="2790824" cy="254557"/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66917FE0-C5BC-47F6-BC26-26A0DD8BACC7}"/>
            </a:ext>
          </a:extLst>
        </xdr:cNvPr>
        <xdr:cNvSpPr txBox="1"/>
      </xdr:nvSpPr>
      <xdr:spPr>
        <a:xfrm>
          <a:off x="4057650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:_CUARTO 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269C502-F139-4DB9-92FB-28EC78D211AF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F0C11F57-6138-4F99-85B4-02F43EDE2417}"/>
            </a:ext>
          </a:extLst>
        </xdr:cNvPr>
        <xdr:cNvSpPr txBox="1"/>
      </xdr:nvSpPr>
      <xdr:spPr>
        <a:xfrm>
          <a:off x="0" y="6667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BE74249A-4D38-4F9D-9475-52681137F622}"/>
            </a:ext>
          </a:extLst>
        </xdr:cNvPr>
        <xdr:cNvSpPr txBox="1"/>
      </xdr:nvSpPr>
      <xdr:spPr>
        <a:xfrm>
          <a:off x="2286000" y="6667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247650</xdr:colOff>
      <xdr:row>4</xdr:row>
      <xdr:rowOff>133350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2C07784-3E18-431A-832D-17A2339852D5}"/>
            </a:ext>
          </a:extLst>
        </xdr:cNvPr>
        <xdr:cNvSpPr txBox="1"/>
      </xdr:nvSpPr>
      <xdr:spPr>
        <a:xfrm>
          <a:off x="2533650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521B7C9-CCC6-457A-853E-047FE6561F4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36D5A329-E9E2-4D9C-8487-BC3E15E4D25F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FA26330-6D91-4AE6-AEB1-D4EEE573B48C}"/>
            </a:ext>
          </a:extLst>
        </xdr:cNvPr>
        <xdr:cNvSpPr txBox="1"/>
      </xdr:nvSpPr>
      <xdr:spPr>
        <a:xfrm>
          <a:off x="7524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3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815C1E98-4046-4B79-AAD8-B2EB7B2FF116}"/>
            </a:ext>
          </a:extLst>
        </xdr:cNvPr>
        <xdr:cNvSpPr txBox="1"/>
      </xdr:nvSpPr>
      <xdr:spPr>
        <a:xfrm>
          <a:off x="750367" y="7576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97BA958D-466F-4431-853A-B603D531AFBA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709083</xdr:colOff>
      <xdr:row>44</xdr:row>
      <xdr:rowOff>0</xdr:rowOff>
    </xdr:from>
    <xdr:ext cx="3143250" cy="662517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EABC81B7-FE00-4225-AC1F-8F473BCF4484}"/>
            </a:ext>
          </a:extLst>
        </xdr:cNvPr>
        <xdr:cNvSpPr txBox="1"/>
      </xdr:nvSpPr>
      <xdr:spPr>
        <a:xfrm>
          <a:off x="709083" y="8382000"/>
          <a:ext cx="3143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3343275" cy="662517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3B0E9AE9-C2EC-4FC7-9672-5A31B03B0CAB}"/>
            </a:ext>
          </a:extLst>
        </xdr:cNvPr>
        <xdr:cNvSpPr txBox="1"/>
      </xdr:nvSpPr>
      <xdr:spPr>
        <a:xfrm>
          <a:off x="752475" y="8382000"/>
          <a:ext cx="33432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560917</xdr:colOff>
      <xdr:row>3</xdr:row>
      <xdr:rowOff>105834</xdr:rowOff>
    </xdr:from>
    <xdr:ext cx="2790824" cy="254557"/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8355424B-B681-408A-A618-645B5F003526}"/>
            </a:ext>
          </a:extLst>
        </xdr:cNvPr>
        <xdr:cNvSpPr txBox="1"/>
      </xdr:nvSpPr>
      <xdr:spPr>
        <a:xfrm>
          <a:off x="1313392" y="677334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115997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A6521081-0E93-493D-A93D-6D19221B0280}"/>
            </a:ext>
          </a:extLst>
        </xdr:cNvPr>
        <xdr:cNvSpPr txBox="1"/>
      </xdr:nvSpPr>
      <xdr:spPr>
        <a:xfrm>
          <a:off x="3125897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46ED909-482D-41AB-8CAD-7B17E5EF10F3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3305176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A49D1AC7-A499-4E88-B544-5FE93E3917CB}"/>
            </a:ext>
          </a:extLst>
        </xdr:cNvPr>
        <xdr:cNvSpPr txBox="1"/>
      </xdr:nvSpPr>
      <xdr:spPr>
        <a:xfrm>
          <a:off x="0" y="6477000"/>
          <a:ext cx="330517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2771775</xdr:colOff>
      <xdr:row>34</xdr:row>
      <xdr:rowOff>0</xdr:rowOff>
    </xdr:from>
    <xdr:ext cx="3305175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9050DDFB-5361-4D4F-A169-AFCDD10ED70B}"/>
            </a:ext>
          </a:extLst>
        </xdr:cNvPr>
        <xdr:cNvSpPr txBox="1"/>
      </xdr:nvSpPr>
      <xdr:spPr>
        <a:xfrm>
          <a:off x="1504950" y="6477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514350</xdr:colOff>
      <xdr:row>3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68934EEE-0D94-4479-89AC-9CFC1EF474C3}"/>
            </a:ext>
          </a:extLst>
        </xdr:cNvPr>
        <xdr:cNvSpPr txBox="1"/>
      </xdr:nvSpPr>
      <xdr:spPr>
        <a:xfrm>
          <a:off x="2019300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CUARTO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752055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01C01BE-38B7-4C61-8DC8-D3081EFCAA67}"/>
            </a:ext>
          </a:extLst>
        </xdr:cNvPr>
        <xdr:cNvSpPr txBox="1"/>
      </xdr:nvSpPr>
      <xdr:spPr>
        <a:xfrm>
          <a:off x="3009480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320E7EC-651E-40C7-AF69-CF60BFB25DAC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63501</xdr:colOff>
      <xdr:row>35</xdr:row>
      <xdr:rowOff>42334</xdr:rowOff>
    </xdr:from>
    <xdr:ext cx="3207310" cy="4367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BA9754F-6B56-44F8-94AD-851450EB5263}"/>
            </a:ext>
          </a:extLst>
        </xdr:cNvPr>
        <xdr:cNvSpPr txBox="1"/>
      </xdr:nvSpPr>
      <xdr:spPr>
        <a:xfrm>
          <a:off x="63501" y="6709834"/>
          <a:ext cx="320731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63500</xdr:colOff>
      <xdr:row>35</xdr:row>
      <xdr:rowOff>46565</xdr:rowOff>
    </xdr:from>
    <xdr:ext cx="3515542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9D59222-BB47-4CFD-A35E-BB2A8875EA67}"/>
            </a:ext>
          </a:extLst>
        </xdr:cNvPr>
        <xdr:cNvSpPr txBox="1"/>
      </xdr:nvSpPr>
      <xdr:spPr>
        <a:xfrm>
          <a:off x="1568450" y="6714065"/>
          <a:ext cx="3515542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582083</xdr:colOff>
      <xdr:row>3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9B2BABC0-3080-49C4-A69C-654B2847C5F2}"/>
            </a:ext>
          </a:extLst>
        </xdr:cNvPr>
        <xdr:cNvSpPr txBox="1"/>
      </xdr:nvSpPr>
      <xdr:spPr>
        <a:xfrm>
          <a:off x="2087033" y="7630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CUARTO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5256695-1B93-4148-A269-FD665DA956BC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66B2BEAA-9F76-46AA-97F1-6096E5443FE9}"/>
            </a:ext>
          </a:extLst>
        </xdr:cNvPr>
        <xdr:cNvSpPr txBox="1"/>
      </xdr:nvSpPr>
      <xdr:spPr>
        <a:xfrm>
          <a:off x="1524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AEADB3B6-B100-4DFB-A738-8EBEF4E1C231}"/>
            </a:ext>
          </a:extLst>
        </xdr:cNvPr>
        <xdr:cNvSpPr txBox="1"/>
      </xdr:nvSpPr>
      <xdr:spPr>
        <a:xfrm>
          <a:off x="3048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190499</xdr:colOff>
      <xdr:row>3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0696D6D-82D0-472D-A026-4C8295E4A7B3}"/>
            </a:ext>
          </a:extLst>
        </xdr:cNvPr>
        <xdr:cNvSpPr txBox="1"/>
      </xdr:nvSpPr>
      <xdr:spPr>
        <a:xfrm>
          <a:off x="4000499" y="6746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:_CUARTO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FD630DE-FD32-4960-81EE-929802B0D2B4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1BA2AD3-3C07-4418-AC4B-A999DECB41C7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A07D2608-B361-4359-BE0D-429A53D25D05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31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9170CABD-7FDE-49B7-9BDB-1D4EF78E9BDB}"/>
            </a:ext>
          </a:extLst>
        </xdr:cNvPr>
        <xdr:cNvSpPr txBox="1"/>
      </xdr:nvSpPr>
      <xdr:spPr>
        <a:xfrm>
          <a:off x="752475" y="60579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123825</xdr:colOff>
      <xdr:row>31</xdr:row>
      <xdr:rowOff>142876</xdr:rowOff>
    </xdr:from>
    <xdr:ext cx="3289300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EC6F186-D6D1-48FC-8274-2F4A28FCAD6E}"/>
            </a:ext>
          </a:extLst>
        </xdr:cNvPr>
        <xdr:cNvSpPr txBox="1"/>
      </xdr:nvSpPr>
      <xdr:spPr>
        <a:xfrm>
          <a:off x="1628775" y="6048376"/>
          <a:ext cx="3289300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1055687</xdr:colOff>
      <xdr:row>3</xdr:row>
      <xdr:rowOff>144463</xdr:rowOff>
    </xdr:from>
    <xdr:ext cx="2328862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F5B60592-E1A5-4164-8D30-125012014075}"/>
            </a:ext>
          </a:extLst>
        </xdr:cNvPr>
        <xdr:cNvSpPr txBox="1"/>
      </xdr:nvSpPr>
      <xdr:spPr>
        <a:xfrm>
          <a:off x="2255837" y="715963"/>
          <a:ext cx="232886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CUARTO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56D9A787-83F0-43FC-853E-0C037CF83927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901C1B35-15BC-414F-A76B-A2771AAFE455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87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86935AA-7DAF-4D00-987D-CF113639393A}"/>
            </a:ext>
          </a:extLst>
        </xdr:cNvPr>
        <xdr:cNvSpPr txBox="1"/>
      </xdr:nvSpPr>
      <xdr:spPr>
        <a:xfrm>
          <a:off x="295275" y="167354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771525</xdr:colOff>
      <xdr:row>87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B2F051EB-7E8F-4C4A-BC58-96C9BA9FA976}"/>
            </a:ext>
          </a:extLst>
        </xdr:cNvPr>
        <xdr:cNvSpPr txBox="1"/>
      </xdr:nvSpPr>
      <xdr:spPr>
        <a:xfrm>
          <a:off x="2286000" y="167449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781050</xdr:colOff>
      <xdr:row>4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757D037C-C672-47A3-861C-ECB59356F5CE}"/>
            </a:ext>
          </a:extLst>
        </xdr:cNvPr>
        <xdr:cNvSpPr txBox="1"/>
      </xdr:nvSpPr>
      <xdr:spPr>
        <a:xfrm>
          <a:off x="30480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CUARTO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38183ED-FBFD-4D3A-BC6C-E8B18A548AF7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1</xdr:col>
      <xdr:colOff>0</xdr:colOff>
      <xdr:row>160</xdr:row>
      <xdr:rowOff>66676</xdr:rowOff>
    </xdr:from>
    <xdr:ext cx="3200400" cy="786342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61EC3803-7654-49D5-88B2-4D02D7E6550C}"/>
            </a:ext>
          </a:extLst>
        </xdr:cNvPr>
        <xdr:cNvSpPr txBox="1"/>
      </xdr:nvSpPr>
      <xdr:spPr>
        <a:xfrm>
          <a:off x="762000" y="30546676"/>
          <a:ext cx="3200400" cy="78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7D80A22-8834-447E-BDED-62C6055A7939}"/>
            </a:ext>
          </a:extLst>
        </xdr:cNvPr>
        <xdr:cNvSpPr txBox="1"/>
      </xdr:nvSpPr>
      <xdr:spPr>
        <a:xfrm>
          <a:off x="2286000" y="30670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752475</xdr:colOff>
      <xdr:row>4</xdr:row>
      <xdr:rowOff>9047</xdr:rowOff>
    </xdr:from>
    <xdr:ext cx="2705100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AD5E9DA1-0650-4BD5-B804-F264F786C738}"/>
            </a:ext>
          </a:extLst>
        </xdr:cNvPr>
        <xdr:cNvSpPr txBox="1"/>
      </xdr:nvSpPr>
      <xdr:spPr>
        <a:xfrm>
          <a:off x="3800475" y="771047"/>
          <a:ext cx="2705100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9381AA8-FD1F-4B78-B6D6-DE486827F1EF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2EFAB9A-A90A-4F3B-AA14-7BDF32729343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22F6512-5755-4185-AF36-264FC0D4485A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4FDF07B7-02B1-4B20-82EE-9A6229A2E7F4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29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501FF2A0-5C1A-4A80-B076-2B2310993C21}"/>
            </a:ext>
          </a:extLst>
        </xdr:cNvPr>
        <xdr:cNvSpPr txBox="1"/>
      </xdr:nvSpPr>
      <xdr:spPr>
        <a:xfrm>
          <a:off x="5111680" y="55245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B906615D-23A3-4FC4-AB5C-DF5387B73CAC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3F7075-89E3-4FAF-81E3-4DD74F34E3AD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5706BB0A-3538-45B3-8AE5-70E792819703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600075</xdr:colOff>
      <xdr:row>20</xdr:row>
      <xdr:rowOff>19050</xdr:rowOff>
    </xdr:from>
    <xdr:ext cx="3009900" cy="647700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6C616920-A7C9-4E14-91CA-A11EB87D7943}"/>
            </a:ext>
          </a:extLst>
        </xdr:cNvPr>
        <xdr:cNvSpPr txBox="1"/>
      </xdr:nvSpPr>
      <xdr:spPr>
        <a:xfrm>
          <a:off x="600075" y="3829050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695325</xdr:colOff>
      <xdr:row>20</xdr:row>
      <xdr:rowOff>9524</xdr:rowOff>
    </xdr:from>
    <xdr:ext cx="3352800" cy="657226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4348D65F-EADC-4B8C-8807-A018A415936C}"/>
            </a:ext>
          </a:extLst>
        </xdr:cNvPr>
        <xdr:cNvSpPr txBox="1"/>
      </xdr:nvSpPr>
      <xdr:spPr>
        <a:xfrm>
          <a:off x="2200275" y="3819524"/>
          <a:ext cx="3352800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800100</xdr:colOff>
      <xdr:row>4</xdr:row>
      <xdr:rowOff>161925</xdr:rowOff>
    </xdr:from>
    <xdr:ext cx="2790824" cy="254557"/>
    <xdr:sp macro="" textlink="">
      <xdr:nvSpPr>
        <xdr:cNvPr id="12" name="12 CuadroTexto">
          <a:extLst>
            <a:ext uri="{FF2B5EF4-FFF2-40B4-BE49-F238E27FC236}">
              <a16:creationId xmlns:a16="http://schemas.microsoft.com/office/drawing/2014/main" id="{5A20298F-E3C1-4634-A57C-D53197054C1B}"/>
            </a:ext>
          </a:extLst>
        </xdr:cNvPr>
        <xdr:cNvSpPr txBox="1"/>
      </xdr:nvSpPr>
      <xdr:spPr>
        <a:xfrm>
          <a:off x="3009900" y="9239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C375D1C-363D-4B68-B63B-DC42C341B0D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29CC54B-AA8D-4C1C-80C0-EE3E481244DB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A173CBB-7F58-4F6B-8B89-98EC240DCEA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36A35E24-7D77-4439-9BAF-729F1700666D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621CC8B5-FA02-404A-973F-3AE65875A227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712723A5-E37F-4A61-A061-6142ED6F61F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FD63754E-B0E3-4F7A-BF73-CF9409A9421C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9CB4B2C6-8C06-45C2-A6EC-777D3FE85057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63159B32-BD95-4485-A720-4B5F0FAB5F7B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3DA7B590-97E0-41D6-91BD-0A3AB51D5B5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335CC9C5-F766-4225-B201-98A68E8776DA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E001D90D-605C-4A74-9745-4588708B1697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49C2DB3E-636D-4793-82E4-62909E95AE26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4C4C34AF-62B2-4A37-80BF-4D086F72B4B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EB55457E-7AFE-4951-B292-453E5E074688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701BB16A-80C1-4127-A215-FD1977FDD55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4DFA4D27-1C95-4B34-9822-136B5EFE7EE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362BE5E0-46F6-475F-AFE5-5037949965C4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281609</xdr:colOff>
      <xdr:row>33</xdr:row>
      <xdr:rowOff>19052</xdr:rowOff>
    </xdr:from>
    <xdr:ext cx="3009900" cy="647700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79F042B2-620E-4DBA-80C9-0412C4EC060F}"/>
            </a:ext>
          </a:extLst>
        </xdr:cNvPr>
        <xdr:cNvSpPr txBox="1"/>
      </xdr:nvSpPr>
      <xdr:spPr>
        <a:xfrm>
          <a:off x="281609" y="6305552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886239</xdr:colOff>
      <xdr:row>33</xdr:row>
      <xdr:rowOff>9525</xdr:rowOff>
    </xdr:from>
    <xdr:ext cx="3395869" cy="657226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0CB82348-216B-430B-8C14-0914C3D6029E}"/>
            </a:ext>
          </a:extLst>
        </xdr:cNvPr>
        <xdr:cNvSpPr txBox="1"/>
      </xdr:nvSpPr>
      <xdr:spPr>
        <a:xfrm>
          <a:off x="2257839" y="6296025"/>
          <a:ext cx="3395869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803413</xdr:colOff>
      <xdr:row>4</xdr:row>
      <xdr:rowOff>182217</xdr:rowOff>
    </xdr:from>
    <xdr:ext cx="2790824" cy="254557"/>
    <xdr:sp macro="" textlink="">
      <xdr:nvSpPr>
        <xdr:cNvPr id="22" name="31 CuadroTexto">
          <a:extLst>
            <a:ext uri="{FF2B5EF4-FFF2-40B4-BE49-F238E27FC236}">
              <a16:creationId xmlns:a16="http://schemas.microsoft.com/office/drawing/2014/main" id="{56D6EDA0-0DF2-42C0-99F8-AA3B669485E7}"/>
            </a:ext>
          </a:extLst>
        </xdr:cNvPr>
        <xdr:cNvSpPr txBox="1"/>
      </xdr:nvSpPr>
      <xdr:spPr>
        <a:xfrm>
          <a:off x="3013213" y="944217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72D64015-82CC-48A1-AF88-3C127ACD9350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A27A5937-7540-4B1D-8B74-6CAF93E85CC5}"/>
            </a:ext>
          </a:extLst>
        </xdr:cNvPr>
        <xdr:cNvSpPr txBox="1"/>
      </xdr:nvSpPr>
      <xdr:spPr>
        <a:xfrm>
          <a:off x="0" y="6477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828675</xdr:colOff>
      <xdr:row>34</xdr:row>
      <xdr:rowOff>9526</xdr:rowOff>
    </xdr:from>
    <xdr:ext cx="3305175" cy="88159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2F25FE-656B-46D0-A6A9-303D7F00F5D5}"/>
            </a:ext>
          </a:extLst>
        </xdr:cNvPr>
        <xdr:cNvSpPr txBox="1"/>
      </xdr:nvSpPr>
      <xdr:spPr>
        <a:xfrm>
          <a:off x="2286000" y="6486526"/>
          <a:ext cx="3305175" cy="8815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762000</xdr:colOff>
      <xdr:row>4</xdr:row>
      <xdr:rowOff>114300</xdr:rowOff>
    </xdr:from>
    <xdr:ext cx="2790824" cy="254557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4B91E56D-7A43-40FB-8FD0-B9A7AA594AEA}"/>
            </a:ext>
          </a:extLst>
        </xdr:cNvPr>
        <xdr:cNvSpPr txBox="1"/>
      </xdr:nvSpPr>
      <xdr:spPr>
        <a:xfrm>
          <a:off x="3048000" y="8763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677D407-45DF-4AD6-B654-22B1064E8CD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91FD965-89DF-4DAB-9774-33AE36F3BD5D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F485558-A5AF-4E3A-B964-D4CB06B89FC1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3DBA0BFF-9259-4525-AAE5-EB49E559050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E4C9E307-9D62-42CD-B141-62FF3C9F38B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A486F9E6-5444-4EC2-890D-F4EF7A619830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D0D5D2DF-7D9D-4B2E-AF15-37728B8BF716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48E2095D-EC55-47F8-BDCC-4B7D5CE1B2F3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8ED6C0C6-6659-49F6-839F-5FB574E4D90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C6E86DB1-BBD9-4146-92B4-95CE9E5DA3A4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C504550E-14E9-41C1-AB85-D8E1894C34A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C36B4742-BE86-49CD-9928-1C17223E973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51A63233-ED64-4F52-8985-EA2CE8840986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D4A65852-735F-49BF-8299-30420D0E72A9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96B92B1C-35E5-4327-9D37-A26E9E884175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CA6450B6-84D9-45ED-B117-C7B973553480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21A50CCE-A3BC-460A-B214-98131A6C17E3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29F702E5-1386-459E-8CD6-F4FC6F65E8F8}"/>
            </a:ext>
          </a:extLst>
        </xdr:cNvPr>
        <xdr:cNvSpPr txBox="1"/>
      </xdr:nvSpPr>
      <xdr:spPr>
        <a:xfrm>
          <a:off x="4514850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301942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36FE030F-E074-4DB5-866E-11E6B39E9FE9}"/>
            </a:ext>
          </a:extLst>
        </xdr:cNvPr>
        <xdr:cNvSpPr txBox="1"/>
      </xdr:nvSpPr>
      <xdr:spPr>
        <a:xfrm>
          <a:off x="0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LEONOR AMPARO LANDAVAZO GUTIERREZ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 DE ADMINISTRACION 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3019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242044A7-8411-4BBB-8E00-7591743C0E58}"/>
            </a:ext>
          </a:extLst>
        </xdr:cNvPr>
        <xdr:cNvSpPr txBox="1"/>
      </xdr:nvSpPr>
      <xdr:spPr>
        <a:xfrm>
          <a:off x="2257425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C.P. MARIO ALBERTO MERINO DIAZ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GENERAL DE ADMINISTRACION Y FINANZAS 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809625</xdr:colOff>
      <xdr:row>4</xdr:row>
      <xdr:rowOff>95250</xdr:rowOff>
    </xdr:from>
    <xdr:ext cx="2790824" cy="254557"/>
    <xdr:sp macro="" textlink="">
      <xdr:nvSpPr>
        <xdr:cNvPr id="22" name="22 CuadroTexto">
          <a:extLst>
            <a:ext uri="{FF2B5EF4-FFF2-40B4-BE49-F238E27FC236}">
              <a16:creationId xmlns:a16="http://schemas.microsoft.com/office/drawing/2014/main" id="{E0DE4A67-D0BB-4E60-BDCF-4BADCB1B84E1}"/>
            </a:ext>
          </a:extLst>
        </xdr:cNvPr>
        <xdr:cNvSpPr txBox="1"/>
      </xdr:nvSpPr>
      <xdr:spPr>
        <a:xfrm>
          <a:off x="3009900" y="8572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CUARTO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4T\CTA%20CONTABLE%204T19.xlsx" TargetMode="External"/><Relationship Id="rId1" Type="http://schemas.openxmlformats.org/officeDocument/2006/relationships/externalLinkPath" Target="CTA%20CONTABLE%204T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4T\ETCAS-TRIMESTRALES%204TO%20TRIM%202019.xlsx" TargetMode="External"/><Relationship Id="rId1" Type="http://schemas.openxmlformats.org/officeDocument/2006/relationships/externalLinkPath" Target="ETCAS-TRIMESTRALES%204TO%20TRIM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3">
          <cell r="A3" t="str">
            <v>Comision Estatal del Agua</v>
          </cell>
        </row>
        <row r="4">
          <cell r="A4" t="str">
            <v>Al 31 de Diciembre de 2019</v>
          </cell>
        </row>
      </sheetData>
      <sheetData sheetId="1">
        <row r="11">
          <cell r="B11">
            <v>92790522.239999995</v>
          </cell>
        </row>
      </sheetData>
      <sheetData sheetId="2">
        <row r="4">
          <cell r="A4" t="str">
            <v>Del 01 de Enero al 31 de Diciembre de 2019</v>
          </cell>
        </row>
        <row r="24">
          <cell r="C24">
            <v>28979508.32</v>
          </cell>
        </row>
        <row r="25">
          <cell r="C25">
            <v>658733175.51999998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4">
          <cell r="A4" t="str">
            <v>Del 01 de Enero al 31 de Diciembre de 2019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6CFF-BE65-4CAB-935B-6A5272300956}">
  <dimension ref="A1:H58"/>
  <sheetViews>
    <sheetView tabSelected="1" view="pageBreakPreview" topLeftCell="A34" zoomScaleNormal="100" zoomScaleSheetLayoutView="100" workbookViewId="0">
      <selection activeCell="J40" sqref="J40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  <c r="H1" s="107"/>
    </row>
    <row r="2" spans="1:8" s="104" customFormat="1" ht="15.75" x14ac:dyDescent="0.25">
      <c r="A2" s="107" t="s">
        <v>41</v>
      </c>
      <c r="B2" s="107"/>
      <c r="C2" s="107"/>
      <c r="D2" s="107"/>
      <c r="E2" s="107"/>
      <c r="F2" s="107"/>
      <c r="G2" s="107"/>
      <c r="H2" s="107"/>
    </row>
    <row r="3" spans="1:8" s="104" customFormat="1" ht="15.75" x14ac:dyDescent="0.25">
      <c r="A3" s="106" t="str">
        <f>'[1]ETCA-I-01'!A3:G3</f>
        <v>Comision Estatal del Agua</v>
      </c>
      <c r="B3" s="106"/>
      <c r="C3" s="106"/>
      <c r="D3" s="106"/>
      <c r="E3" s="106"/>
      <c r="F3" s="106"/>
      <c r="G3" s="106"/>
      <c r="H3" s="106"/>
    </row>
    <row r="4" spans="1:8" s="104" customFormat="1" x14ac:dyDescent="0.25">
      <c r="A4" s="105" t="str">
        <f>'[1]ETCA-I-03'!A4:D4</f>
        <v>Del 01 de Enero al 31 de Diciembre de 2019</v>
      </c>
      <c r="B4" s="105"/>
      <c r="C4" s="105"/>
      <c r="D4" s="105"/>
      <c r="E4" s="105"/>
      <c r="F4" s="105"/>
      <c r="G4" s="105"/>
      <c r="H4" s="105"/>
    </row>
    <row r="5" spans="1:8" s="26" customFormat="1" ht="17.25" thickBot="1" x14ac:dyDescent="0.3">
      <c r="A5" s="103"/>
      <c r="B5" s="103"/>
      <c r="C5" s="102" t="s">
        <v>40</v>
      </c>
      <c r="D5" s="102"/>
      <c r="E5" s="102"/>
      <c r="F5" s="102"/>
      <c r="G5" s="101"/>
      <c r="H5" s="100"/>
    </row>
    <row r="6" spans="1:8" s="55" customFormat="1" ht="17.25" thickBot="1" x14ac:dyDescent="0.3">
      <c r="A6" s="99" t="s">
        <v>39</v>
      </c>
      <c r="B6" s="98"/>
      <c r="C6" s="68" t="s">
        <v>33</v>
      </c>
      <c r="D6" s="67"/>
      <c r="E6" s="67"/>
      <c r="F6" s="67"/>
      <c r="G6" s="66"/>
      <c r="H6" s="65"/>
    </row>
    <row r="7" spans="1:8" s="55" customFormat="1" ht="39" thickBot="1" x14ac:dyDescent="0.3">
      <c r="A7" s="97"/>
      <c r="B7" s="96"/>
      <c r="C7" s="62" t="s">
        <v>32</v>
      </c>
      <c r="D7" s="62" t="s">
        <v>31</v>
      </c>
      <c r="E7" s="62" t="s">
        <v>30</v>
      </c>
      <c r="F7" s="61" t="s">
        <v>29</v>
      </c>
      <c r="G7" s="61" t="s">
        <v>28</v>
      </c>
      <c r="H7" s="60" t="s">
        <v>27</v>
      </c>
    </row>
    <row r="8" spans="1:8" s="55" customFormat="1" ht="17.25" thickBot="1" x14ac:dyDescent="0.3">
      <c r="A8" s="95"/>
      <c r="B8" s="94"/>
      <c r="C8" s="56" t="s">
        <v>26</v>
      </c>
      <c r="D8" s="56" t="s">
        <v>25</v>
      </c>
      <c r="E8" s="56" t="s">
        <v>24</v>
      </c>
      <c r="F8" s="57" t="s">
        <v>23</v>
      </c>
      <c r="G8" s="57" t="s">
        <v>22</v>
      </c>
      <c r="H8" s="56" t="s">
        <v>21</v>
      </c>
    </row>
    <row r="9" spans="1:8" s="55" customFormat="1" ht="8.25" customHeight="1" x14ac:dyDescent="0.25">
      <c r="A9" s="93"/>
      <c r="B9" s="11"/>
      <c r="C9" s="92"/>
      <c r="D9" s="92"/>
      <c r="E9" s="91"/>
      <c r="F9" s="92"/>
      <c r="G9" s="92"/>
      <c r="H9" s="91"/>
    </row>
    <row r="10" spans="1:8" ht="17.100000000000001" customHeight="1" x14ac:dyDescent="0.25">
      <c r="A10" s="89"/>
      <c r="B10" s="88" t="s">
        <v>38</v>
      </c>
      <c r="C10" s="41"/>
      <c r="D10" s="41"/>
      <c r="E10" s="87">
        <f>C10+D10</f>
        <v>0</v>
      </c>
      <c r="F10" s="41"/>
      <c r="G10" s="41"/>
      <c r="H10" s="87">
        <f>G10-C10</f>
        <v>0</v>
      </c>
    </row>
    <row r="11" spans="1:8" ht="17.100000000000001" customHeight="1" x14ac:dyDescent="0.25">
      <c r="A11" s="89"/>
      <c r="B11" s="88" t="s">
        <v>12</v>
      </c>
      <c r="C11" s="41">
        <v>0</v>
      </c>
      <c r="D11" s="41">
        <v>0</v>
      </c>
      <c r="E11" s="87">
        <f>C11+D11</f>
        <v>0</v>
      </c>
      <c r="F11" s="41">
        <v>0</v>
      </c>
      <c r="G11" s="41">
        <v>0</v>
      </c>
      <c r="H11" s="87">
        <f>G11-C11</f>
        <v>0</v>
      </c>
    </row>
    <row r="12" spans="1:8" ht="17.100000000000001" customHeight="1" x14ac:dyDescent="0.25">
      <c r="A12" s="89"/>
      <c r="B12" s="88" t="s">
        <v>18</v>
      </c>
      <c r="C12" s="41">
        <v>0</v>
      </c>
      <c r="D12" s="41"/>
      <c r="E12" s="87">
        <f>C12+D12</f>
        <v>0</v>
      </c>
      <c r="F12" s="41"/>
      <c r="G12" s="41"/>
      <c r="H12" s="87">
        <f>G12-C12</f>
        <v>0</v>
      </c>
    </row>
    <row r="13" spans="1:8" ht="17.100000000000001" customHeight="1" x14ac:dyDescent="0.25">
      <c r="A13" s="89"/>
      <c r="B13" s="88" t="s">
        <v>17</v>
      </c>
      <c r="C13" s="41">
        <v>0</v>
      </c>
      <c r="D13" s="41"/>
      <c r="E13" s="87">
        <f>C13+D13</f>
        <v>0</v>
      </c>
      <c r="F13" s="41"/>
      <c r="G13" s="41"/>
      <c r="H13" s="87">
        <f>G13-C13</f>
        <v>0</v>
      </c>
    </row>
    <row r="14" spans="1:8" ht="17.100000000000001" customHeight="1" x14ac:dyDescent="0.25">
      <c r="A14" s="89"/>
      <c r="B14" s="88" t="s">
        <v>37</v>
      </c>
      <c r="C14" s="41">
        <v>0</v>
      </c>
      <c r="D14" s="41"/>
      <c r="E14" s="87">
        <f>C14+D14</f>
        <v>0</v>
      </c>
      <c r="F14" s="41"/>
      <c r="G14" s="90"/>
      <c r="H14" s="87">
        <f>G14-C14</f>
        <v>0</v>
      </c>
    </row>
    <row r="15" spans="1:8" ht="17.100000000000001" customHeight="1" x14ac:dyDescent="0.25">
      <c r="A15" s="89"/>
      <c r="B15" s="88" t="s">
        <v>36</v>
      </c>
      <c r="C15" s="41">
        <v>0</v>
      </c>
      <c r="D15" s="41"/>
      <c r="E15" s="87">
        <f>C15+D15</f>
        <v>0</v>
      </c>
      <c r="F15" s="41"/>
      <c r="G15" s="41"/>
      <c r="H15" s="87">
        <f>G15-C15</f>
        <v>0</v>
      </c>
    </row>
    <row r="16" spans="1:8" ht="29.25" customHeight="1" x14ac:dyDescent="0.25">
      <c r="A16" s="89"/>
      <c r="B16" s="88" t="s">
        <v>35</v>
      </c>
      <c r="C16" s="41">
        <v>247188231</v>
      </c>
      <c r="D16" s="41">
        <v>90905607.811000004</v>
      </c>
      <c r="E16" s="87">
        <f>C16+D16</f>
        <v>338093838.81099999</v>
      </c>
      <c r="F16" s="41">
        <v>280409522.81100005</v>
      </c>
      <c r="G16" s="41">
        <v>280409522.81100005</v>
      </c>
      <c r="H16" s="87">
        <f>G16-C16</f>
        <v>33221291.811000049</v>
      </c>
    </row>
    <row r="17" spans="1:8" ht="55.5" customHeight="1" x14ac:dyDescent="0.25">
      <c r="A17" s="89"/>
      <c r="B17" s="88" t="s">
        <v>14</v>
      </c>
      <c r="C17" s="41">
        <v>66300000</v>
      </c>
      <c r="D17" s="41">
        <v>120090399.35999998</v>
      </c>
      <c r="E17" s="87">
        <f>C17+D17</f>
        <v>186390399.35999998</v>
      </c>
      <c r="F17" s="41">
        <v>171904524.92999998</v>
      </c>
      <c r="G17" s="41">
        <v>171904524.92999998</v>
      </c>
      <c r="H17" s="87">
        <f>G17-C17</f>
        <v>105604524.92999998</v>
      </c>
    </row>
    <row r="18" spans="1:8" ht="25.5" x14ac:dyDescent="0.25">
      <c r="A18" s="89"/>
      <c r="B18" s="88" t="s">
        <v>9</v>
      </c>
      <c r="C18" s="41">
        <v>265362624.80000001</v>
      </c>
      <c r="D18" s="41">
        <v>91351631.190000027</v>
      </c>
      <c r="E18" s="87">
        <f>C18+D18</f>
        <v>356714255.99000001</v>
      </c>
      <c r="F18" s="41">
        <v>250899824.47999999</v>
      </c>
      <c r="G18" s="41">
        <v>250899824.47999999</v>
      </c>
      <c r="H18" s="87">
        <f>G18-C18</f>
        <v>-14462800.320000023</v>
      </c>
    </row>
    <row r="19" spans="1:8" ht="17.100000000000001" customHeight="1" thickBot="1" x14ac:dyDescent="0.3">
      <c r="A19" s="86"/>
      <c r="B19" s="85" t="s">
        <v>7</v>
      </c>
      <c r="C19" s="84"/>
      <c r="D19" s="84"/>
      <c r="E19" s="83">
        <f>C19+D19</f>
        <v>0</v>
      </c>
      <c r="F19" s="84"/>
      <c r="G19" s="84"/>
      <c r="H19" s="83">
        <f>G19-C19</f>
        <v>0</v>
      </c>
    </row>
    <row r="20" spans="1:8" s="79" customFormat="1" ht="28.5" customHeight="1" thickBot="1" x14ac:dyDescent="0.3">
      <c r="A20" s="82" t="s">
        <v>6</v>
      </c>
      <c r="B20" s="81"/>
      <c r="C20" s="80">
        <f>C10+C11+C12+C13+C14+C15+C16+C17+C18+C19</f>
        <v>578850855.79999995</v>
      </c>
      <c r="D20" s="80">
        <f>D10+D11+D12+D13+D14+D15+D16+D17+D18+D19</f>
        <v>302347638.36100006</v>
      </c>
      <c r="E20" s="80">
        <f>E10+E11+E12+E13+E14+E15+E16+E17+E18+E19</f>
        <v>881198494.16100001</v>
      </c>
      <c r="F20" s="80">
        <f>F10+F11+F12+F13+F14+F15+F16+F17+F18+F19</f>
        <v>703213872.22100008</v>
      </c>
      <c r="G20" s="80">
        <f>G10+G11+G12+G13+G14+G15+G16+G17+G18+G19</f>
        <v>703213872.22100008</v>
      </c>
      <c r="H20" s="80">
        <f>G20-C20</f>
        <v>124363016.42100012</v>
      </c>
    </row>
    <row r="21" spans="1:8" ht="22.5" customHeight="1" thickBot="1" x14ac:dyDescent="0.3">
      <c r="A21" s="22"/>
      <c r="B21" s="22"/>
      <c r="C21" s="78"/>
      <c r="D21" s="78"/>
      <c r="E21" s="78"/>
      <c r="F21" s="77">
        <f>F20-F17</f>
        <v>531309347.29100013</v>
      </c>
      <c r="G21" s="76" t="s">
        <v>5</v>
      </c>
      <c r="H21" s="75">
        <f>IF(($G$20-$C$20)&lt;=0,"",$G$20-$C$20)</f>
        <v>124363016.42100012</v>
      </c>
    </row>
    <row r="22" spans="1:8" ht="10.5" customHeight="1" thickBot="1" x14ac:dyDescent="0.3">
      <c r="A22" s="11"/>
      <c r="B22" s="11"/>
      <c r="C22" s="74"/>
      <c r="D22" s="74"/>
      <c r="E22" s="74"/>
      <c r="F22" s="73"/>
      <c r="G22" s="72"/>
      <c r="H22" s="71"/>
    </row>
    <row r="23" spans="1:8" s="55" customFormat="1" ht="17.25" thickBot="1" x14ac:dyDescent="0.3">
      <c r="A23" s="70" t="s">
        <v>34</v>
      </c>
      <c r="B23" s="69"/>
      <c r="C23" s="68" t="s">
        <v>33</v>
      </c>
      <c r="D23" s="67"/>
      <c r="E23" s="67"/>
      <c r="F23" s="67"/>
      <c r="G23" s="66"/>
      <c r="H23" s="65"/>
    </row>
    <row r="24" spans="1:8" s="55" customFormat="1" ht="39" thickBot="1" x14ac:dyDescent="0.3">
      <c r="A24" s="64"/>
      <c r="B24" s="63"/>
      <c r="C24" s="62" t="s">
        <v>32</v>
      </c>
      <c r="D24" s="62" t="s">
        <v>31</v>
      </c>
      <c r="E24" s="62" t="s">
        <v>30</v>
      </c>
      <c r="F24" s="61" t="s">
        <v>29</v>
      </c>
      <c r="G24" s="61" t="s">
        <v>28</v>
      </c>
      <c r="H24" s="60" t="s">
        <v>27</v>
      </c>
    </row>
    <row r="25" spans="1:8" s="55" customFormat="1" ht="17.25" thickBot="1" x14ac:dyDescent="0.3">
      <c r="A25" s="59"/>
      <c r="B25" s="58"/>
      <c r="C25" s="56" t="s">
        <v>26</v>
      </c>
      <c r="D25" s="56" t="s">
        <v>25</v>
      </c>
      <c r="E25" s="56" t="s">
        <v>24</v>
      </c>
      <c r="F25" s="57" t="s">
        <v>23</v>
      </c>
      <c r="G25" s="57" t="s">
        <v>22</v>
      </c>
      <c r="H25" s="56" t="s">
        <v>21</v>
      </c>
    </row>
    <row r="26" spans="1:8" s="26" customFormat="1" ht="48" customHeight="1" x14ac:dyDescent="0.25">
      <c r="A26" s="54" t="s">
        <v>20</v>
      </c>
      <c r="B26" s="53"/>
      <c r="C26" s="37">
        <f>SUM(C27,C28,C29,C30,C31,C32,C33,C34)</f>
        <v>66300000</v>
      </c>
      <c r="D26" s="37">
        <f>SUM(D27,D28,D29,D30,D31,D32,D33,D34)</f>
        <v>120090399.35999998</v>
      </c>
      <c r="E26" s="37">
        <f>SUM(E27,E28,E29,E30,E31,E32,E33,E34)</f>
        <v>186390399.35999998</v>
      </c>
      <c r="F26" s="37">
        <f>SUM(F27,F28,F29,F30,F31,F32,F33,F34)</f>
        <v>171904524.92999998</v>
      </c>
      <c r="G26" s="37">
        <f>SUM(G27,G28,G29,G30,G31,G32,G33,G34)</f>
        <v>171904524.92999998</v>
      </c>
      <c r="H26" s="37">
        <f>SUM(H27,H28,H29,H30,H31,H32,H33,H34)</f>
        <v>105604524.92999998</v>
      </c>
    </row>
    <row r="27" spans="1:8" s="26" customFormat="1" ht="17.100000000000001" customHeight="1" x14ac:dyDescent="0.25">
      <c r="A27" s="52" t="s">
        <v>19</v>
      </c>
      <c r="B27" s="51"/>
      <c r="C27" s="33">
        <v>0</v>
      </c>
      <c r="D27" s="33">
        <v>0</v>
      </c>
      <c r="E27" s="34">
        <f>C27+D27</f>
        <v>0</v>
      </c>
      <c r="F27" s="33">
        <v>0</v>
      </c>
      <c r="G27" s="33">
        <v>0</v>
      </c>
      <c r="H27" s="32">
        <f>G27-C27</f>
        <v>0</v>
      </c>
    </row>
    <row r="28" spans="1:8" s="26" customFormat="1" ht="17.100000000000001" customHeight="1" x14ac:dyDescent="0.25">
      <c r="A28" s="52"/>
      <c r="B28" s="39" t="s">
        <v>12</v>
      </c>
      <c r="C28" s="33"/>
      <c r="D28" s="33"/>
      <c r="E28" s="34"/>
      <c r="F28" s="33"/>
      <c r="G28" s="33"/>
      <c r="H28" s="32"/>
    </row>
    <row r="29" spans="1:8" s="26" customFormat="1" ht="17.100000000000001" customHeight="1" x14ac:dyDescent="0.25">
      <c r="A29" s="52" t="s">
        <v>18</v>
      </c>
      <c r="B29" s="51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x14ac:dyDescent="0.25">
      <c r="A30" s="47" t="s">
        <v>17</v>
      </c>
      <c r="B30" s="46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s="26" customFormat="1" ht="17.100000000000001" customHeight="1" x14ac:dyDescent="0.25">
      <c r="A31" s="47" t="s">
        <v>11</v>
      </c>
      <c r="B31" s="46"/>
      <c r="C31" s="33"/>
      <c r="D31" s="33"/>
      <c r="E31" s="34">
        <f>C31+D31</f>
        <v>0</v>
      </c>
      <c r="F31" s="33"/>
      <c r="G31" s="33"/>
      <c r="H31" s="32">
        <f>G31-C31</f>
        <v>0</v>
      </c>
    </row>
    <row r="32" spans="1:8" ht="17.100000000000001" customHeight="1" x14ac:dyDescent="0.25">
      <c r="A32" s="47" t="s">
        <v>16</v>
      </c>
      <c r="B32" s="46" t="s">
        <v>15</v>
      </c>
      <c r="C32" s="50"/>
      <c r="D32" s="50"/>
      <c r="E32" s="34">
        <f>C32+D32</f>
        <v>0</v>
      </c>
      <c r="F32" s="50"/>
      <c r="G32" s="50"/>
      <c r="H32" s="32">
        <f>G32-C32</f>
        <v>0</v>
      </c>
    </row>
    <row r="33" spans="1:8" s="26" customFormat="1" ht="51" customHeight="1" x14ac:dyDescent="0.25">
      <c r="A33" s="49"/>
      <c r="B33" s="48" t="s">
        <v>14</v>
      </c>
      <c r="C33" s="33">
        <v>66300000</v>
      </c>
      <c r="D33" s="33">
        <v>120090399.35999998</v>
      </c>
      <c r="E33" s="34">
        <f>C33+D33</f>
        <v>186390399.35999998</v>
      </c>
      <c r="F33" s="33">
        <v>171904524.92999998</v>
      </c>
      <c r="G33" s="33">
        <v>171904524.92999998</v>
      </c>
      <c r="H33" s="32">
        <f>G33-C33</f>
        <v>105604524.92999998</v>
      </c>
    </row>
    <row r="34" spans="1:8" s="26" customFormat="1" ht="27.75" customHeight="1" x14ac:dyDescent="0.25">
      <c r="A34" s="47" t="s">
        <v>9</v>
      </c>
      <c r="B34" s="46"/>
      <c r="C34" s="33"/>
      <c r="D34" s="33"/>
      <c r="E34" s="34">
        <f>C34+D34</f>
        <v>0</v>
      </c>
      <c r="F34" s="33"/>
      <c r="G34" s="33"/>
      <c r="H34" s="32">
        <f>G34-C34</f>
        <v>0</v>
      </c>
    </row>
    <row r="35" spans="1:8" s="26" customFormat="1" ht="8.25" customHeight="1" x14ac:dyDescent="0.25">
      <c r="A35" s="36"/>
      <c r="B35" s="38"/>
      <c r="C35" s="33"/>
      <c r="D35" s="33"/>
      <c r="E35" s="34"/>
      <c r="F35" s="33"/>
      <c r="G35" s="33"/>
      <c r="H35" s="32"/>
    </row>
    <row r="36" spans="1:8" s="26" customFormat="1" ht="66.75" customHeight="1" x14ac:dyDescent="0.25">
      <c r="A36" s="45" t="s">
        <v>13</v>
      </c>
      <c r="B36" s="44"/>
      <c r="C36" s="37">
        <f>SUM(C37:C40)</f>
        <v>512550855.80000001</v>
      </c>
      <c r="D36" s="37">
        <f>SUM(D37:D40)</f>
        <v>182257239.00100005</v>
      </c>
      <c r="E36" s="37">
        <f>SUM(E37:E40)</f>
        <v>694808094.801</v>
      </c>
      <c r="F36" s="37">
        <f>SUM(F37:F40)</f>
        <v>531309347.29100001</v>
      </c>
      <c r="G36" s="37">
        <f>SUM(G37:G40)</f>
        <v>531309347.29100001</v>
      </c>
      <c r="H36" s="37">
        <f>SUM(H37:H40)</f>
        <v>18758491.491000026</v>
      </c>
    </row>
    <row r="37" spans="1:8" s="26" customFormat="1" ht="17.100000000000001" customHeight="1" x14ac:dyDescent="0.25">
      <c r="A37" s="40"/>
      <c r="B37" s="39" t="s">
        <v>12</v>
      </c>
      <c r="C37" s="33">
        <v>0</v>
      </c>
      <c r="D37" s="33"/>
      <c r="E37" s="34">
        <f>C37+D37</f>
        <v>0</v>
      </c>
      <c r="F37" s="33"/>
      <c r="G37" s="33"/>
      <c r="H37" s="32">
        <f>G37-C37</f>
        <v>0</v>
      </c>
    </row>
    <row r="38" spans="1:8" s="26" customFormat="1" ht="17.100000000000001" customHeight="1" x14ac:dyDescent="0.25">
      <c r="A38" s="40"/>
      <c r="B38" s="39" t="s">
        <v>11</v>
      </c>
      <c r="C38" s="33">
        <v>0</v>
      </c>
      <c r="D38" s="33"/>
      <c r="E38" s="34"/>
      <c r="F38" s="33"/>
      <c r="G38" s="33"/>
      <c r="H38" s="32"/>
    </row>
    <row r="39" spans="1:8" s="26" customFormat="1" ht="30.75" customHeight="1" x14ac:dyDescent="0.25">
      <c r="A39" s="40"/>
      <c r="B39" s="43" t="s">
        <v>10</v>
      </c>
      <c r="C39" s="33">
        <v>247188231</v>
      </c>
      <c r="D39" s="41">
        <v>90905607.811000004</v>
      </c>
      <c r="E39" s="34">
        <f>C39+D39</f>
        <v>338093838.81099999</v>
      </c>
      <c r="F39" s="41">
        <v>280409522.81100005</v>
      </c>
      <c r="G39" s="41">
        <v>280409522.81100005</v>
      </c>
      <c r="H39" s="32">
        <f>G39-C39</f>
        <v>33221291.811000049</v>
      </c>
    </row>
    <row r="40" spans="1:8" s="26" customFormat="1" ht="29.25" customHeight="1" x14ac:dyDescent="0.25">
      <c r="A40" s="40"/>
      <c r="B40" s="42" t="s">
        <v>9</v>
      </c>
      <c r="C40" s="33">
        <v>265362624.80000001</v>
      </c>
      <c r="D40" s="41">
        <v>91351631.190000027</v>
      </c>
      <c r="E40" s="34">
        <f>C40+D40</f>
        <v>356714255.99000001</v>
      </c>
      <c r="F40" s="41">
        <v>250899824.47999999</v>
      </c>
      <c r="G40" s="41">
        <v>250899824.47999999</v>
      </c>
      <c r="H40" s="32">
        <f>G40-C40</f>
        <v>-14462800.320000023</v>
      </c>
    </row>
    <row r="41" spans="1:8" s="26" customFormat="1" ht="6" customHeight="1" x14ac:dyDescent="0.25">
      <c r="A41" s="40"/>
      <c r="B41" s="39"/>
      <c r="C41" s="33"/>
      <c r="D41" s="33"/>
      <c r="E41" s="34"/>
      <c r="F41" s="33"/>
      <c r="G41" s="33"/>
      <c r="H41" s="32"/>
    </row>
    <row r="42" spans="1:8" s="26" customFormat="1" ht="17.100000000000001" customHeight="1" x14ac:dyDescent="0.25">
      <c r="A42" s="36" t="s">
        <v>8</v>
      </c>
      <c r="B42" s="38"/>
      <c r="C42" s="37">
        <f>C43</f>
        <v>0</v>
      </c>
      <c r="D42" s="37">
        <f>D43</f>
        <v>0</v>
      </c>
      <c r="E42" s="37">
        <f>E43</f>
        <v>0</v>
      </c>
      <c r="F42" s="37">
        <f>F43</f>
        <v>0</v>
      </c>
      <c r="G42" s="37">
        <f>G43</f>
        <v>0</v>
      </c>
      <c r="H42" s="37">
        <f>H43</f>
        <v>0</v>
      </c>
    </row>
    <row r="43" spans="1:8" s="26" customFormat="1" ht="17.100000000000001" customHeight="1" x14ac:dyDescent="0.25">
      <c r="A43" s="36"/>
      <c r="B43" s="35" t="s">
        <v>7</v>
      </c>
      <c r="C43" s="33">
        <v>0</v>
      </c>
      <c r="D43" s="33"/>
      <c r="E43" s="34">
        <f>C43+D43</f>
        <v>0</v>
      </c>
      <c r="F43" s="33"/>
      <c r="G43" s="33"/>
      <c r="H43" s="32">
        <f>G43-C43</f>
        <v>0</v>
      </c>
    </row>
    <row r="44" spans="1:8" s="26" customFormat="1" ht="12.75" customHeight="1" thickBot="1" x14ac:dyDescent="0.3">
      <c r="A44" s="31"/>
      <c r="B44" s="30"/>
      <c r="C44" s="28"/>
      <c r="D44" s="28"/>
      <c r="E44" s="29"/>
      <c r="F44" s="28"/>
      <c r="G44" s="28"/>
      <c r="H44" s="27"/>
    </row>
    <row r="45" spans="1:8" ht="21.75" customHeight="1" thickBot="1" x14ac:dyDescent="0.3">
      <c r="A45" s="25" t="s">
        <v>6</v>
      </c>
      <c r="B45" s="24"/>
      <c r="C45" s="23">
        <f>C26+C36+C42</f>
        <v>578850855.79999995</v>
      </c>
      <c r="D45" s="23">
        <f>D26+D36+D42</f>
        <v>302347638.36100006</v>
      </c>
      <c r="E45" s="23">
        <f>E26+E36+E42</f>
        <v>881198494.16100001</v>
      </c>
      <c r="F45" s="23">
        <f>F26+F36+F42</f>
        <v>703213872.22099996</v>
      </c>
      <c r="G45" s="23">
        <f>G26+G36+G42</f>
        <v>703213872.22099996</v>
      </c>
      <c r="H45" s="23">
        <f>H26+H36+H42</f>
        <v>124363016.421</v>
      </c>
    </row>
    <row r="46" spans="1:8" ht="23.25" customHeight="1" thickBot="1" x14ac:dyDescent="0.3">
      <c r="A46" s="22"/>
      <c r="B46" s="22"/>
      <c r="C46" s="21"/>
      <c r="D46" s="21"/>
      <c r="E46" s="21"/>
      <c r="F46" s="20"/>
      <c r="G46" s="19" t="s">
        <v>5</v>
      </c>
      <c r="H46" s="18">
        <f>IF(($G$45-$C$45)&lt;=0,"",$G$45-$C$45)</f>
        <v>124363016.421</v>
      </c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ht="23.25" customHeight="1" x14ac:dyDescent="0.25">
      <c r="A49" s="11"/>
      <c r="B49" s="11"/>
      <c r="C49" s="10"/>
      <c r="D49" s="10"/>
      <c r="E49" s="10"/>
      <c r="F49" s="9"/>
      <c r="G49" s="8"/>
      <c r="H49" s="8"/>
    </row>
    <row r="50" spans="1:8" s="12" customFormat="1" ht="15.75" customHeight="1" x14ac:dyDescent="0.25">
      <c r="A50" s="14"/>
      <c r="B50" s="17" t="s">
        <v>4</v>
      </c>
      <c r="C50" s="16"/>
      <c r="D50" s="16"/>
      <c r="E50" s="16"/>
      <c r="F50" s="16"/>
      <c r="G50" s="15"/>
      <c r="H50" s="15"/>
    </row>
    <row r="51" spans="1:8" s="12" customFormat="1" ht="12.75" customHeight="1" x14ac:dyDescent="0.25">
      <c r="A51" s="14"/>
      <c r="B51" s="17" t="s">
        <v>3</v>
      </c>
      <c r="C51" s="16"/>
      <c r="D51" s="16"/>
      <c r="E51" s="16"/>
      <c r="F51" s="16"/>
      <c r="G51" s="15"/>
      <c r="H51" s="15"/>
    </row>
    <row r="52" spans="1:8" s="12" customFormat="1" ht="26.25" customHeight="1" x14ac:dyDescent="0.25">
      <c r="A52" s="14"/>
      <c r="B52" s="13" t="s">
        <v>2</v>
      </c>
      <c r="C52" s="13"/>
      <c r="D52" s="13"/>
      <c r="E52" s="13"/>
      <c r="F52" s="13"/>
      <c r="G52" s="13"/>
      <c r="H52" s="13"/>
    </row>
    <row r="53" spans="1:8" ht="23.25" customHeight="1" x14ac:dyDescent="0.25">
      <c r="A53" s="11"/>
      <c r="B53" s="11"/>
      <c r="C53" s="10"/>
      <c r="D53" s="10"/>
      <c r="E53" s="10"/>
      <c r="F53" s="9"/>
      <c r="G53" s="8"/>
      <c r="H53" s="8"/>
    </row>
    <row r="54" spans="1:8" ht="8.25" customHeight="1" x14ac:dyDescent="0.25">
      <c r="A54" s="7"/>
      <c r="B54" s="1"/>
    </row>
    <row r="55" spans="1:8" x14ac:dyDescent="0.25">
      <c r="B55" s="1"/>
      <c r="H55" s="6"/>
    </row>
    <row r="56" spans="1:8" x14ac:dyDescent="0.25">
      <c r="A56" s="5"/>
      <c r="B56" s="4" t="s">
        <v>1</v>
      </c>
      <c r="C56" s="3"/>
      <c r="D56" s="3"/>
      <c r="E56" s="3"/>
      <c r="F56" s="3"/>
      <c r="G56" s="3"/>
      <c r="H56" s="3"/>
    </row>
    <row r="57" spans="1:8" x14ac:dyDescent="0.25">
      <c r="A57" s="5"/>
      <c r="B57" s="4" t="s">
        <v>0</v>
      </c>
      <c r="C57" s="3"/>
      <c r="D57" s="3"/>
      <c r="E57" s="3"/>
      <c r="F57" s="3"/>
      <c r="G57" s="3"/>
      <c r="H57" s="3"/>
    </row>
    <row r="58" spans="1:8" x14ac:dyDescent="0.25">
      <c r="A58" s="5"/>
      <c r="B58" s="4"/>
      <c r="C58" s="3"/>
      <c r="D58" s="3"/>
      <c r="E58" s="3"/>
      <c r="F58" s="3"/>
      <c r="G58" s="3"/>
      <c r="H58" s="3"/>
    </row>
  </sheetData>
  <sheetProtection formatColumns="0" formatRows="0" insertHyperlinks="0"/>
  <mergeCells count="18">
    <mergeCell ref="A20:B20"/>
    <mergeCell ref="A30:B30"/>
    <mergeCell ref="A32:B32"/>
    <mergeCell ref="A1:H1"/>
    <mergeCell ref="A2:H2"/>
    <mergeCell ref="A3:H3"/>
    <mergeCell ref="A4:H4"/>
    <mergeCell ref="C5:F5"/>
    <mergeCell ref="C6:G6"/>
    <mergeCell ref="A6:B8"/>
    <mergeCell ref="A34:B34"/>
    <mergeCell ref="C23:G23"/>
    <mergeCell ref="A26:B26"/>
    <mergeCell ref="A31:B31"/>
    <mergeCell ref="B52:H52"/>
    <mergeCell ref="A45:B45"/>
    <mergeCell ref="A36:B36"/>
    <mergeCell ref="A23:B25"/>
  </mergeCells>
  <printOptions horizontalCentered="1"/>
  <pageMargins left="0.39370078740157483" right="0.39370078740157483" top="0.39370078740157483" bottom="0.51181102362204722" header="0.31496062992125984" footer="0.31496062992125984"/>
  <pageSetup scale="80" fitToHeight="2" orientation="landscape" r:id="rId1"/>
  <rowBreaks count="1" manualBreakCount="1">
    <brk id="2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56607-5AE2-457B-9905-3FBC19AC70CF}">
  <sheetPr>
    <pageSetUpPr fitToPage="1"/>
  </sheetPr>
  <dimension ref="A1:H31"/>
  <sheetViews>
    <sheetView view="pageBreakPreview" topLeftCell="A10" zoomScaleNormal="100" zoomScaleSheetLayoutView="100" workbookViewId="0">
      <selection activeCell="J40" sqref="J4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400" t="s">
        <v>42</v>
      </c>
      <c r="B1" s="400"/>
      <c r="C1" s="400"/>
      <c r="D1" s="400"/>
      <c r="E1" s="400"/>
      <c r="F1" s="400"/>
      <c r="G1" s="400"/>
    </row>
    <row r="2" spans="1:7" x14ac:dyDescent="0.25">
      <c r="A2" s="400" t="s">
        <v>215</v>
      </c>
      <c r="B2" s="400"/>
      <c r="C2" s="400"/>
      <c r="D2" s="400"/>
      <c r="E2" s="400"/>
      <c r="F2" s="400"/>
      <c r="G2" s="400"/>
    </row>
    <row r="3" spans="1:7" x14ac:dyDescent="0.25">
      <c r="A3" s="400" t="s">
        <v>351</v>
      </c>
      <c r="B3" s="400"/>
      <c r="C3" s="400"/>
      <c r="D3" s="400"/>
      <c r="E3" s="400"/>
      <c r="F3" s="400"/>
      <c r="G3" s="400"/>
    </row>
    <row r="4" spans="1:7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258" t="s">
        <v>350</v>
      </c>
      <c r="B6" s="258"/>
      <c r="C6" s="258"/>
      <c r="D6" s="258"/>
      <c r="E6" s="258"/>
      <c r="F6" s="100"/>
      <c r="G6" s="399"/>
    </row>
    <row r="7" spans="1:7" s="179" customFormat="1" ht="40.5" x14ac:dyDescent="0.25">
      <c r="A7" s="414" t="s">
        <v>113</v>
      </c>
      <c r="B7" s="413" t="s">
        <v>211</v>
      </c>
      <c r="C7" s="413" t="s">
        <v>111</v>
      </c>
      <c r="D7" s="413" t="s">
        <v>210</v>
      </c>
      <c r="E7" s="413" t="s">
        <v>209</v>
      </c>
      <c r="F7" s="413" t="s">
        <v>208</v>
      </c>
      <c r="G7" s="412" t="s">
        <v>207</v>
      </c>
    </row>
    <row r="8" spans="1:7" s="179" customFormat="1" ht="15.75" customHeight="1" thickBot="1" x14ac:dyDescent="0.3">
      <c r="A8" s="411"/>
      <c r="B8" s="346" t="s">
        <v>26</v>
      </c>
      <c r="C8" s="346" t="s">
        <v>25</v>
      </c>
      <c r="D8" s="346" t="s">
        <v>206</v>
      </c>
      <c r="E8" s="346" t="s">
        <v>23</v>
      </c>
      <c r="F8" s="346" t="s">
        <v>22</v>
      </c>
      <c r="G8" s="345" t="s">
        <v>205</v>
      </c>
    </row>
    <row r="9" spans="1:7" x14ac:dyDescent="0.25">
      <c r="A9" s="410"/>
      <c r="B9" s="408"/>
      <c r="C9" s="408"/>
      <c r="D9" s="409"/>
      <c r="E9" s="408"/>
      <c r="F9" s="408"/>
      <c r="G9" s="407"/>
    </row>
    <row r="10" spans="1:7" ht="25.5" x14ac:dyDescent="0.25">
      <c r="A10" s="406" t="s">
        <v>349</v>
      </c>
      <c r="B10" s="243">
        <v>578850855.75</v>
      </c>
      <c r="C10" s="243">
        <v>370631441.71000004</v>
      </c>
      <c r="D10" s="244">
        <f>IF(A10="","",B10+C10)</f>
        <v>949482297.46000004</v>
      </c>
      <c r="E10" s="243">
        <v>693922767.47000003</v>
      </c>
      <c r="F10" s="243">
        <v>646587490.44000006</v>
      </c>
      <c r="G10" s="242">
        <f>IF(A10="","",D10-E10)</f>
        <v>255559529.99000001</v>
      </c>
    </row>
    <row r="11" spans="1:7" ht="8.25" customHeight="1" x14ac:dyDescent="0.25">
      <c r="A11" s="406"/>
      <c r="B11" s="243"/>
      <c r="C11" s="243"/>
      <c r="D11" s="244" t="str">
        <f>IF(A11="","",B11+C11)</f>
        <v/>
      </c>
      <c r="E11" s="243"/>
      <c r="F11" s="243"/>
      <c r="G11" s="242" t="str">
        <f>IF(A11="","",D11-E11)</f>
        <v/>
      </c>
    </row>
    <row r="12" spans="1:7" x14ac:dyDescent="0.25">
      <c r="A12" s="406" t="s">
        <v>348</v>
      </c>
      <c r="B12" s="243"/>
      <c r="C12" s="243"/>
      <c r="D12" s="244">
        <f>IF(A12="","",B12+C12)</f>
        <v>0</v>
      </c>
      <c r="E12" s="243"/>
      <c r="F12" s="243"/>
      <c r="G12" s="242">
        <f>IF(A12="","",D12-E12)</f>
        <v>0</v>
      </c>
    </row>
    <row r="13" spans="1:7" ht="8.25" customHeight="1" x14ac:dyDescent="0.25">
      <c r="A13" s="406"/>
      <c r="B13" s="243"/>
      <c r="C13" s="243"/>
      <c r="D13" s="244" t="str">
        <f>IF(A13="","",B13+C13)</f>
        <v/>
      </c>
      <c r="E13" s="243"/>
      <c r="F13" s="243"/>
      <c r="G13" s="242" t="str">
        <f>IF(A13="","",D13-E13)</f>
        <v/>
      </c>
    </row>
    <row r="14" spans="1:7" ht="25.5" x14ac:dyDescent="0.25">
      <c r="A14" s="406" t="s">
        <v>347</v>
      </c>
      <c r="B14" s="243"/>
      <c r="C14" s="243"/>
      <c r="D14" s="244">
        <f>IF(A14="","",B14+C14)</f>
        <v>0</v>
      </c>
      <c r="E14" s="243"/>
      <c r="F14" s="243"/>
      <c r="G14" s="242">
        <f>IF(A14="","",D14-E14)</f>
        <v>0</v>
      </c>
    </row>
    <row r="15" spans="1:7" ht="8.25" customHeight="1" x14ac:dyDescent="0.25">
      <c r="A15" s="406"/>
      <c r="B15" s="243"/>
      <c r="C15" s="243"/>
      <c r="D15" s="244" t="str">
        <f>IF(A15="","",B15+C15)</f>
        <v/>
      </c>
      <c r="E15" s="243"/>
      <c r="F15" s="243"/>
      <c r="G15" s="242" t="str">
        <f>IF(A15="","",D15-E15)</f>
        <v/>
      </c>
    </row>
    <row r="16" spans="1:7" ht="25.5" x14ac:dyDescent="0.25">
      <c r="A16" s="406" t="s">
        <v>346</v>
      </c>
      <c r="B16" s="243"/>
      <c r="C16" s="243"/>
      <c r="D16" s="244">
        <f>IF(A16="","",B16+C16)</f>
        <v>0</v>
      </c>
      <c r="E16" s="243"/>
      <c r="F16" s="243"/>
      <c r="G16" s="242">
        <f>IF(A16="","",D16-E16)</f>
        <v>0</v>
      </c>
    </row>
    <row r="17" spans="1:8" ht="8.25" customHeight="1" x14ac:dyDescent="0.25">
      <c r="A17" s="406"/>
      <c r="B17" s="243"/>
      <c r="C17" s="243"/>
      <c r="D17" s="244" t="str">
        <f>IF(A17="","",B17+C17)</f>
        <v/>
      </c>
      <c r="E17" s="243"/>
      <c r="F17" s="243"/>
      <c r="G17" s="242" t="str">
        <f>IF(A17="","",D17-E17)</f>
        <v/>
      </c>
    </row>
    <row r="18" spans="1:8" ht="25.5" x14ac:dyDescent="0.25">
      <c r="A18" s="406" t="s">
        <v>345</v>
      </c>
      <c r="B18" s="243"/>
      <c r="C18" s="243"/>
      <c r="D18" s="244">
        <f>IF(A18="","",B18+C18)</f>
        <v>0</v>
      </c>
      <c r="E18" s="243"/>
      <c r="F18" s="243"/>
      <c r="G18" s="242">
        <f>IF(A18="","",D18-E18)</f>
        <v>0</v>
      </c>
    </row>
    <row r="19" spans="1:8" ht="8.25" customHeight="1" x14ac:dyDescent="0.25">
      <c r="A19" s="406"/>
      <c r="B19" s="243"/>
      <c r="C19" s="243"/>
      <c r="D19" s="244" t="str">
        <f>IF(A19="","",B19+C19)</f>
        <v/>
      </c>
      <c r="E19" s="243"/>
      <c r="F19" s="243"/>
      <c r="G19" s="242" t="str">
        <f>IF(A19="","",D19-E19)</f>
        <v/>
      </c>
    </row>
    <row r="20" spans="1:8" ht="25.5" x14ac:dyDescent="0.25">
      <c r="A20" s="406" t="s">
        <v>344</v>
      </c>
      <c r="B20" s="243"/>
      <c r="C20" s="243"/>
      <c r="D20" s="244">
        <f>IF(A20="","",B20+C20)</f>
        <v>0</v>
      </c>
      <c r="E20" s="243"/>
      <c r="F20" s="243"/>
      <c r="G20" s="242">
        <f>IF(A20="","",D20-E20)</f>
        <v>0</v>
      </c>
    </row>
    <row r="21" spans="1:8" ht="8.25" customHeight="1" x14ac:dyDescent="0.25">
      <c r="A21" s="406"/>
      <c r="B21" s="243"/>
      <c r="C21" s="243"/>
      <c r="D21" s="244" t="str">
        <f>IF(A21="","",B21+C21)</f>
        <v/>
      </c>
      <c r="E21" s="243"/>
      <c r="F21" s="243"/>
      <c r="G21" s="242" t="str">
        <f>IF(A21="","",D21-E21)</f>
        <v/>
      </c>
    </row>
    <row r="22" spans="1:8" ht="26.25" thickBot="1" x14ac:dyDescent="0.3">
      <c r="A22" s="406" t="s">
        <v>343</v>
      </c>
      <c r="B22" s="243"/>
      <c r="C22" s="243"/>
      <c r="D22" s="244">
        <f>IF(A22="","",B22+C22)</f>
        <v>0</v>
      </c>
      <c r="E22" s="243"/>
      <c r="F22" s="243"/>
      <c r="G22" s="242">
        <f>IF(A22="","",D22-E22)</f>
        <v>0</v>
      </c>
    </row>
    <row r="23" spans="1:8" ht="24.95" customHeight="1" thickBot="1" x14ac:dyDescent="0.3">
      <c r="A23" s="337" t="s">
        <v>132</v>
      </c>
      <c r="B23" s="236">
        <f>SUM(B10:B22)</f>
        <v>578850855.75</v>
      </c>
      <c r="C23" s="236">
        <f>SUM(C10:C22)</f>
        <v>370631441.71000004</v>
      </c>
      <c r="D23" s="236">
        <f>IF(A23="","",B23+C23)</f>
        <v>949482297.46000004</v>
      </c>
      <c r="E23" s="236">
        <f>SUM(E10:E22)</f>
        <v>693922767.47000003</v>
      </c>
      <c r="F23" s="236">
        <f>SUM(F10:F22)</f>
        <v>646587490.44000006</v>
      </c>
      <c r="G23" s="235">
        <f>IF(A23="","",D23-E23)</f>
        <v>255559529.99000001</v>
      </c>
      <c r="H23" s="108" t="str">
        <f>IF((B23-'ETCA II-04'!B81)&gt;0.9,"ERROR!!!!!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405"/>
      <c r="B24" s="404"/>
      <c r="C24" s="404"/>
      <c r="D24" s="404"/>
      <c r="E24" s="404"/>
      <c r="F24" s="404"/>
      <c r="G24" s="404"/>
      <c r="H24" s="108" t="str">
        <f>IF((C23-'ETCA II-04'!C81)&gt;0.9,"ERROR!!!!!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401"/>
      <c r="B25" s="233"/>
      <c r="C25" s="233"/>
      <c r="D25" s="233"/>
      <c r="E25" s="233"/>
      <c r="F25" s="233"/>
      <c r="G25" s="233"/>
      <c r="H25" s="108" t="str">
        <f>IF((D23-'ETCA II-04'!D81)&gt;0.9,"ERROR!!!!!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8"/>
      <c r="B26" s="403"/>
      <c r="C26" s="403"/>
      <c r="D26" s="402"/>
      <c r="E26" s="403"/>
      <c r="F26" s="403"/>
      <c r="G26" s="402"/>
      <c r="H26" s="108" t="str">
        <f>IF((E23-'ETCA II-04'!E81)&gt;0.9,"ERROR!!!!! EL MONTO NO COINCIDE CON LO REPORTADO EN EL FORMATO ETCA-II-04 EN EL TOTAL APROBADO ANUAL DEL ANALÍTICO DE EGRESOS","")</f>
        <v/>
      </c>
    </row>
    <row r="27" spans="1:8" ht="24.95" customHeight="1" x14ac:dyDescent="0.25">
      <c r="A27" s="88"/>
      <c r="B27" s="403"/>
      <c r="C27" s="403"/>
      <c r="D27" s="402"/>
      <c r="E27" s="403"/>
      <c r="F27" s="403"/>
      <c r="G27" s="402"/>
      <c r="H27" s="108" t="str">
        <f>IF((F23-'ETCA II-04'!F81)&gt;0.9,"ERROR!!!!! EL MONTO NO COINCIDE CON LO REPORTADO EN EL FORMATO ETCA-II-04 EN EL TOTAL APROBADO ANUAL DEL ANALÍTICO DE EGRESOS","")</f>
        <v/>
      </c>
    </row>
    <row r="28" spans="1:8" ht="25.5" customHeight="1" x14ac:dyDescent="0.25">
      <c r="A28" s="401"/>
      <c r="B28" s="233"/>
      <c r="C28" s="233"/>
      <c r="D28" s="233"/>
      <c r="E28" s="233"/>
      <c r="F28" s="233"/>
      <c r="G28" s="233"/>
      <c r="H28" s="108" t="str">
        <f>IF((G23-'ETCA II-04'!G81)&gt;0.9,"ERROR!!!!! EL MONTO NO COINCIDE CON LO REPORTADO EN EL FORMATO ETCA-II-04 EN EL TOTAL APROBADO ANUAL DEL ANALÍTICO DE EGRESOS","")</f>
        <v/>
      </c>
    </row>
    <row r="30" spans="1:8" x14ac:dyDescent="0.25">
      <c r="F30" s="348"/>
    </row>
    <row r="31" spans="1:8" x14ac:dyDescent="0.25">
      <c r="F31" s="348"/>
    </row>
  </sheetData>
  <sheetProtection sheet="1" scenarios="1" formatColumns="0" formatRows="0" insertHyperlink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C997-D67C-404C-A347-39C4ABB2C224}">
  <dimension ref="A1:H49"/>
  <sheetViews>
    <sheetView view="pageBreakPreview" topLeftCell="A7" zoomScale="90" zoomScaleNormal="100" zoomScaleSheetLayoutView="90" workbookViewId="0">
      <selection activeCell="J40" sqref="J40"/>
    </sheetView>
  </sheetViews>
  <sheetFormatPr baseColWidth="10" defaultRowHeight="15" x14ac:dyDescent="0.25"/>
  <cols>
    <col min="1" max="1" width="35.7109375" customWidth="1"/>
    <col min="2" max="2" width="11.28515625" customWidth="1"/>
    <col min="6" max="6" width="11.85546875" customWidth="1"/>
  </cols>
  <sheetData>
    <row r="1" spans="1:7" ht="16.5" x14ac:dyDescent="0.25">
      <c r="A1" s="400" t="s">
        <v>42</v>
      </c>
      <c r="B1" s="400"/>
      <c r="C1" s="400"/>
      <c r="D1" s="400"/>
      <c r="E1" s="400"/>
      <c r="F1" s="400"/>
      <c r="G1" s="400"/>
    </row>
    <row r="2" spans="1:7" ht="16.5" x14ac:dyDescent="0.25">
      <c r="A2" s="400" t="s">
        <v>215</v>
      </c>
      <c r="B2" s="400"/>
      <c r="C2" s="400"/>
      <c r="D2" s="400"/>
      <c r="E2" s="400"/>
      <c r="F2" s="400"/>
      <c r="G2" s="400"/>
    </row>
    <row r="3" spans="1:7" ht="16.5" x14ac:dyDescent="0.25">
      <c r="A3" s="400" t="s">
        <v>383</v>
      </c>
      <c r="B3" s="400"/>
      <c r="C3" s="400"/>
      <c r="D3" s="400"/>
      <c r="E3" s="400"/>
      <c r="F3" s="400"/>
      <c r="G3" s="400"/>
    </row>
    <row r="4" spans="1:7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ht="16.5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103"/>
      <c r="B6" s="431"/>
      <c r="C6" s="431"/>
      <c r="D6" s="431"/>
      <c r="E6" s="431"/>
      <c r="F6" s="430"/>
      <c r="G6" s="429"/>
    </row>
    <row r="7" spans="1:7" ht="40.5" x14ac:dyDescent="0.25">
      <c r="A7" s="414" t="s">
        <v>113</v>
      </c>
      <c r="B7" s="428" t="s">
        <v>211</v>
      </c>
      <c r="C7" s="428" t="s">
        <v>111</v>
      </c>
      <c r="D7" s="428" t="s">
        <v>210</v>
      </c>
      <c r="E7" s="428" t="s">
        <v>209</v>
      </c>
      <c r="F7" s="428" t="s">
        <v>208</v>
      </c>
      <c r="G7" s="427" t="s">
        <v>207</v>
      </c>
    </row>
    <row r="8" spans="1:7" ht="15.75" thickBot="1" x14ac:dyDescent="0.3">
      <c r="A8" s="411"/>
      <c r="B8" s="426" t="s">
        <v>26</v>
      </c>
      <c r="C8" s="426" t="s">
        <v>25</v>
      </c>
      <c r="D8" s="426" t="s">
        <v>206</v>
      </c>
      <c r="E8" s="426" t="s">
        <v>23</v>
      </c>
      <c r="F8" s="426" t="s">
        <v>22</v>
      </c>
      <c r="G8" s="425" t="s">
        <v>205</v>
      </c>
    </row>
    <row r="9" spans="1:7" ht="16.5" x14ac:dyDescent="0.25">
      <c r="A9" s="424"/>
      <c r="B9" s="423"/>
      <c r="C9" s="423"/>
      <c r="D9" s="423"/>
      <c r="E9" s="423"/>
      <c r="F9" s="423"/>
      <c r="G9" s="422"/>
    </row>
    <row r="10" spans="1:7" x14ac:dyDescent="0.25">
      <c r="A10" s="421" t="s">
        <v>382</v>
      </c>
      <c r="B10" s="420">
        <f>SUM(B11:B18)</f>
        <v>0</v>
      </c>
      <c r="C10" s="420">
        <f>SUM(C11:C18)</f>
        <v>0</v>
      </c>
      <c r="D10" s="420">
        <f>IF(A10="","",B10+C10)</f>
        <v>0</v>
      </c>
      <c r="E10" s="420">
        <f>SUM(E11:E18)</f>
        <v>0</v>
      </c>
      <c r="F10" s="420">
        <f>SUM(F11:F18)</f>
        <v>0</v>
      </c>
      <c r="G10" s="419">
        <f>IF(A10="","",D10-E10)</f>
        <v>0</v>
      </c>
    </row>
    <row r="11" spans="1:7" x14ac:dyDescent="0.25">
      <c r="A11" s="327" t="s">
        <v>381</v>
      </c>
      <c r="B11" s="243"/>
      <c r="C11" s="243"/>
      <c r="D11" s="244">
        <f>IF(A11="","",B11+C11)</f>
        <v>0</v>
      </c>
      <c r="E11" s="243"/>
      <c r="F11" s="243"/>
      <c r="G11" s="242">
        <f>IF(A11="","",D11-E11)</f>
        <v>0</v>
      </c>
    </row>
    <row r="12" spans="1:7" x14ac:dyDescent="0.25">
      <c r="A12" s="327" t="s">
        <v>380</v>
      </c>
      <c r="B12" s="243"/>
      <c r="C12" s="243"/>
      <c r="D12" s="244">
        <f>IF(A12="","",B12+C12)</f>
        <v>0</v>
      </c>
      <c r="E12" s="243"/>
      <c r="F12" s="243"/>
      <c r="G12" s="242">
        <f>IF(A12="","",D12-E12)</f>
        <v>0</v>
      </c>
    </row>
    <row r="13" spans="1:7" x14ac:dyDescent="0.25">
      <c r="A13" s="327" t="s">
        <v>379</v>
      </c>
      <c r="B13" s="243"/>
      <c r="C13" s="243"/>
      <c r="D13" s="244">
        <f>IF(A13="","",B13+C13)</f>
        <v>0</v>
      </c>
      <c r="E13" s="243"/>
      <c r="F13" s="243"/>
      <c r="G13" s="242">
        <f>IF(A13="","",D13-E13)</f>
        <v>0</v>
      </c>
    </row>
    <row r="14" spans="1:7" x14ac:dyDescent="0.25">
      <c r="A14" s="327" t="s">
        <v>378</v>
      </c>
      <c r="B14" s="243"/>
      <c r="C14" s="243"/>
      <c r="D14" s="244">
        <f>IF(A14="","",B14+C14)</f>
        <v>0</v>
      </c>
      <c r="E14" s="243"/>
      <c r="F14" s="243"/>
      <c r="G14" s="242">
        <f>IF(A14="","",D14-E14)</f>
        <v>0</v>
      </c>
    </row>
    <row r="15" spans="1:7" x14ac:dyDescent="0.25">
      <c r="A15" s="327" t="s">
        <v>377</v>
      </c>
      <c r="B15" s="243"/>
      <c r="C15" s="243"/>
      <c r="D15" s="244">
        <f>IF(A15="","",B15+C15)</f>
        <v>0</v>
      </c>
      <c r="E15" s="243"/>
      <c r="F15" s="243"/>
      <c r="G15" s="242">
        <f>IF(A15="","",D15-E15)</f>
        <v>0</v>
      </c>
    </row>
    <row r="16" spans="1:7" x14ac:dyDescent="0.25">
      <c r="A16" s="327" t="s">
        <v>376</v>
      </c>
      <c r="B16" s="243"/>
      <c r="C16" s="243"/>
      <c r="D16" s="244">
        <f>IF(A16="","",B16+C16)</f>
        <v>0</v>
      </c>
      <c r="E16" s="243"/>
      <c r="F16" s="243"/>
      <c r="G16" s="242">
        <f>IF(A16="","",D16-E16)</f>
        <v>0</v>
      </c>
    </row>
    <row r="17" spans="1:7" x14ac:dyDescent="0.25">
      <c r="A17" s="327" t="s">
        <v>375</v>
      </c>
      <c r="B17" s="243"/>
      <c r="C17" s="243"/>
      <c r="D17" s="244">
        <f>IF(A17="","",B17+C17)</f>
        <v>0</v>
      </c>
      <c r="E17" s="243"/>
      <c r="F17" s="243"/>
      <c r="G17" s="242">
        <f>IF(A17="","",D17-E17)</f>
        <v>0</v>
      </c>
    </row>
    <row r="18" spans="1:7" x14ac:dyDescent="0.25">
      <c r="A18" s="327" t="s">
        <v>177</v>
      </c>
      <c r="B18" s="243"/>
      <c r="C18" s="243"/>
      <c r="D18" s="244">
        <f>IF(A18="","",B18+C18)</f>
        <v>0</v>
      </c>
      <c r="E18" s="243"/>
      <c r="F18" s="243"/>
      <c r="G18" s="242">
        <f>IF(A18="","",D18-E18)</f>
        <v>0</v>
      </c>
    </row>
    <row r="19" spans="1:7" x14ac:dyDescent="0.25">
      <c r="A19" s="410"/>
      <c r="B19" s="243"/>
      <c r="C19" s="243"/>
      <c r="D19" s="244" t="str">
        <f>IF(A19="","",B19+C19)</f>
        <v/>
      </c>
      <c r="E19" s="243"/>
      <c r="F19" s="243"/>
      <c r="G19" s="242" t="str">
        <f>IF(A19="","",D19-E19)</f>
        <v/>
      </c>
    </row>
    <row r="20" spans="1:7" x14ac:dyDescent="0.25">
      <c r="A20" s="421" t="s">
        <v>374</v>
      </c>
      <c r="B20" s="420">
        <f>SUM(B21:B27)</f>
        <v>578850855.75</v>
      </c>
      <c r="C20" s="420">
        <f>SUM(C21:C27)</f>
        <v>370631441.71000004</v>
      </c>
      <c r="D20" s="420">
        <f>IF(A20="","",B20+C20)</f>
        <v>949482297.46000004</v>
      </c>
      <c r="E20" s="420">
        <f>SUM(E21:E27)</f>
        <v>693922767.47000003</v>
      </c>
      <c r="F20" s="420">
        <f>SUM(F21:F27)</f>
        <v>646587490.44000006</v>
      </c>
      <c r="G20" s="419">
        <f>IF(A20="","",D20-E20)</f>
        <v>255559529.99000001</v>
      </c>
    </row>
    <row r="21" spans="1:7" x14ac:dyDescent="0.25">
      <c r="A21" s="327" t="s">
        <v>373</v>
      </c>
      <c r="B21" s="243"/>
      <c r="C21" s="243"/>
      <c r="D21" s="244">
        <f>IF(A21="","",B21+C21)</f>
        <v>0</v>
      </c>
      <c r="E21" s="243"/>
      <c r="F21" s="243"/>
      <c r="G21" s="242">
        <f>IF(A21="","",D21-E21)</f>
        <v>0</v>
      </c>
    </row>
    <row r="22" spans="1:7" x14ac:dyDescent="0.25">
      <c r="A22" s="327" t="s">
        <v>372</v>
      </c>
      <c r="B22" s="243">
        <v>578850855.75</v>
      </c>
      <c r="C22" s="243">
        <v>370631441.71000004</v>
      </c>
      <c r="D22" s="244">
        <f>IF(A22="","",B22+C22)</f>
        <v>949482297.46000004</v>
      </c>
      <c r="E22" s="243">
        <v>693922767.47000003</v>
      </c>
      <c r="F22" s="243">
        <v>646587490.44000006</v>
      </c>
      <c r="G22" s="242">
        <f>IF(A22="","",D22-E22)</f>
        <v>255559529.99000001</v>
      </c>
    </row>
    <row r="23" spans="1:7" x14ac:dyDescent="0.25">
      <c r="A23" s="327" t="s">
        <v>371</v>
      </c>
      <c r="B23" s="243"/>
      <c r="C23" s="243"/>
      <c r="D23" s="244">
        <f>IF(A23="","",B23+C23)</f>
        <v>0</v>
      </c>
      <c r="E23" s="243"/>
      <c r="F23" s="243"/>
      <c r="G23" s="242">
        <f>IF(A23="","",D23-E23)</f>
        <v>0</v>
      </c>
    </row>
    <row r="24" spans="1:7" ht="25.5" x14ac:dyDescent="0.25">
      <c r="A24" s="327" t="s">
        <v>370</v>
      </c>
      <c r="B24" s="243"/>
      <c r="C24" s="243"/>
      <c r="D24" s="244">
        <f>IF(A24="","",B24+C24)</f>
        <v>0</v>
      </c>
      <c r="E24" s="243"/>
      <c r="F24" s="243"/>
      <c r="G24" s="242">
        <f>IF(A24="","",D24-E24)</f>
        <v>0</v>
      </c>
    </row>
    <row r="25" spans="1:7" x14ac:dyDescent="0.25">
      <c r="A25" s="327" t="s">
        <v>369</v>
      </c>
      <c r="B25" s="243"/>
      <c r="C25" s="243"/>
      <c r="D25" s="244">
        <f>IF(A25="","",B25+C25)</f>
        <v>0</v>
      </c>
      <c r="E25" s="243"/>
      <c r="F25" s="243"/>
      <c r="G25" s="242">
        <f>IF(A25="","",D25-E25)</f>
        <v>0</v>
      </c>
    </row>
    <row r="26" spans="1:7" x14ac:dyDescent="0.25">
      <c r="A26" s="327" t="s">
        <v>368</v>
      </c>
      <c r="B26" s="243"/>
      <c r="C26" s="243"/>
      <c r="D26" s="244">
        <f>IF(A26="","",B26+C26)</f>
        <v>0</v>
      </c>
      <c r="E26" s="243"/>
      <c r="F26" s="243"/>
      <c r="G26" s="242">
        <f>IF(A26="","",D26-E26)</f>
        <v>0</v>
      </c>
    </row>
    <row r="27" spans="1:7" x14ac:dyDescent="0.25">
      <c r="A27" s="327" t="s">
        <v>367</v>
      </c>
      <c r="B27" s="243"/>
      <c r="C27" s="243"/>
      <c r="D27" s="244">
        <f>IF(A27="","",B27+C27)</f>
        <v>0</v>
      </c>
      <c r="E27" s="243"/>
      <c r="F27" s="243"/>
      <c r="G27" s="242">
        <f>IF(A27="","",D27-E27)</f>
        <v>0</v>
      </c>
    </row>
    <row r="28" spans="1:7" x14ac:dyDescent="0.25">
      <c r="A28" s="410"/>
      <c r="B28" s="243"/>
      <c r="C28" s="243"/>
      <c r="D28" s="244" t="str">
        <f>IF(A28="","",B28+C28)</f>
        <v/>
      </c>
      <c r="E28" s="243"/>
      <c r="F28" s="243"/>
      <c r="G28" s="242" t="str">
        <f>IF(A28="","",D28-E28)</f>
        <v/>
      </c>
    </row>
    <row r="29" spans="1:7" x14ac:dyDescent="0.25">
      <c r="A29" s="421" t="s">
        <v>366</v>
      </c>
      <c r="B29" s="420">
        <f>SUM(B30:B38)</f>
        <v>0</v>
      </c>
      <c r="C29" s="420">
        <f>SUM(C30:C38)</f>
        <v>0</v>
      </c>
      <c r="D29" s="420">
        <f>IF(A29="","",B29+C29)</f>
        <v>0</v>
      </c>
      <c r="E29" s="420">
        <f>SUM(E30:E38)</f>
        <v>0</v>
      </c>
      <c r="F29" s="420">
        <f>SUM(F30:F38)</f>
        <v>0</v>
      </c>
      <c r="G29" s="419">
        <f>IF(A29="","",D29-E29)</f>
        <v>0</v>
      </c>
    </row>
    <row r="30" spans="1:7" ht="25.5" x14ac:dyDescent="0.25">
      <c r="A30" s="327" t="s">
        <v>365</v>
      </c>
      <c r="B30" s="243"/>
      <c r="C30" s="243"/>
      <c r="D30" s="244">
        <f>IF(A30="","",B30+C30)</f>
        <v>0</v>
      </c>
      <c r="E30" s="243"/>
      <c r="F30" s="243"/>
      <c r="G30" s="242">
        <f>IF(A30="","",D30-E30)</f>
        <v>0</v>
      </c>
    </row>
    <row r="31" spans="1:7" x14ac:dyDescent="0.25">
      <c r="A31" s="327" t="s">
        <v>364</v>
      </c>
      <c r="B31" s="243"/>
      <c r="C31" s="243"/>
      <c r="D31" s="244">
        <f>IF(A31="","",B31+C31)</f>
        <v>0</v>
      </c>
      <c r="E31" s="243"/>
      <c r="F31" s="243"/>
      <c r="G31" s="242">
        <f>IF(A31="","",D31-E31)</f>
        <v>0</v>
      </c>
    </row>
    <row r="32" spans="1:7" x14ac:dyDescent="0.25">
      <c r="A32" s="327" t="s">
        <v>363</v>
      </c>
      <c r="B32" s="243"/>
      <c r="C32" s="243"/>
      <c r="D32" s="244">
        <f>IF(A32="","",B32+C32)</f>
        <v>0</v>
      </c>
      <c r="E32" s="243"/>
      <c r="F32" s="243"/>
      <c r="G32" s="242">
        <f>IF(A32="","",D32-E32)</f>
        <v>0</v>
      </c>
    </row>
    <row r="33" spans="1:8" x14ac:dyDescent="0.25">
      <c r="A33" s="327" t="s">
        <v>362</v>
      </c>
      <c r="B33" s="243"/>
      <c r="C33" s="243"/>
      <c r="D33" s="244">
        <f>IF(A33="","",B33+C33)</f>
        <v>0</v>
      </c>
      <c r="E33" s="243"/>
      <c r="F33" s="243"/>
      <c r="G33" s="242">
        <f>IF(A33="","",D33-E33)</f>
        <v>0</v>
      </c>
    </row>
    <row r="34" spans="1:8" x14ac:dyDescent="0.25">
      <c r="A34" s="327" t="s">
        <v>361</v>
      </c>
      <c r="B34" s="243"/>
      <c r="C34" s="243"/>
      <c r="D34" s="244">
        <f>IF(A34="","",B34+C34)</f>
        <v>0</v>
      </c>
      <c r="E34" s="243"/>
      <c r="F34" s="243"/>
      <c r="G34" s="242">
        <f>IF(A34="","",D34-E34)</f>
        <v>0</v>
      </c>
    </row>
    <row r="35" spans="1:8" x14ac:dyDescent="0.25">
      <c r="A35" s="327" t="s">
        <v>360</v>
      </c>
      <c r="B35" s="243"/>
      <c r="C35" s="243"/>
      <c r="D35" s="244">
        <f>IF(A35="","",B35+C35)</f>
        <v>0</v>
      </c>
      <c r="E35" s="243"/>
      <c r="F35" s="243"/>
      <c r="G35" s="242">
        <f>IF(A35="","",D35-E35)</f>
        <v>0</v>
      </c>
    </row>
    <row r="36" spans="1:8" x14ac:dyDescent="0.25">
      <c r="A36" s="327" t="s">
        <v>359</v>
      </c>
      <c r="B36" s="243"/>
      <c r="C36" s="243"/>
      <c r="D36" s="244">
        <f>IF(A36="","",B36+C36)</f>
        <v>0</v>
      </c>
      <c r="E36" s="243"/>
      <c r="F36" s="243"/>
      <c r="G36" s="242">
        <f>IF(A36="","",D36-E36)</f>
        <v>0</v>
      </c>
    </row>
    <row r="37" spans="1:8" x14ac:dyDescent="0.25">
      <c r="A37" s="327" t="s">
        <v>358</v>
      </c>
      <c r="B37" s="243"/>
      <c r="C37" s="243"/>
      <c r="D37" s="244">
        <f>IF(A37="","",B37+C37)</f>
        <v>0</v>
      </c>
      <c r="E37" s="243"/>
      <c r="F37" s="243"/>
      <c r="G37" s="242">
        <f>IF(A37="","",D37-E37)</f>
        <v>0</v>
      </c>
    </row>
    <row r="38" spans="1:8" x14ac:dyDescent="0.25">
      <c r="A38" s="327" t="s">
        <v>357</v>
      </c>
      <c r="B38" s="243"/>
      <c r="C38" s="243"/>
      <c r="D38" s="244">
        <f>IF(A38="","",B38+C38)</f>
        <v>0</v>
      </c>
      <c r="E38" s="243"/>
      <c r="F38" s="243"/>
      <c r="G38" s="242">
        <f>IF(A38="","",D38-E38)</f>
        <v>0</v>
      </c>
    </row>
    <row r="39" spans="1:8" x14ac:dyDescent="0.25">
      <c r="A39" s="410"/>
      <c r="B39" s="243"/>
      <c r="C39" s="243"/>
      <c r="D39" s="244" t="str">
        <f>IF(A39="","",B39+C39)</f>
        <v/>
      </c>
      <c r="E39" s="243"/>
      <c r="F39" s="243"/>
      <c r="G39" s="242" t="str">
        <f>IF(A39="","",D39-E39)</f>
        <v/>
      </c>
    </row>
    <row r="40" spans="1:8" ht="25.5" x14ac:dyDescent="0.25">
      <c r="A40" s="421" t="s">
        <v>356</v>
      </c>
      <c r="B40" s="420">
        <f>SUM(B41:B44)</f>
        <v>0</v>
      </c>
      <c r="C40" s="420">
        <f>SUM(C41:C44)</f>
        <v>0</v>
      </c>
      <c r="D40" s="420">
        <f>IF(A40="","",B40+C40)</f>
        <v>0</v>
      </c>
      <c r="E40" s="420">
        <f>SUM(E41:E44)</f>
        <v>0</v>
      </c>
      <c r="F40" s="420">
        <f>SUM(F41:F44)</f>
        <v>0</v>
      </c>
      <c r="G40" s="419">
        <f>IF(A40="","",D40-E40)</f>
        <v>0</v>
      </c>
    </row>
    <row r="41" spans="1:8" ht="25.5" x14ac:dyDescent="0.25">
      <c r="A41" s="418" t="s">
        <v>355</v>
      </c>
      <c r="B41" s="243">
        <v>0</v>
      </c>
      <c r="C41" s="243">
        <v>0</v>
      </c>
      <c r="D41" s="244">
        <f>IF(A41="","",B41+C41)</f>
        <v>0</v>
      </c>
      <c r="E41" s="243">
        <v>0</v>
      </c>
      <c r="F41" s="243">
        <v>0</v>
      </c>
      <c r="G41" s="242">
        <f>IF(A41="","",D41-E41)</f>
        <v>0</v>
      </c>
    </row>
    <row r="42" spans="1:8" ht="38.25" x14ac:dyDescent="0.25">
      <c r="A42" s="418" t="s">
        <v>354</v>
      </c>
      <c r="B42" s="243"/>
      <c r="C42" s="243"/>
      <c r="D42" s="244">
        <f>IF(A42="","",B42+C42)</f>
        <v>0</v>
      </c>
      <c r="E42" s="243"/>
      <c r="F42" s="243"/>
      <c r="G42" s="242">
        <f>IF(A42="","",D42-E42)</f>
        <v>0</v>
      </c>
    </row>
    <row r="43" spans="1:8" x14ac:dyDescent="0.25">
      <c r="A43" s="327" t="s">
        <v>353</v>
      </c>
      <c r="B43" s="243"/>
      <c r="C43" s="243"/>
      <c r="D43" s="244">
        <f>IF(A43="","",B43+C43)</f>
        <v>0</v>
      </c>
      <c r="E43" s="243"/>
      <c r="F43" s="243"/>
      <c r="G43" s="242">
        <f>IF(A43="","",D43-E43)</f>
        <v>0</v>
      </c>
    </row>
    <row r="44" spans="1:8" ht="15.75" thickBot="1" x14ac:dyDescent="0.3">
      <c r="A44" s="327" t="s">
        <v>352</v>
      </c>
      <c r="B44" s="243"/>
      <c r="C44" s="243"/>
      <c r="D44" s="244">
        <f>IF(A44="","",B44+C44)</f>
        <v>0</v>
      </c>
      <c r="E44" s="243"/>
      <c r="F44" s="243"/>
      <c r="G44" s="242">
        <f>IF(A44="","",D44-E44)</f>
        <v>0</v>
      </c>
    </row>
    <row r="45" spans="1:8" ht="15.75" thickBot="1" x14ac:dyDescent="0.3">
      <c r="A45" s="337" t="s">
        <v>132</v>
      </c>
      <c r="B45" s="417">
        <f>SUM(B10,B20,B29,B40)</f>
        <v>578850855.75</v>
      </c>
      <c r="C45" s="417">
        <f>SUM(C10,C20,C29,C40)</f>
        <v>370631441.71000004</v>
      </c>
      <c r="D45" s="417">
        <f>IF(A45="","",B45+C45)</f>
        <v>949482297.46000004</v>
      </c>
      <c r="E45" s="417">
        <f>SUM(E10,E20,E29,E40)</f>
        <v>693922767.47000003</v>
      </c>
      <c r="F45" s="417">
        <f>SUM(F10,F20,F29,F40)</f>
        <v>646587490.44000006</v>
      </c>
      <c r="G45" s="416">
        <f>IF(A45="","",D45-E45)</f>
        <v>255559529.99000001</v>
      </c>
      <c r="H45" s="108" t="str">
        <f>IF((B45-'ETCA II-04'!B81)&gt;0.9,"ERROR!!!!! EL MONTO NO COINCIDE CON LO REPORTADO EN EL FORMATO ETCA-II-04 EN EL TOTAL APROBADO ANUAL DEL ANALÍTICO DE EGRESOS","")</f>
        <v/>
      </c>
    </row>
    <row r="46" spans="1:8" ht="9" customHeight="1" x14ac:dyDescent="0.25">
      <c r="A46" s="401"/>
      <c r="B46" s="402"/>
      <c r="C46" s="402"/>
      <c r="D46" s="402"/>
      <c r="E46" s="402"/>
      <c r="F46" s="402"/>
      <c r="G46" s="402"/>
      <c r="H46" s="108" t="str">
        <f>IF((C45-'ETCA II-04'!C81)&gt;0.9,"ERROR!!!!! EL MONTO NO COINCIDE CON LO REPORTADO EN EL FORMATO ETCA-II-04 EN EL TOTAL DE AMPLIACIONES/REDUCCIONES PRESENTADO EN EL ANALÍTICO DE EGRESOS","")</f>
        <v/>
      </c>
    </row>
    <row r="47" spans="1:8" x14ac:dyDescent="0.25">
      <c r="A47" s="415"/>
      <c r="B47" s="403"/>
      <c r="C47" s="403"/>
      <c r="D47" s="402"/>
      <c r="E47" s="403"/>
      <c r="F47" s="403"/>
      <c r="G47" s="402"/>
      <c r="H47" s="108" t="str">
        <f>IF((E45-'ETCA II-04'!E81)&gt;0.9,"ERROR!!!!! EL MONTO NO COINCIDE CON LO REPORTADO EN EL FORMATO ETCA-II-04 EN EL TOTAL DEVENGADO ANUAL PRESENTADO EN EL ANALÍTICO DE EGRESOS","")</f>
        <v/>
      </c>
    </row>
    <row r="48" spans="1:8" x14ac:dyDescent="0.25">
      <c r="A48" s="401"/>
      <c r="B48" s="402"/>
      <c r="C48" s="402"/>
      <c r="D48" s="402"/>
      <c r="E48" s="402"/>
      <c r="F48" s="402"/>
      <c r="G48" s="402"/>
      <c r="H48" s="108" t="str">
        <f>IF((F45-'ETCA II-04'!F81)&gt;0.9,"ERROR!!!!! EL MONTO NO COINCIDE CON LO REPORTADO EN EL FORMATO ETCA-II-04 EN EL TOTAL PAGADO ANUAL PRESENTADO EN EL ANALÍTICO DE EGRESOS","")</f>
        <v/>
      </c>
    </row>
    <row r="49" spans="8:8" x14ac:dyDescent="0.25">
      <c r="H49" s="108" t="str">
        <f>IF((G45-'ETCA II-04'!G81)&gt;0.9,"ERROR!!!!!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7">
    <mergeCell ref="A7:A8"/>
    <mergeCell ref="A1:G1"/>
    <mergeCell ref="A2:G2"/>
    <mergeCell ref="A3:G3"/>
    <mergeCell ref="A4:G4"/>
    <mergeCell ref="A5:G5"/>
    <mergeCell ref="B6:E6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E0A3-2CAC-4485-AD3A-0E46032B4098}">
  <dimension ref="A1:N89"/>
  <sheetViews>
    <sheetView view="pageBreakPreview" topLeftCell="A28" zoomScale="90" zoomScaleNormal="100" zoomScaleSheetLayoutView="90" workbookViewId="0">
      <selection activeCell="J40" sqref="J40"/>
    </sheetView>
  </sheetViews>
  <sheetFormatPr baseColWidth="10" defaultColWidth="11.42578125" defaultRowHeight="15" x14ac:dyDescent="0.25"/>
  <cols>
    <col min="1" max="1" width="4.42578125" customWidth="1"/>
    <col min="2" max="2" width="42.7109375" customWidth="1"/>
    <col min="3" max="3" width="14.28515625" bestFit="1" customWidth="1"/>
    <col min="4" max="4" width="16.5703125" customWidth="1"/>
    <col min="5" max="5" width="14.5703125" bestFit="1" customWidth="1"/>
    <col min="6" max="7" width="14.28515625" bestFit="1" customWidth="1"/>
    <col min="8" max="8" width="15.42578125" bestFit="1" customWidth="1"/>
    <col min="9" max="9" width="16" bestFit="1" customWidth="1"/>
    <col min="10" max="10" width="13.5703125" bestFit="1" customWidth="1"/>
    <col min="11" max="11" width="14.5703125" bestFit="1" customWidth="1"/>
    <col min="12" max="14" width="14.28515625" bestFit="1" customWidth="1"/>
  </cols>
  <sheetData>
    <row r="1" spans="1:8" ht="15.75" x14ac:dyDescent="0.25">
      <c r="A1" s="306" t="s">
        <v>42</v>
      </c>
      <c r="B1" s="305"/>
      <c r="C1" s="305"/>
      <c r="D1" s="305"/>
      <c r="E1" s="305"/>
      <c r="F1" s="305"/>
      <c r="G1" s="305"/>
      <c r="H1" s="304"/>
    </row>
    <row r="2" spans="1:8" ht="12" customHeight="1" x14ac:dyDescent="0.25">
      <c r="A2" s="303" t="str">
        <f>'[1]ETCA-I-01'!A3:G3</f>
        <v>Comision Estatal del Agua</v>
      </c>
      <c r="B2" s="106"/>
      <c r="C2" s="106"/>
      <c r="D2" s="106"/>
      <c r="E2" s="106"/>
      <c r="F2" s="106"/>
      <c r="G2" s="106"/>
      <c r="H2" s="302"/>
    </row>
    <row r="3" spans="1:8" x14ac:dyDescent="0.25">
      <c r="A3" s="463" t="s">
        <v>300</v>
      </c>
      <c r="B3" s="462"/>
      <c r="C3" s="462"/>
      <c r="D3" s="462"/>
      <c r="E3" s="462"/>
      <c r="F3" s="462"/>
      <c r="G3" s="462"/>
      <c r="H3" s="461"/>
    </row>
    <row r="4" spans="1:8" ht="11.25" customHeight="1" x14ac:dyDescent="0.25">
      <c r="A4" s="463" t="s">
        <v>383</v>
      </c>
      <c r="B4" s="462"/>
      <c r="C4" s="462"/>
      <c r="D4" s="462"/>
      <c r="E4" s="462"/>
      <c r="F4" s="462"/>
      <c r="G4" s="462"/>
      <c r="H4" s="461"/>
    </row>
    <row r="5" spans="1:8" ht="11.25" customHeight="1" x14ac:dyDescent="0.25">
      <c r="A5" s="463" t="str">
        <f>'[1]ETCA-I-03'!A4:D4</f>
        <v>Del 01 de Enero al 31 de Diciembre de 2019</v>
      </c>
      <c r="B5" s="462"/>
      <c r="C5" s="462"/>
      <c r="D5" s="462"/>
      <c r="E5" s="462"/>
      <c r="F5" s="462"/>
      <c r="G5" s="462"/>
      <c r="H5" s="461"/>
    </row>
    <row r="6" spans="1:8" ht="12.75" customHeight="1" thickBot="1" x14ac:dyDescent="0.3">
      <c r="A6" s="456" t="s">
        <v>40</v>
      </c>
      <c r="B6" s="460"/>
      <c r="C6" s="460"/>
      <c r="D6" s="460"/>
      <c r="E6" s="460"/>
      <c r="F6" s="460"/>
      <c r="G6" s="460"/>
      <c r="H6" s="459"/>
    </row>
    <row r="7" spans="1:8" ht="15.75" thickBot="1" x14ac:dyDescent="0.3">
      <c r="A7" s="458" t="s">
        <v>298</v>
      </c>
      <c r="B7" s="457"/>
      <c r="C7" s="375" t="s">
        <v>297</v>
      </c>
      <c r="D7" s="374"/>
      <c r="E7" s="374"/>
      <c r="F7" s="374"/>
      <c r="G7" s="373"/>
      <c r="H7" s="372" t="s">
        <v>296</v>
      </c>
    </row>
    <row r="8" spans="1:8" ht="26.25" thickBot="1" x14ac:dyDescent="0.3">
      <c r="A8" s="456"/>
      <c r="B8" s="455"/>
      <c r="C8" s="371" t="s">
        <v>295</v>
      </c>
      <c r="D8" s="371" t="s">
        <v>294</v>
      </c>
      <c r="E8" s="371" t="s">
        <v>293</v>
      </c>
      <c r="F8" s="371" t="s">
        <v>110</v>
      </c>
      <c r="G8" s="371" t="s">
        <v>335</v>
      </c>
      <c r="H8" s="370"/>
    </row>
    <row r="9" spans="1:8" x14ac:dyDescent="0.25">
      <c r="A9" s="454"/>
      <c r="B9" s="453"/>
      <c r="C9" s="452"/>
      <c r="D9" s="452"/>
      <c r="E9" s="452"/>
      <c r="F9" s="452"/>
      <c r="G9" s="452"/>
      <c r="H9" s="452"/>
    </row>
    <row r="10" spans="1:8" ht="16.5" customHeight="1" x14ac:dyDescent="0.25">
      <c r="A10" s="451" t="s">
        <v>417</v>
      </c>
      <c r="B10" s="450"/>
      <c r="C10" s="361">
        <f>+C11+C21+C30+C41</f>
        <v>512550855.75</v>
      </c>
      <c r="D10" s="361">
        <f>+D11+D21+D30+D41</f>
        <v>214857954.00999999</v>
      </c>
      <c r="E10" s="361">
        <f>+E11+E21+E30+E41</f>
        <v>727408809.75999999</v>
      </c>
      <c r="F10" s="361">
        <f>+F11+F21+F30+F41</f>
        <v>574789549.67000008</v>
      </c>
      <c r="G10" s="361">
        <f>+G11+G21+G30+G41</f>
        <v>527489413.45999998</v>
      </c>
      <c r="H10" s="361">
        <f>+H11+H21+H30+H41</f>
        <v>152619260.08999991</v>
      </c>
    </row>
    <row r="11" spans="1:8" x14ac:dyDescent="0.25">
      <c r="A11" s="444" t="s">
        <v>415</v>
      </c>
      <c r="B11" s="443"/>
      <c r="C11" s="437">
        <f>SUM(C12:C19)</f>
        <v>0</v>
      </c>
      <c r="D11" s="437">
        <f>SUM(D12:D19)</f>
        <v>0</v>
      </c>
      <c r="E11" s="437">
        <f>SUM(E12:E19)</f>
        <v>0</v>
      </c>
      <c r="F11" s="437">
        <f>SUM(F12:F19)</f>
        <v>0</v>
      </c>
      <c r="G11" s="437">
        <f>SUM(G12:G19)</f>
        <v>0</v>
      </c>
      <c r="H11" s="437">
        <f>SUM(H12:H19)</f>
        <v>0</v>
      </c>
    </row>
    <row r="12" spans="1:8" x14ac:dyDescent="0.25">
      <c r="A12" s="440"/>
      <c r="B12" s="439" t="s">
        <v>414</v>
      </c>
      <c r="C12" s="438"/>
      <c r="D12" s="438"/>
      <c r="E12" s="437">
        <f>C12+D12</f>
        <v>0</v>
      </c>
      <c r="F12" s="438"/>
      <c r="G12" s="438"/>
      <c r="H12" s="437">
        <f>+E12-F12</f>
        <v>0</v>
      </c>
    </row>
    <row r="13" spans="1:8" x14ac:dyDescent="0.25">
      <c r="A13" s="440"/>
      <c r="B13" s="439" t="s">
        <v>413</v>
      </c>
      <c r="C13" s="438"/>
      <c r="D13" s="438"/>
      <c r="E13" s="437">
        <f>C13+D13</f>
        <v>0</v>
      </c>
      <c r="F13" s="438"/>
      <c r="G13" s="438"/>
      <c r="H13" s="437">
        <f>+E13-F13</f>
        <v>0</v>
      </c>
    </row>
    <row r="14" spans="1:8" x14ac:dyDescent="0.25">
      <c r="A14" s="440"/>
      <c r="B14" s="439" t="s">
        <v>412</v>
      </c>
      <c r="C14" s="438"/>
      <c r="D14" s="438"/>
      <c r="E14" s="437">
        <f>C14+D14</f>
        <v>0</v>
      </c>
      <c r="F14" s="438"/>
      <c r="G14" s="438"/>
      <c r="H14" s="437">
        <f>+E14-F14</f>
        <v>0</v>
      </c>
    </row>
    <row r="15" spans="1:8" x14ac:dyDescent="0.25">
      <c r="A15" s="440"/>
      <c r="B15" s="439" t="s">
        <v>411</v>
      </c>
      <c r="C15" s="438"/>
      <c r="D15" s="438"/>
      <c r="E15" s="437">
        <f>C15+D15</f>
        <v>0</v>
      </c>
      <c r="F15" s="438"/>
      <c r="G15" s="438"/>
      <c r="H15" s="437">
        <f>+E15-F15</f>
        <v>0</v>
      </c>
    </row>
    <row r="16" spans="1:8" x14ac:dyDescent="0.25">
      <c r="A16" s="440"/>
      <c r="B16" s="439" t="s">
        <v>410</v>
      </c>
      <c r="C16" s="438"/>
      <c r="D16" s="438"/>
      <c r="E16" s="437">
        <f>C16+D16</f>
        <v>0</v>
      </c>
      <c r="F16" s="438"/>
      <c r="G16" s="438"/>
      <c r="H16" s="437">
        <f>+E16-F16</f>
        <v>0</v>
      </c>
    </row>
    <row r="17" spans="1:14" x14ac:dyDescent="0.25">
      <c r="A17" s="440"/>
      <c r="B17" s="439" t="s">
        <v>409</v>
      </c>
      <c r="C17" s="438"/>
      <c r="D17" s="438"/>
      <c r="E17" s="437">
        <f>C17+D17</f>
        <v>0</v>
      </c>
      <c r="F17" s="438"/>
      <c r="G17" s="438"/>
      <c r="H17" s="437">
        <f>+E17-F17</f>
        <v>0</v>
      </c>
    </row>
    <row r="18" spans="1:14" x14ac:dyDescent="0.25">
      <c r="A18" s="440"/>
      <c r="B18" s="439" t="s">
        <v>408</v>
      </c>
      <c r="C18" s="438"/>
      <c r="D18" s="438"/>
      <c r="E18" s="437">
        <f>C18+D18</f>
        <v>0</v>
      </c>
      <c r="F18" s="438"/>
      <c r="G18" s="438"/>
      <c r="H18" s="437">
        <f>+E18-F18</f>
        <v>0</v>
      </c>
    </row>
    <row r="19" spans="1:14" x14ac:dyDescent="0.25">
      <c r="A19" s="440"/>
      <c r="B19" s="439" t="s">
        <v>407</v>
      </c>
      <c r="C19" s="438"/>
      <c r="D19" s="438"/>
      <c r="E19" s="437">
        <f>C19+D19</f>
        <v>0</v>
      </c>
      <c r="F19" s="438"/>
      <c r="G19" s="438"/>
      <c r="H19" s="437">
        <f>+E19-F19</f>
        <v>0</v>
      </c>
    </row>
    <row r="20" spans="1:14" x14ac:dyDescent="0.25">
      <c r="A20" s="447"/>
      <c r="B20" s="446"/>
      <c r="C20" s="449"/>
      <c r="D20" s="449"/>
      <c r="E20" s="449"/>
      <c r="F20" s="449"/>
      <c r="G20" s="449"/>
      <c r="H20" s="437" t="s">
        <v>46</v>
      </c>
    </row>
    <row r="21" spans="1:14" x14ac:dyDescent="0.25">
      <c r="A21" s="444" t="s">
        <v>406</v>
      </c>
      <c r="B21" s="443"/>
      <c r="C21" s="437">
        <f>SUM(C22:C28)</f>
        <v>512550855.75</v>
      </c>
      <c r="D21" s="437">
        <f>SUM(D22:D28)</f>
        <v>214857954.00999999</v>
      </c>
      <c r="E21" s="437">
        <f>SUM(E22:E28)</f>
        <v>727408809.75999999</v>
      </c>
      <c r="F21" s="437">
        <f>SUM(F22:F28)</f>
        <v>574789549.67000008</v>
      </c>
      <c r="G21" s="437">
        <f>SUM(G22:G28)</f>
        <v>527489413.45999998</v>
      </c>
      <c r="H21" s="437">
        <f>SUM(H22:H28)</f>
        <v>152619260.08999991</v>
      </c>
    </row>
    <row r="22" spans="1:14" x14ac:dyDescent="0.25">
      <c r="A22" s="440"/>
      <c r="B22" s="439" t="s">
        <v>405</v>
      </c>
      <c r="C22" s="438"/>
      <c r="D22" s="438"/>
      <c r="E22" s="437">
        <f>C22+D22</f>
        <v>0</v>
      </c>
      <c r="F22" s="438"/>
      <c r="G22" s="438"/>
      <c r="H22" s="437">
        <f>+E22-F22</f>
        <v>0</v>
      </c>
    </row>
    <row r="23" spans="1:14" x14ac:dyDescent="0.25">
      <c r="A23" s="440"/>
      <c r="B23" s="439" t="s">
        <v>404</v>
      </c>
      <c r="C23" s="438">
        <v>512550855.75</v>
      </c>
      <c r="D23" s="438">
        <v>214857954.00999999</v>
      </c>
      <c r="E23" s="437">
        <f>C23+D23</f>
        <v>727408809.75999999</v>
      </c>
      <c r="F23" s="438">
        <v>574789549.67000008</v>
      </c>
      <c r="G23" s="438">
        <v>527489413.45999998</v>
      </c>
      <c r="H23" s="437">
        <f>+E23-F23</f>
        <v>152619260.08999991</v>
      </c>
      <c r="I23" s="352"/>
      <c r="J23" s="352"/>
      <c r="K23" s="352"/>
      <c r="L23" s="352"/>
      <c r="M23" s="352"/>
      <c r="N23" s="352"/>
    </row>
    <row r="24" spans="1:14" x14ac:dyDescent="0.25">
      <c r="A24" s="440"/>
      <c r="B24" s="439" t="s">
        <v>403</v>
      </c>
      <c r="C24" s="438"/>
      <c r="D24" s="438"/>
      <c r="E24" s="437">
        <f>C24+D24</f>
        <v>0</v>
      </c>
      <c r="F24" s="438"/>
      <c r="G24" s="438"/>
      <c r="H24" s="437">
        <f>+E24-F24</f>
        <v>0</v>
      </c>
      <c r="I24" s="352"/>
      <c r="J24" s="352"/>
      <c r="K24" s="352"/>
      <c r="L24" s="352"/>
      <c r="M24" s="352"/>
      <c r="N24" s="352"/>
    </row>
    <row r="25" spans="1:14" x14ac:dyDescent="0.25">
      <c r="A25" s="440"/>
      <c r="B25" s="439" t="s">
        <v>402</v>
      </c>
      <c r="C25" s="438"/>
      <c r="D25" s="438"/>
      <c r="E25" s="437">
        <f>C25+D25</f>
        <v>0</v>
      </c>
      <c r="F25" s="438"/>
      <c r="G25" s="438"/>
      <c r="H25" s="437">
        <f>+E25-F25</f>
        <v>0</v>
      </c>
      <c r="I25" s="448"/>
      <c r="J25" s="448"/>
      <c r="K25" s="448"/>
      <c r="L25" s="448"/>
      <c r="M25" s="448"/>
      <c r="N25" s="448"/>
    </row>
    <row r="26" spans="1:14" x14ac:dyDescent="0.25">
      <c r="A26" s="440"/>
      <c r="B26" s="439" t="s">
        <v>401</v>
      </c>
      <c r="C26" s="438"/>
      <c r="D26" s="438"/>
      <c r="E26" s="437">
        <f>C26+D26</f>
        <v>0</v>
      </c>
      <c r="F26" s="438"/>
      <c r="G26" s="438"/>
      <c r="H26" s="437">
        <f>+E26-F26</f>
        <v>0</v>
      </c>
    </row>
    <row r="27" spans="1:14" x14ac:dyDescent="0.25">
      <c r="A27" s="440"/>
      <c r="B27" s="439" t="s">
        <v>400</v>
      </c>
      <c r="C27" s="438"/>
      <c r="D27" s="438"/>
      <c r="E27" s="437">
        <f>C27+D27</f>
        <v>0</v>
      </c>
      <c r="F27" s="438"/>
      <c r="G27" s="438"/>
      <c r="H27" s="437">
        <f>+E27-F27</f>
        <v>0</v>
      </c>
    </row>
    <row r="28" spans="1:14" x14ac:dyDescent="0.25">
      <c r="A28" s="440"/>
      <c r="B28" s="439" t="s">
        <v>399</v>
      </c>
      <c r="C28" s="438"/>
      <c r="D28" s="438"/>
      <c r="E28" s="437">
        <f>C28+D28</f>
        <v>0</v>
      </c>
      <c r="F28" s="438"/>
      <c r="G28" s="438"/>
      <c r="H28" s="437">
        <f>+E28-F28</f>
        <v>0</v>
      </c>
    </row>
    <row r="29" spans="1:14" x14ac:dyDescent="0.25">
      <c r="A29" s="447"/>
      <c r="B29" s="446"/>
      <c r="C29" s="445"/>
      <c r="D29" s="445"/>
      <c r="E29" s="445"/>
      <c r="F29" s="445"/>
      <c r="G29" s="445"/>
      <c r="H29" s="445"/>
    </row>
    <row r="30" spans="1:14" x14ac:dyDescent="0.25">
      <c r="A30" s="444" t="s">
        <v>398</v>
      </c>
      <c r="B30" s="443"/>
      <c r="C30" s="437">
        <f>SUM(C31:C39)</f>
        <v>0</v>
      </c>
      <c r="D30" s="437">
        <f>SUM(D31:D39)</f>
        <v>0</v>
      </c>
      <c r="E30" s="437">
        <f>SUM(E31:E39)</f>
        <v>0</v>
      </c>
      <c r="F30" s="437">
        <f>SUM(F31:F39)</f>
        <v>0</v>
      </c>
      <c r="G30" s="437">
        <f>SUM(G31:G39)</f>
        <v>0</v>
      </c>
      <c r="H30" s="437">
        <f>SUM(H31:H39)</f>
        <v>0</v>
      </c>
    </row>
    <row r="31" spans="1:14" x14ac:dyDescent="0.25">
      <c r="A31" s="440"/>
      <c r="B31" s="439" t="s">
        <v>397</v>
      </c>
      <c r="C31" s="438"/>
      <c r="D31" s="438"/>
      <c r="E31" s="437">
        <f>C31+D31</f>
        <v>0</v>
      </c>
      <c r="F31" s="438"/>
      <c r="G31" s="438"/>
      <c r="H31" s="437">
        <f>+E31-F31</f>
        <v>0</v>
      </c>
    </row>
    <row r="32" spans="1:14" x14ac:dyDescent="0.25">
      <c r="A32" s="440"/>
      <c r="B32" s="439" t="s">
        <v>396</v>
      </c>
      <c r="C32" s="438"/>
      <c r="D32" s="438"/>
      <c r="E32" s="437">
        <f>C32+D32</f>
        <v>0</v>
      </c>
      <c r="F32" s="438"/>
      <c r="G32" s="438"/>
      <c r="H32" s="437">
        <f>+E32-F32</f>
        <v>0</v>
      </c>
    </row>
    <row r="33" spans="1:8" x14ac:dyDescent="0.25">
      <c r="A33" s="440"/>
      <c r="B33" s="439" t="s">
        <v>395</v>
      </c>
      <c r="C33" s="438"/>
      <c r="D33" s="438"/>
      <c r="E33" s="437">
        <f>C33+D33</f>
        <v>0</v>
      </c>
      <c r="F33" s="438"/>
      <c r="G33" s="438"/>
      <c r="H33" s="437">
        <f>+E33-F33</f>
        <v>0</v>
      </c>
    </row>
    <row r="34" spans="1:8" ht="15.75" thickBot="1" x14ac:dyDescent="0.3">
      <c r="A34" s="436"/>
      <c r="B34" s="435" t="s">
        <v>394</v>
      </c>
      <c r="C34" s="442"/>
      <c r="D34" s="442"/>
      <c r="E34" s="441">
        <f>C34+D34</f>
        <v>0</v>
      </c>
      <c r="F34" s="442"/>
      <c r="G34" s="442"/>
      <c r="H34" s="441">
        <f>+E34-F34</f>
        <v>0</v>
      </c>
    </row>
    <row r="35" spans="1:8" x14ac:dyDescent="0.25">
      <c r="A35" s="440"/>
      <c r="B35" s="439" t="s">
        <v>393</v>
      </c>
      <c r="C35" s="438"/>
      <c r="D35" s="438"/>
      <c r="E35" s="437">
        <f>C35+D35</f>
        <v>0</v>
      </c>
      <c r="F35" s="438"/>
      <c r="G35" s="438"/>
      <c r="H35" s="437">
        <f>+E35-F35</f>
        <v>0</v>
      </c>
    </row>
    <row r="36" spans="1:8" x14ac:dyDescent="0.25">
      <c r="A36" s="440"/>
      <c r="B36" s="439" t="s">
        <v>392</v>
      </c>
      <c r="C36" s="438"/>
      <c r="D36" s="438"/>
      <c r="E36" s="437">
        <f>C36+D36</f>
        <v>0</v>
      </c>
      <c r="F36" s="438"/>
      <c r="G36" s="438"/>
      <c r="H36" s="437">
        <f>+E36-F36</f>
        <v>0</v>
      </c>
    </row>
    <row r="37" spans="1:8" x14ac:dyDescent="0.25">
      <c r="A37" s="440"/>
      <c r="B37" s="439" t="s">
        <v>391</v>
      </c>
      <c r="C37" s="438"/>
      <c r="D37" s="438"/>
      <c r="E37" s="437">
        <f>C37+D37</f>
        <v>0</v>
      </c>
      <c r="F37" s="438"/>
      <c r="G37" s="438"/>
      <c r="H37" s="437">
        <f>+E37-F37</f>
        <v>0</v>
      </c>
    </row>
    <row r="38" spans="1:8" x14ac:dyDescent="0.25">
      <c r="A38" s="440"/>
      <c r="B38" s="439" t="s">
        <v>390</v>
      </c>
      <c r="C38" s="438"/>
      <c r="D38" s="438"/>
      <c r="E38" s="437">
        <f>C38+D38</f>
        <v>0</v>
      </c>
      <c r="F38" s="438"/>
      <c r="G38" s="438"/>
      <c r="H38" s="437">
        <f>+E38-F38</f>
        <v>0</v>
      </c>
    </row>
    <row r="39" spans="1:8" x14ac:dyDescent="0.25">
      <c r="A39" s="440"/>
      <c r="B39" s="439" t="s">
        <v>389</v>
      </c>
      <c r="C39" s="438"/>
      <c r="D39" s="438"/>
      <c r="E39" s="437">
        <f>C39+D39</f>
        <v>0</v>
      </c>
      <c r="F39" s="438"/>
      <c r="G39" s="438"/>
      <c r="H39" s="437">
        <f>+E39-F39</f>
        <v>0</v>
      </c>
    </row>
    <row r="40" spans="1:8" x14ac:dyDescent="0.25">
      <c r="A40" s="440"/>
      <c r="B40" s="439"/>
      <c r="C40" s="438"/>
      <c r="D40" s="438"/>
      <c r="E40" s="437"/>
      <c r="F40" s="438"/>
      <c r="G40" s="438"/>
      <c r="H40" s="437"/>
    </row>
    <row r="41" spans="1:8" x14ac:dyDescent="0.25">
      <c r="A41" s="440" t="s">
        <v>388</v>
      </c>
      <c r="B41" s="439"/>
      <c r="C41" s="437">
        <f>SUM(C42:C45)</f>
        <v>0</v>
      </c>
      <c r="D41" s="437">
        <f>SUM(D42:D45)</f>
        <v>0</v>
      </c>
      <c r="E41" s="437">
        <f>SUM(E42:E45)</f>
        <v>0</v>
      </c>
      <c r="F41" s="437">
        <f>SUM(F42:F45)</f>
        <v>0</v>
      </c>
      <c r="G41" s="437">
        <f>SUM(G42:G45)</f>
        <v>0</v>
      </c>
      <c r="H41" s="437">
        <f>SUM(H42:H45)</f>
        <v>0</v>
      </c>
    </row>
    <row r="42" spans="1:8" x14ac:dyDescent="0.25">
      <c r="A42" s="440"/>
      <c r="B42" s="439" t="s">
        <v>387</v>
      </c>
      <c r="C42" s="438"/>
      <c r="D42" s="438"/>
      <c r="E42" s="437">
        <f>C42+D42</f>
        <v>0</v>
      </c>
      <c r="F42" s="438"/>
      <c r="G42" s="438"/>
      <c r="H42" s="437">
        <f>+E42-F42</f>
        <v>0</v>
      </c>
    </row>
    <row r="43" spans="1:8" x14ac:dyDescent="0.25">
      <c r="A43" s="440"/>
      <c r="B43" s="439" t="s">
        <v>386</v>
      </c>
      <c r="C43" s="438"/>
      <c r="D43" s="438"/>
      <c r="E43" s="437">
        <f>C43+D43</f>
        <v>0</v>
      </c>
      <c r="F43" s="438"/>
      <c r="G43" s="438"/>
      <c r="H43" s="437">
        <f>+E43-F43</f>
        <v>0</v>
      </c>
    </row>
    <row r="44" spans="1:8" x14ac:dyDescent="0.25">
      <c r="A44" s="440"/>
      <c r="B44" s="439" t="s">
        <v>385</v>
      </c>
      <c r="C44" s="438"/>
      <c r="D44" s="438"/>
      <c r="E44" s="437">
        <f>C44+D44</f>
        <v>0</v>
      </c>
      <c r="F44" s="438"/>
      <c r="G44" s="438"/>
      <c r="H44" s="437">
        <f>+E44-F44</f>
        <v>0</v>
      </c>
    </row>
    <row r="45" spans="1:8" x14ac:dyDescent="0.25">
      <c r="A45" s="440"/>
      <c r="B45" s="439" t="s">
        <v>384</v>
      </c>
      <c r="C45" s="438"/>
      <c r="D45" s="438"/>
      <c r="E45" s="437">
        <f>C45+D45</f>
        <v>0</v>
      </c>
      <c r="F45" s="438"/>
      <c r="G45" s="438"/>
      <c r="H45" s="437">
        <f>+E45-F45</f>
        <v>0</v>
      </c>
    </row>
    <row r="46" spans="1:8" x14ac:dyDescent="0.25">
      <c r="A46" s="440"/>
      <c r="B46" s="439"/>
      <c r="C46" s="438"/>
      <c r="D46" s="438"/>
      <c r="E46" s="437"/>
      <c r="F46" s="438"/>
      <c r="G46" s="438"/>
      <c r="H46" s="437"/>
    </row>
    <row r="47" spans="1:8" x14ac:dyDescent="0.25">
      <c r="A47" s="440" t="s">
        <v>416</v>
      </c>
      <c r="B47" s="439"/>
      <c r="C47" s="437">
        <f>+C48+C58+C66+C77</f>
        <v>66300000</v>
      </c>
      <c r="D47" s="437">
        <f>+D48+D58+D66+D77</f>
        <v>155773487.70000002</v>
      </c>
      <c r="E47" s="437">
        <f>+E48+E58+E66+E77</f>
        <v>222073487.70000002</v>
      </c>
      <c r="F47" s="437">
        <f>+F48+F58+F66+F77</f>
        <v>119133217.8</v>
      </c>
      <c r="G47" s="437">
        <f>+G48+G58+G66+G77</f>
        <v>119098076.98</v>
      </c>
      <c r="H47" s="437">
        <f>+H48+H58+H66+H77</f>
        <v>102940269.90000002</v>
      </c>
    </row>
    <row r="48" spans="1:8" x14ac:dyDescent="0.25">
      <c r="A48" s="440" t="s">
        <v>415</v>
      </c>
      <c r="B48" s="439"/>
      <c r="C48" s="437">
        <f>SUM(C49:C56)</f>
        <v>0</v>
      </c>
      <c r="D48" s="437">
        <f>SUM(D49:D56)</f>
        <v>0</v>
      </c>
      <c r="E48" s="437">
        <f>SUM(E49:E56)</f>
        <v>0</v>
      </c>
      <c r="F48" s="437">
        <f>SUM(F49:F56)</f>
        <v>0</v>
      </c>
      <c r="G48" s="437">
        <f>SUM(G49:G56)</f>
        <v>0</v>
      </c>
      <c r="H48" s="437">
        <f>SUM(H49:H56)</f>
        <v>0</v>
      </c>
    </row>
    <row r="49" spans="1:8" x14ac:dyDescent="0.25">
      <c r="A49" s="440"/>
      <c r="B49" s="439" t="s">
        <v>414</v>
      </c>
      <c r="C49" s="438"/>
      <c r="D49" s="438"/>
      <c r="E49" s="437">
        <f>C49+D49</f>
        <v>0</v>
      </c>
      <c r="F49" s="438"/>
      <c r="G49" s="438"/>
      <c r="H49" s="437">
        <f>+E49-F49</f>
        <v>0</v>
      </c>
    </row>
    <row r="50" spans="1:8" x14ac:dyDescent="0.25">
      <c r="A50" s="440"/>
      <c r="B50" s="439" t="s">
        <v>413</v>
      </c>
      <c r="C50" s="438"/>
      <c r="D50" s="438"/>
      <c r="E50" s="437">
        <f>C50+D50</f>
        <v>0</v>
      </c>
      <c r="F50" s="438"/>
      <c r="G50" s="438"/>
      <c r="H50" s="437">
        <f>+E50-F50</f>
        <v>0</v>
      </c>
    </row>
    <row r="51" spans="1:8" x14ac:dyDescent="0.25">
      <c r="A51" s="440"/>
      <c r="B51" s="439" t="s">
        <v>412</v>
      </c>
      <c r="C51" s="438"/>
      <c r="D51" s="438"/>
      <c r="E51" s="437">
        <f>C51+D51</f>
        <v>0</v>
      </c>
      <c r="F51" s="438"/>
      <c r="G51" s="438"/>
      <c r="H51" s="437">
        <f>+E51-F51</f>
        <v>0</v>
      </c>
    </row>
    <row r="52" spans="1:8" x14ac:dyDescent="0.25">
      <c r="A52" s="440"/>
      <c r="B52" s="439" t="s">
        <v>411</v>
      </c>
      <c r="C52" s="438"/>
      <c r="D52" s="438"/>
      <c r="E52" s="437">
        <f>C52+D52</f>
        <v>0</v>
      </c>
      <c r="F52" s="438"/>
      <c r="G52" s="438"/>
      <c r="H52" s="437">
        <f>+E52-F52</f>
        <v>0</v>
      </c>
    </row>
    <row r="53" spans="1:8" x14ac:dyDescent="0.25">
      <c r="A53" s="440"/>
      <c r="B53" s="439" t="s">
        <v>410</v>
      </c>
      <c r="C53" s="438"/>
      <c r="D53" s="438"/>
      <c r="E53" s="437">
        <f>C53+D53</f>
        <v>0</v>
      </c>
      <c r="F53" s="438"/>
      <c r="G53" s="438"/>
      <c r="H53" s="437">
        <f>+E53-F53</f>
        <v>0</v>
      </c>
    </row>
    <row r="54" spans="1:8" x14ac:dyDescent="0.25">
      <c r="A54" s="440"/>
      <c r="B54" s="439" t="s">
        <v>409</v>
      </c>
      <c r="C54" s="438"/>
      <c r="D54" s="438"/>
      <c r="E54" s="437">
        <f>C54+D54</f>
        <v>0</v>
      </c>
      <c r="F54" s="438"/>
      <c r="G54" s="438"/>
      <c r="H54" s="437">
        <f>+E54-F54</f>
        <v>0</v>
      </c>
    </row>
    <row r="55" spans="1:8" x14ac:dyDescent="0.25">
      <c r="A55" s="440"/>
      <c r="B55" s="439" t="s">
        <v>408</v>
      </c>
      <c r="C55" s="438"/>
      <c r="D55" s="438"/>
      <c r="E55" s="437">
        <f>C55+D55</f>
        <v>0</v>
      </c>
      <c r="F55" s="438"/>
      <c r="G55" s="438"/>
      <c r="H55" s="437">
        <f>+E55-F55</f>
        <v>0</v>
      </c>
    </row>
    <row r="56" spans="1:8" x14ac:dyDescent="0.25">
      <c r="A56" s="440"/>
      <c r="B56" s="439" t="s">
        <v>407</v>
      </c>
      <c r="C56" s="438"/>
      <c r="D56" s="438"/>
      <c r="E56" s="437">
        <f>C56+D56</f>
        <v>0</v>
      </c>
      <c r="F56" s="438"/>
      <c r="G56" s="438"/>
      <c r="H56" s="437">
        <f>+E56-F56</f>
        <v>0</v>
      </c>
    </row>
    <row r="57" spans="1:8" x14ac:dyDescent="0.25">
      <c r="A57" s="440"/>
      <c r="B57" s="439"/>
      <c r="C57" s="438"/>
      <c r="D57" s="438"/>
      <c r="E57" s="437"/>
      <c r="F57" s="438"/>
      <c r="G57" s="438"/>
      <c r="H57" s="437"/>
    </row>
    <row r="58" spans="1:8" x14ac:dyDescent="0.25">
      <c r="A58" s="440" t="s">
        <v>406</v>
      </c>
      <c r="B58" s="439"/>
      <c r="C58" s="437">
        <f>SUM(C59:C65)</f>
        <v>66300000</v>
      </c>
      <c r="D58" s="437">
        <f>SUM(D59:D65)</f>
        <v>155773487.70000002</v>
      </c>
      <c r="E58" s="437">
        <f>SUM(E59:E65)</f>
        <v>222073487.70000002</v>
      </c>
      <c r="F58" s="437">
        <f>SUM(F59:F65)</f>
        <v>119133217.8</v>
      </c>
      <c r="G58" s="437">
        <f>SUM(G59:G65)</f>
        <v>119098076.98</v>
      </c>
      <c r="H58" s="437">
        <f>SUM(H59:H65)</f>
        <v>102940269.90000002</v>
      </c>
    </row>
    <row r="59" spans="1:8" x14ac:dyDescent="0.25">
      <c r="A59" s="440"/>
      <c r="B59" s="439" t="s">
        <v>405</v>
      </c>
      <c r="C59" s="438"/>
      <c r="D59" s="438"/>
      <c r="E59" s="437">
        <f>C59+D59</f>
        <v>0</v>
      </c>
      <c r="F59" s="438"/>
      <c r="G59" s="438"/>
      <c r="H59" s="437">
        <f>+E59-F59</f>
        <v>0</v>
      </c>
    </row>
    <row r="60" spans="1:8" x14ac:dyDescent="0.25">
      <c r="A60" s="440"/>
      <c r="B60" s="439" t="s">
        <v>404</v>
      </c>
      <c r="C60" s="438">
        <v>66300000</v>
      </c>
      <c r="D60" s="438">
        <v>155773487.70000002</v>
      </c>
      <c r="E60" s="437">
        <f>C60+D60</f>
        <v>222073487.70000002</v>
      </c>
      <c r="F60" s="438">
        <v>119133217.8</v>
      </c>
      <c r="G60" s="438">
        <v>119098076.98</v>
      </c>
      <c r="H60" s="437">
        <f>+E60-F60</f>
        <v>102940269.90000002</v>
      </c>
    </row>
    <row r="61" spans="1:8" x14ac:dyDescent="0.25">
      <c r="A61" s="440"/>
      <c r="B61" s="439" t="s">
        <v>403</v>
      </c>
      <c r="C61" s="438"/>
      <c r="D61" s="438"/>
      <c r="E61" s="437">
        <f>C61+D61</f>
        <v>0</v>
      </c>
      <c r="F61" s="438"/>
      <c r="G61" s="438"/>
      <c r="H61" s="437">
        <f>+E61-F61</f>
        <v>0</v>
      </c>
    </row>
    <row r="62" spans="1:8" x14ac:dyDescent="0.25">
      <c r="A62" s="440"/>
      <c r="B62" s="439" t="s">
        <v>402</v>
      </c>
      <c r="C62" s="438"/>
      <c r="D62" s="438"/>
      <c r="E62" s="437">
        <f>C62+D62</f>
        <v>0</v>
      </c>
      <c r="F62" s="438"/>
      <c r="G62" s="438"/>
      <c r="H62" s="437">
        <f>+E62-F62</f>
        <v>0</v>
      </c>
    </row>
    <row r="63" spans="1:8" x14ac:dyDescent="0.25">
      <c r="A63" s="440"/>
      <c r="B63" s="439" t="s">
        <v>401</v>
      </c>
      <c r="C63" s="438"/>
      <c r="D63" s="438"/>
      <c r="E63" s="437">
        <f>C63+D63</f>
        <v>0</v>
      </c>
      <c r="F63" s="438"/>
      <c r="G63" s="438"/>
      <c r="H63" s="437">
        <f>+E63-F63</f>
        <v>0</v>
      </c>
    </row>
    <row r="64" spans="1:8" x14ac:dyDescent="0.25">
      <c r="A64" s="440"/>
      <c r="B64" s="439" t="s">
        <v>400</v>
      </c>
      <c r="C64" s="438"/>
      <c r="D64" s="438"/>
      <c r="E64" s="437">
        <f>C64+D64</f>
        <v>0</v>
      </c>
      <c r="F64" s="438"/>
      <c r="G64" s="438"/>
      <c r="H64" s="437">
        <f>+E64-F64</f>
        <v>0</v>
      </c>
    </row>
    <row r="65" spans="1:8" ht="15.75" thickBot="1" x14ac:dyDescent="0.3">
      <c r="A65" s="436"/>
      <c r="B65" s="435" t="s">
        <v>399</v>
      </c>
      <c r="C65" s="442"/>
      <c r="D65" s="442"/>
      <c r="E65" s="441">
        <f>C65+D65</f>
        <v>0</v>
      </c>
      <c r="F65" s="442"/>
      <c r="G65" s="442"/>
      <c r="H65" s="441">
        <f>+E65-F65</f>
        <v>0</v>
      </c>
    </row>
    <row r="66" spans="1:8" x14ac:dyDescent="0.25">
      <c r="A66" s="440" t="s">
        <v>398</v>
      </c>
      <c r="B66" s="439"/>
      <c r="C66" s="437">
        <f>SUM(C67:C75)</f>
        <v>0</v>
      </c>
      <c r="D66" s="437">
        <f>SUM(D67:D75)</f>
        <v>0</v>
      </c>
      <c r="E66" s="437">
        <f>SUM(E67:E75)</f>
        <v>0</v>
      </c>
      <c r="F66" s="437">
        <f>SUM(F67:F75)</f>
        <v>0</v>
      </c>
      <c r="G66" s="437">
        <f>SUM(G67:G75)</f>
        <v>0</v>
      </c>
      <c r="H66" s="437">
        <f>SUM(H67:H75)</f>
        <v>0</v>
      </c>
    </row>
    <row r="67" spans="1:8" x14ac:dyDescent="0.25">
      <c r="A67" s="440"/>
      <c r="B67" s="439" t="s">
        <v>397</v>
      </c>
      <c r="C67" s="438"/>
      <c r="D67" s="438"/>
      <c r="E67" s="437">
        <f>C67+D67</f>
        <v>0</v>
      </c>
      <c r="F67" s="438"/>
      <c r="G67" s="438"/>
      <c r="H67" s="437">
        <f>+E67-F67</f>
        <v>0</v>
      </c>
    </row>
    <row r="68" spans="1:8" x14ac:dyDescent="0.25">
      <c r="A68" s="440"/>
      <c r="B68" s="439" t="s">
        <v>396</v>
      </c>
      <c r="C68" s="438"/>
      <c r="D68" s="438"/>
      <c r="E68" s="437"/>
      <c r="F68" s="438"/>
      <c r="G68" s="438"/>
      <c r="H68" s="437">
        <f>+E68-F68</f>
        <v>0</v>
      </c>
    </row>
    <row r="69" spans="1:8" x14ac:dyDescent="0.25">
      <c r="A69" s="440"/>
      <c r="B69" s="439" t="s">
        <v>395</v>
      </c>
      <c r="C69" s="438"/>
      <c r="D69" s="438"/>
      <c r="E69" s="437">
        <f>C69+D69</f>
        <v>0</v>
      </c>
      <c r="F69" s="438"/>
      <c r="G69" s="438"/>
      <c r="H69" s="437">
        <f>+E69-F69</f>
        <v>0</v>
      </c>
    </row>
    <row r="70" spans="1:8" x14ac:dyDescent="0.25">
      <c r="A70" s="440"/>
      <c r="B70" s="439" t="s">
        <v>394</v>
      </c>
      <c r="C70" s="438"/>
      <c r="D70" s="438"/>
      <c r="E70" s="437">
        <f>C70+D70</f>
        <v>0</v>
      </c>
      <c r="F70" s="438"/>
      <c r="G70" s="438"/>
      <c r="H70" s="437">
        <f>+E70-F70</f>
        <v>0</v>
      </c>
    </row>
    <row r="71" spans="1:8" x14ac:dyDescent="0.25">
      <c r="A71" s="440"/>
      <c r="B71" s="439" t="s">
        <v>393</v>
      </c>
      <c r="C71" s="438"/>
      <c r="D71" s="438"/>
      <c r="E71" s="437">
        <f>C71+D71</f>
        <v>0</v>
      </c>
      <c r="F71" s="438"/>
      <c r="G71" s="438"/>
      <c r="H71" s="437">
        <f>+E71-F71</f>
        <v>0</v>
      </c>
    </row>
    <row r="72" spans="1:8" x14ac:dyDescent="0.25">
      <c r="A72" s="440"/>
      <c r="B72" s="439" t="s">
        <v>392</v>
      </c>
      <c r="C72" s="438"/>
      <c r="D72" s="438"/>
      <c r="E72" s="437">
        <f>C72+D72</f>
        <v>0</v>
      </c>
      <c r="F72" s="438"/>
      <c r="G72" s="438"/>
      <c r="H72" s="437">
        <f>+E72-F72</f>
        <v>0</v>
      </c>
    </row>
    <row r="73" spans="1:8" x14ac:dyDescent="0.25">
      <c r="A73" s="440"/>
      <c r="B73" s="439" t="s">
        <v>391</v>
      </c>
      <c r="C73" s="438"/>
      <c r="D73" s="438"/>
      <c r="E73" s="437">
        <f>C73+D73</f>
        <v>0</v>
      </c>
      <c r="F73" s="438"/>
      <c r="G73" s="438"/>
      <c r="H73" s="437">
        <f>+E73-F73</f>
        <v>0</v>
      </c>
    </row>
    <row r="74" spans="1:8" x14ac:dyDescent="0.25">
      <c r="A74" s="440"/>
      <c r="B74" s="439" t="s">
        <v>390</v>
      </c>
      <c r="C74" s="438"/>
      <c r="D74" s="438"/>
      <c r="E74" s="437">
        <f>C74+D74</f>
        <v>0</v>
      </c>
      <c r="F74" s="438"/>
      <c r="G74" s="438"/>
      <c r="H74" s="437">
        <f>+E74-F74</f>
        <v>0</v>
      </c>
    </row>
    <row r="75" spans="1:8" x14ac:dyDescent="0.25">
      <c r="A75" s="440"/>
      <c r="B75" s="439" t="s">
        <v>389</v>
      </c>
      <c r="C75" s="438"/>
      <c r="D75" s="438"/>
      <c r="E75" s="437">
        <f>C75+D75</f>
        <v>0</v>
      </c>
      <c r="F75" s="438"/>
      <c r="G75" s="438"/>
      <c r="H75" s="437">
        <f>+E75-F75</f>
        <v>0</v>
      </c>
    </row>
    <row r="76" spans="1:8" x14ac:dyDescent="0.25">
      <c r="A76" s="440"/>
      <c r="B76" s="439"/>
      <c r="C76" s="438"/>
      <c r="D76" s="438"/>
      <c r="E76" s="437"/>
      <c r="F76" s="438"/>
      <c r="G76" s="438"/>
      <c r="H76" s="437"/>
    </row>
    <row r="77" spans="1:8" x14ac:dyDescent="0.25">
      <c r="A77" s="440" t="s">
        <v>388</v>
      </c>
      <c r="B77" s="439"/>
      <c r="C77" s="437">
        <f>SUM(C78:C81)</f>
        <v>0</v>
      </c>
      <c r="D77" s="437">
        <f>SUM(D78:D81)</f>
        <v>0</v>
      </c>
      <c r="E77" s="437">
        <f>SUM(E78:E81)</f>
        <v>0</v>
      </c>
      <c r="F77" s="437">
        <f>SUM(F78:F81)</f>
        <v>0</v>
      </c>
      <c r="G77" s="437">
        <f>SUM(G78:G81)</f>
        <v>0</v>
      </c>
      <c r="H77" s="437">
        <f>SUM(H78:H81)</f>
        <v>0</v>
      </c>
    </row>
    <row r="78" spans="1:8" x14ac:dyDescent="0.25">
      <c r="A78" s="440"/>
      <c r="B78" s="439" t="s">
        <v>387</v>
      </c>
      <c r="C78" s="438">
        <v>0</v>
      </c>
      <c r="D78" s="438"/>
      <c r="E78" s="437">
        <f>C78+D78</f>
        <v>0</v>
      </c>
      <c r="F78" s="438"/>
      <c r="G78" s="438"/>
      <c r="H78" s="437">
        <f>+E78-F78</f>
        <v>0</v>
      </c>
    </row>
    <row r="79" spans="1:8" x14ac:dyDescent="0.25">
      <c r="A79" s="440"/>
      <c r="B79" s="439" t="s">
        <v>386</v>
      </c>
      <c r="C79" s="438">
        <v>0</v>
      </c>
      <c r="D79" s="438"/>
      <c r="E79" s="437">
        <f>C79+D79</f>
        <v>0</v>
      </c>
      <c r="F79" s="438"/>
      <c r="G79" s="438"/>
      <c r="H79" s="437">
        <f>+E79-F79</f>
        <v>0</v>
      </c>
    </row>
    <row r="80" spans="1:8" x14ac:dyDescent="0.25">
      <c r="A80" s="440"/>
      <c r="B80" s="439" t="s">
        <v>385</v>
      </c>
      <c r="C80" s="438">
        <v>0</v>
      </c>
      <c r="D80" s="438"/>
      <c r="E80" s="437">
        <f>C80+D80</f>
        <v>0</v>
      </c>
      <c r="F80" s="438"/>
      <c r="G80" s="438"/>
      <c r="H80" s="437">
        <f>+E80-F80</f>
        <v>0</v>
      </c>
    </row>
    <row r="81" spans="1:9" x14ac:dyDescent="0.25">
      <c r="A81" s="440"/>
      <c r="B81" s="439" t="s">
        <v>384</v>
      </c>
      <c r="C81" s="438"/>
      <c r="D81" s="438"/>
      <c r="E81" s="437">
        <f>C81+D81</f>
        <v>0</v>
      </c>
      <c r="F81" s="438"/>
      <c r="G81" s="438"/>
      <c r="H81" s="437">
        <f>+E81-F81</f>
        <v>0</v>
      </c>
    </row>
    <row r="82" spans="1:9" x14ac:dyDescent="0.25">
      <c r="A82" s="440"/>
      <c r="B82" s="439"/>
      <c r="C82" s="438"/>
      <c r="D82" s="438"/>
      <c r="E82" s="437"/>
      <c r="F82" s="438"/>
      <c r="G82" s="438"/>
      <c r="H82" s="437"/>
    </row>
    <row r="83" spans="1:9" ht="15.75" thickBot="1" x14ac:dyDescent="0.3">
      <c r="A83" s="436" t="s">
        <v>216</v>
      </c>
      <c r="B83" s="435"/>
      <c r="C83" s="434">
        <f>+C10+C47</f>
        <v>578850855.75</v>
      </c>
      <c r="D83" s="434">
        <f>+D10+D47</f>
        <v>370631441.71000004</v>
      </c>
      <c r="E83" s="434">
        <f>+E10+E47</f>
        <v>949482297.46000004</v>
      </c>
      <c r="F83" s="434">
        <f>+F10+F47</f>
        <v>693922767.47000003</v>
      </c>
      <c r="G83" s="434">
        <f>+G10+G47</f>
        <v>646587490.43999994</v>
      </c>
      <c r="H83" s="434">
        <f>+H10+H47</f>
        <v>255559529.98999995</v>
      </c>
      <c r="I83" s="108" t="str">
        <f>IF((C83-'ETCA-II-11'!B45)&gt;0.9,"ERROR!!!!! EL MONTO NO COINCIDE CON LO REPORTADO EN EL FORMATO ETCA-II-11 EN EL TOTAL DEL GASTO","")</f>
        <v/>
      </c>
    </row>
    <row r="84" spans="1:9" x14ac:dyDescent="0.25">
      <c r="A84" s="433"/>
      <c r="B84" s="433"/>
      <c r="C84" s="341"/>
      <c r="D84" s="341"/>
      <c r="E84" s="432"/>
      <c r="F84" s="341"/>
      <c r="G84" s="341"/>
      <c r="H84" s="432"/>
      <c r="I84" s="108" t="str">
        <f>IF((D83-'ETCA-II-11'!C45)&gt;0.9,"ERROR!!!!! EL MONTO NO COINCIDE CON LO REPORTADO EN EL FORMATO ETCA-II-11 EN EL TOTAL DEL GASTO","")</f>
        <v/>
      </c>
    </row>
    <row r="85" spans="1:9" x14ac:dyDescent="0.25">
      <c r="A85" s="433"/>
      <c r="B85" s="433"/>
      <c r="C85" s="341"/>
      <c r="D85" s="341"/>
      <c r="E85" s="432"/>
      <c r="F85" s="341"/>
      <c r="G85" s="341"/>
      <c r="H85" s="432"/>
    </row>
    <row r="86" spans="1:9" x14ac:dyDescent="0.25">
      <c r="A86" s="433"/>
      <c r="B86" s="433"/>
      <c r="C86" s="341"/>
      <c r="D86" s="341"/>
      <c r="E86" s="432"/>
      <c r="F86" s="341"/>
      <c r="G86" s="341"/>
      <c r="H86" s="432"/>
      <c r="I86" t="str">
        <f>IF((F83-'ETCA-II-11'!E45)&gt;0.9,"ERROR!!!!! EL MONTO NO COINCIDE CON LO REPORTADO EN EL FORMATO ETCA-II-11 EN EL TOTAL DEL GASTO","")</f>
        <v/>
      </c>
    </row>
    <row r="87" spans="1:9" x14ac:dyDescent="0.25">
      <c r="A87" s="433"/>
      <c r="B87" s="433"/>
      <c r="C87" s="341"/>
      <c r="D87" s="341"/>
      <c r="E87" s="432"/>
      <c r="F87" s="341"/>
      <c r="G87" s="341"/>
      <c r="H87" s="432"/>
      <c r="I87" t="str">
        <f>IF((G83-'ETCA-II-11'!F45)&gt;0.9,"ERROR!!!!! EL MONTO NO COINCIDE CON LO REPORTADO EN EL FORMATO ETCA-II-11 EN EL TOTAL DEL GASTO","")</f>
        <v/>
      </c>
    </row>
    <row r="88" spans="1:9" x14ac:dyDescent="0.25">
      <c r="A88" s="433"/>
      <c r="B88" s="433"/>
      <c r="C88" s="341"/>
      <c r="D88" s="341"/>
      <c r="E88" s="432"/>
      <c r="F88" s="341"/>
      <c r="G88" s="341"/>
      <c r="H88" s="432"/>
      <c r="I88" t="str">
        <f>IF((H83-'ETCA-II-11'!G45)&gt;0.9,"ERROR!!!!! EL MONTO NO COINCIDE CON LO REPORTADO EN EL FORMATO ETCA-II-11 EN EL TOTAL DEL GASTO","")</f>
        <v/>
      </c>
    </row>
    <row r="89" spans="1:9" x14ac:dyDescent="0.25">
      <c r="A89" s="433"/>
      <c r="B89" s="433"/>
      <c r="C89" s="341"/>
      <c r="D89" s="341"/>
      <c r="E89" s="432"/>
      <c r="F89" s="341"/>
      <c r="G89" s="341"/>
      <c r="H89" s="432"/>
    </row>
  </sheetData>
  <sheetProtection formatColumns="0" formatRows="0" insertHyperlinks="0"/>
  <mergeCells count="14">
    <mergeCell ref="A9:B9"/>
    <mergeCell ref="A10:B10"/>
    <mergeCell ref="A11:B11"/>
    <mergeCell ref="A21:B21"/>
    <mergeCell ref="A30:B30"/>
    <mergeCell ref="A7:B8"/>
    <mergeCell ref="C7:G7"/>
    <mergeCell ref="H7:H8"/>
    <mergeCell ref="A1:H1"/>
    <mergeCell ref="A3:H3"/>
    <mergeCell ref="A4:H4"/>
    <mergeCell ref="A5:H5"/>
    <mergeCell ref="A6:H6"/>
    <mergeCell ref="A2:H2"/>
  </mergeCells>
  <pageMargins left="0.19685039370078741" right="0.31496062992125984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EB18-FDD6-4B73-9D11-843E8E0F5A62}">
  <dimension ref="A1:L389"/>
  <sheetViews>
    <sheetView topLeftCell="A354" zoomScaleNormal="100" workbookViewId="0">
      <selection activeCell="J40" sqref="J40"/>
    </sheetView>
  </sheetViews>
  <sheetFormatPr baseColWidth="10" defaultRowHeight="15" x14ac:dyDescent="0.25"/>
  <cols>
    <col min="1" max="1" width="14.28515625" customWidth="1"/>
    <col min="2" max="2" width="44.7109375" customWidth="1"/>
    <col min="3" max="3" width="14.28515625" style="354" customWidth="1"/>
    <col min="4" max="4" width="13.85546875" style="464" customWidth="1"/>
    <col min="5" max="5" width="13.140625" style="464" customWidth="1"/>
    <col min="6" max="6" width="14.42578125" style="464" customWidth="1"/>
    <col min="7" max="7" width="13.5703125" style="464" customWidth="1"/>
    <col min="8" max="8" width="12.5703125" style="350" customWidth="1"/>
    <col min="9" max="9" width="6.85546875" customWidth="1"/>
    <col min="10" max="10" width="11" bestFit="1" customWidth="1"/>
  </cols>
  <sheetData>
    <row r="1" spans="1:10" x14ac:dyDescent="0.25">
      <c r="A1" s="528" t="s">
        <v>700</v>
      </c>
      <c r="B1" s="528"/>
      <c r="C1" s="528"/>
      <c r="D1" s="528"/>
      <c r="E1" s="528"/>
      <c r="F1" s="528"/>
      <c r="G1" s="528"/>
      <c r="H1" s="528"/>
      <c r="I1" s="528"/>
      <c r="J1" s="527"/>
    </row>
    <row r="2" spans="1:10" x14ac:dyDescent="0.25">
      <c r="A2" s="526" t="s">
        <v>215</v>
      </c>
      <c r="B2" s="526"/>
      <c r="C2" s="526"/>
      <c r="D2" s="526"/>
      <c r="E2" s="526"/>
      <c r="F2" s="526"/>
      <c r="G2" s="526"/>
      <c r="H2" s="526"/>
      <c r="I2" s="526"/>
      <c r="J2" s="525"/>
    </row>
    <row r="3" spans="1:10" x14ac:dyDescent="0.25">
      <c r="A3" s="526" t="s">
        <v>699</v>
      </c>
      <c r="B3" s="526"/>
      <c r="C3" s="526"/>
      <c r="D3" s="526"/>
      <c r="E3" s="526"/>
      <c r="F3" s="526"/>
      <c r="G3" s="526"/>
      <c r="H3" s="526"/>
      <c r="I3" s="526"/>
      <c r="J3" s="525"/>
    </row>
    <row r="4" spans="1:10" x14ac:dyDescent="0.25">
      <c r="A4" s="526" t="s">
        <v>698</v>
      </c>
      <c r="B4" s="526"/>
      <c r="C4" s="526"/>
      <c r="D4" s="526"/>
      <c r="E4" s="526"/>
      <c r="F4" s="526"/>
      <c r="G4" s="526"/>
      <c r="H4" s="526"/>
      <c r="I4" s="526"/>
      <c r="J4" s="525"/>
    </row>
    <row r="5" spans="1:10" x14ac:dyDescent="0.25">
      <c r="A5" s="526" t="s">
        <v>697</v>
      </c>
      <c r="B5" s="526"/>
      <c r="C5" s="526"/>
      <c r="D5" s="526"/>
      <c r="E5" s="526"/>
      <c r="F5" s="526"/>
      <c r="G5" s="526"/>
      <c r="H5" s="526"/>
      <c r="I5" s="526"/>
      <c r="J5" s="525"/>
    </row>
    <row r="6" spans="1:10" ht="15.75" customHeight="1" thickBot="1" x14ac:dyDescent="0.3">
      <c r="D6" s="464" t="s">
        <v>40</v>
      </c>
      <c r="H6" s="524"/>
      <c r="I6" s="524"/>
      <c r="J6" s="523"/>
    </row>
    <row r="7" spans="1:10" x14ac:dyDescent="0.25">
      <c r="A7" s="522" t="s">
        <v>696</v>
      </c>
      <c r="B7" s="521" t="s">
        <v>695</v>
      </c>
      <c r="C7" s="520" t="s">
        <v>694</v>
      </c>
      <c r="D7" s="518" t="s">
        <v>693</v>
      </c>
      <c r="E7" s="519" t="s">
        <v>692</v>
      </c>
      <c r="F7" s="518" t="s">
        <v>691</v>
      </c>
      <c r="G7" s="518" t="s">
        <v>690</v>
      </c>
      <c r="H7" s="517" t="s">
        <v>689</v>
      </c>
      <c r="I7" s="516" t="s">
        <v>688</v>
      </c>
      <c r="J7" s="507"/>
    </row>
    <row r="8" spans="1:10" ht="36" customHeight="1" thickBot="1" x14ac:dyDescent="0.3">
      <c r="A8" s="515"/>
      <c r="B8" s="514"/>
      <c r="C8" s="513"/>
      <c r="D8" s="510"/>
      <c r="E8" s="512"/>
      <c r="F8" s="511"/>
      <c r="G8" s="510"/>
      <c r="H8" s="509"/>
      <c r="I8" s="508"/>
      <c r="J8" s="507"/>
    </row>
    <row r="9" spans="1:10" x14ac:dyDescent="0.25">
      <c r="A9" s="506">
        <v>1000</v>
      </c>
      <c r="B9" s="505" t="s">
        <v>687</v>
      </c>
      <c r="C9" s="504">
        <f>C10+C19+C22+C34+C45+C56</f>
        <v>205993811.70999998</v>
      </c>
      <c r="D9" s="504">
        <f>D10+D19+D22+D34+D45+D56</f>
        <v>11605204.49</v>
      </c>
      <c r="E9" s="504">
        <f>+C9+D9</f>
        <v>217599016.19999999</v>
      </c>
      <c r="F9" s="504">
        <v>209735800.21999997</v>
      </c>
      <c r="G9" s="504">
        <v>201718401.25999999</v>
      </c>
      <c r="H9" s="504">
        <f>+E9-F9</f>
        <v>7863215.9800000191</v>
      </c>
      <c r="I9" s="503">
        <f>+F9/E9</f>
        <v>0.96386373377362711</v>
      </c>
      <c r="J9" s="477"/>
    </row>
    <row r="10" spans="1:10" x14ac:dyDescent="0.25">
      <c r="A10" s="498">
        <v>1100</v>
      </c>
      <c r="B10" s="501" t="s">
        <v>686</v>
      </c>
      <c r="C10" s="479">
        <f>C11</f>
        <v>116272081.35999997</v>
      </c>
      <c r="D10" s="479">
        <f>D11</f>
        <v>3024155.49</v>
      </c>
      <c r="E10" s="479">
        <f>+C10+D10</f>
        <v>119296236.84999996</v>
      </c>
      <c r="F10" s="479">
        <v>116154134.29000001</v>
      </c>
      <c r="G10" s="479">
        <v>112024731.86999999</v>
      </c>
      <c r="H10" s="479">
        <f>+E10-F10</f>
        <v>3142102.5599999577</v>
      </c>
      <c r="I10" s="478">
        <f>+F10/E10</f>
        <v>0.97366134386995995</v>
      </c>
      <c r="J10" s="477"/>
    </row>
    <row r="11" spans="1:10" x14ac:dyDescent="0.25">
      <c r="A11" s="497">
        <v>113</v>
      </c>
      <c r="B11" s="501" t="s">
        <v>685</v>
      </c>
      <c r="C11" s="479">
        <f>SUM(C12:C18)</f>
        <v>116272081.35999997</v>
      </c>
      <c r="D11" s="479">
        <f>SUM(D12:D18)</f>
        <v>3024155.49</v>
      </c>
      <c r="E11" s="479">
        <f>+C11+D11</f>
        <v>119296236.84999996</v>
      </c>
      <c r="F11" s="479">
        <v>116154134.29000001</v>
      </c>
      <c r="G11" s="479">
        <v>112024731.86999999</v>
      </c>
      <c r="H11" s="479">
        <f>+E11-F11</f>
        <v>3142102.5599999577</v>
      </c>
      <c r="I11" s="478">
        <f>+F11/E11</f>
        <v>0.97366134386995995</v>
      </c>
      <c r="J11" s="477"/>
    </row>
    <row r="12" spans="1:10" x14ac:dyDescent="0.25">
      <c r="A12" s="494">
        <v>11301</v>
      </c>
      <c r="B12" s="493" t="s">
        <v>684</v>
      </c>
      <c r="C12" s="480">
        <v>53574196.29999999</v>
      </c>
      <c r="D12" s="480">
        <v>1803189</v>
      </c>
      <c r="E12" s="480">
        <f>+C12+D12</f>
        <v>55377385.29999999</v>
      </c>
      <c r="F12" s="480">
        <v>55327224.370000005</v>
      </c>
      <c r="G12" s="480">
        <v>53477631.960000001</v>
      </c>
      <c r="H12" s="479">
        <f>+E12-F12</f>
        <v>50160.929999984801</v>
      </c>
      <c r="I12" s="478">
        <f>+F12/E12</f>
        <v>0.9990941982954189</v>
      </c>
      <c r="J12" s="477"/>
    </row>
    <row r="13" spans="1:10" x14ac:dyDescent="0.25">
      <c r="A13" s="494">
        <v>11303</v>
      </c>
      <c r="B13" s="493" t="s">
        <v>683</v>
      </c>
      <c r="C13" s="480">
        <v>1215186.44</v>
      </c>
      <c r="D13" s="480">
        <v>0</v>
      </c>
      <c r="E13" s="480">
        <f>+C13+D13</f>
        <v>1215186.44</v>
      </c>
      <c r="F13" s="480">
        <v>766712.05</v>
      </c>
      <c r="G13" s="480">
        <v>766712.05</v>
      </c>
      <c r="H13" s="479">
        <f>+E13-F13</f>
        <v>448474.3899999999</v>
      </c>
      <c r="I13" s="478">
        <f>+F13/E13</f>
        <v>0.63094190715294696</v>
      </c>
      <c r="J13" s="477"/>
    </row>
    <row r="14" spans="1:10" x14ac:dyDescent="0.25">
      <c r="A14" s="494">
        <v>11304</v>
      </c>
      <c r="B14" s="493" t="s">
        <v>682</v>
      </c>
      <c r="C14" s="480">
        <v>7449545</v>
      </c>
      <c r="D14" s="480">
        <v>-7449545</v>
      </c>
      <c r="E14" s="480">
        <f>+C14+D14</f>
        <v>0</v>
      </c>
      <c r="F14" s="480">
        <v>0</v>
      </c>
      <c r="G14" s="480">
        <v>0</v>
      </c>
      <c r="H14" s="479">
        <f>+E14-F14</f>
        <v>0</v>
      </c>
      <c r="I14" s="478"/>
      <c r="J14" s="477"/>
    </row>
    <row r="15" spans="1:10" x14ac:dyDescent="0.25">
      <c r="A15" s="494">
        <v>11306</v>
      </c>
      <c r="B15" s="493" t="s">
        <v>681</v>
      </c>
      <c r="C15" s="480">
        <v>34807382.090000004</v>
      </c>
      <c r="D15" s="480">
        <f>10132299.49-25050-2810000-113312</f>
        <v>7183937.4900000002</v>
      </c>
      <c r="E15" s="480">
        <f>+C15+D15</f>
        <v>41991319.580000006</v>
      </c>
      <c r="F15" s="480">
        <v>40113707.399999999</v>
      </c>
      <c r="G15" s="480">
        <v>37833897.389999993</v>
      </c>
      <c r="H15" s="479">
        <f>+E15-F15</f>
        <v>1877612.1800000072</v>
      </c>
      <c r="I15" s="478">
        <f>+F15/E15</f>
        <v>0.95528570669414514</v>
      </c>
      <c r="J15" s="477"/>
    </row>
    <row r="16" spans="1:10" x14ac:dyDescent="0.25">
      <c r="A16" s="494">
        <v>11307</v>
      </c>
      <c r="B16" s="493" t="s">
        <v>680</v>
      </c>
      <c r="C16" s="480">
        <v>12365314.959999999</v>
      </c>
      <c r="D16" s="480">
        <f>231828-419032</f>
        <v>-187204</v>
      </c>
      <c r="E16" s="480">
        <f>+C16+D16</f>
        <v>12178110.959999999</v>
      </c>
      <c r="F16" s="480">
        <v>11654922.48</v>
      </c>
      <c r="G16" s="480">
        <v>11654922.48</v>
      </c>
      <c r="H16" s="479">
        <f>+E16-F16</f>
        <v>523188.47999999858</v>
      </c>
      <c r="I16" s="478">
        <f>+F16/E16</f>
        <v>0.9570386177529131</v>
      </c>
      <c r="J16" s="477"/>
    </row>
    <row r="17" spans="1:10" x14ac:dyDescent="0.25">
      <c r="A17" s="494">
        <v>11308</v>
      </c>
      <c r="B17" s="493" t="s">
        <v>679</v>
      </c>
      <c r="C17" s="480">
        <v>16135.11</v>
      </c>
      <c r="D17" s="480">
        <v>0</v>
      </c>
      <c r="E17" s="480">
        <f>+C17+D17</f>
        <v>16135.11</v>
      </c>
      <c r="F17" s="480">
        <v>14536.2</v>
      </c>
      <c r="G17" s="480">
        <v>14536.2</v>
      </c>
      <c r="H17" s="479">
        <f>+E17-F17</f>
        <v>1598.9099999999999</v>
      </c>
      <c r="I17" s="478">
        <f>+F17/E17</f>
        <v>0.90090492100766595</v>
      </c>
      <c r="J17" s="477"/>
    </row>
    <row r="18" spans="1:10" x14ac:dyDescent="0.25">
      <c r="A18" s="494">
        <v>11310</v>
      </c>
      <c r="B18" s="493" t="s">
        <v>678</v>
      </c>
      <c r="C18" s="480">
        <v>6844321.459999999</v>
      </c>
      <c r="D18" s="480">
        <f>2028625-354847</f>
        <v>1673778</v>
      </c>
      <c r="E18" s="480">
        <f>+C18+D18</f>
        <v>8518099.459999999</v>
      </c>
      <c r="F18" s="480">
        <v>8277031.79</v>
      </c>
      <c r="G18" s="480">
        <v>8277031.79</v>
      </c>
      <c r="H18" s="479">
        <f>+E18-F18</f>
        <v>241067.66999999899</v>
      </c>
      <c r="I18" s="478">
        <f>+F18/E18</f>
        <v>0.97169935956582509</v>
      </c>
      <c r="J18" s="477"/>
    </row>
    <row r="19" spans="1:10" x14ac:dyDescent="0.25">
      <c r="A19" s="498">
        <v>1200</v>
      </c>
      <c r="B19" s="501" t="s">
        <v>677</v>
      </c>
      <c r="C19" s="479">
        <f>C20</f>
        <v>2501479.84</v>
      </c>
      <c r="D19" s="479">
        <f>D20</f>
        <v>-693905.25</v>
      </c>
      <c r="E19" s="479">
        <f>+C19+D19</f>
        <v>1807574.5899999999</v>
      </c>
      <c r="F19" s="479">
        <v>1541864.8900000001</v>
      </c>
      <c r="G19" s="479">
        <v>1475821.47</v>
      </c>
      <c r="H19" s="479">
        <f>+E19-F19</f>
        <v>265709.69999999972</v>
      </c>
      <c r="I19" s="478">
        <f>+F19/E19</f>
        <v>0.85300208275222555</v>
      </c>
      <c r="J19" s="477"/>
    </row>
    <row r="20" spans="1:10" x14ac:dyDescent="0.25">
      <c r="A20" s="497">
        <v>121</v>
      </c>
      <c r="B20" s="501" t="s">
        <v>676</v>
      </c>
      <c r="C20" s="479">
        <f>C21</f>
        <v>2501479.84</v>
      </c>
      <c r="D20" s="479">
        <f>D21</f>
        <v>-693905.25</v>
      </c>
      <c r="E20" s="479">
        <f>+C20+D20</f>
        <v>1807574.5899999999</v>
      </c>
      <c r="F20" s="479">
        <v>1541864.8900000001</v>
      </c>
      <c r="G20" s="479">
        <v>1475821.47</v>
      </c>
      <c r="H20" s="479">
        <f>+E20-F20</f>
        <v>265709.69999999972</v>
      </c>
      <c r="I20" s="478">
        <f>+F20/E20</f>
        <v>0.85300208275222555</v>
      </c>
      <c r="J20" s="477"/>
    </row>
    <row r="21" spans="1:10" x14ac:dyDescent="0.25">
      <c r="A21" s="494">
        <v>12101</v>
      </c>
      <c r="B21" s="493" t="s">
        <v>675</v>
      </c>
      <c r="C21" s="480">
        <v>2501479.84</v>
      </c>
      <c r="D21" s="480">
        <v>-693905.25</v>
      </c>
      <c r="E21" s="480">
        <f>+C21+D21</f>
        <v>1807574.5899999999</v>
      </c>
      <c r="F21" s="480">
        <v>1541864.8900000001</v>
      </c>
      <c r="G21" s="480">
        <v>1475821.47</v>
      </c>
      <c r="H21" s="479">
        <f>+E21-F21</f>
        <v>265709.69999999972</v>
      </c>
      <c r="I21" s="478">
        <f>+F21/E21</f>
        <v>0.85300208275222555</v>
      </c>
      <c r="J21" s="477"/>
    </row>
    <row r="22" spans="1:10" x14ac:dyDescent="0.25">
      <c r="A22" s="498">
        <v>1300</v>
      </c>
      <c r="B22" s="501" t="s">
        <v>674</v>
      </c>
      <c r="C22" s="479">
        <f>C23+C25+C30+C32</f>
        <v>10186764.629999999</v>
      </c>
      <c r="D22" s="479">
        <f>D23+D25+D30+D32</f>
        <v>3226262.25</v>
      </c>
      <c r="E22" s="479">
        <f>+C22+D22</f>
        <v>13413026.879999999</v>
      </c>
      <c r="F22" s="479">
        <v>11464146.810000002</v>
      </c>
      <c r="G22" s="479">
        <v>11311413.239999998</v>
      </c>
      <c r="H22" s="479">
        <f>+E22-F22</f>
        <v>1948880.0699999966</v>
      </c>
      <c r="I22" s="478">
        <f>+F22/E22</f>
        <v>0.85470244058737044</v>
      </c>
      <c r="J22" s="477"/>
    </row>
    <row r="23" spans="1:10" x14ac:dyDescent="0.25">
      <c r="A23" s="497">
        <v>131</v>
      </c>
      <c r="B23" s="501" t="s">
        <v>673</v>
      </c>
      <c r="C23" s="479">
        <f>C24</f>
        <v>2408713.2200000002</v>
      </c>
      <c r="D23" s="479">
        <f>D24</f>
        <v>781871.05</v>
      </c>
      <c r="E23" s="479">
        <f>+C23+D23</f>
        <v>3190584.2700000005</v>
      </c>
      <c r="F23" s="479">
        <v>3153403.4099999997</v>
      </c>
      <c r="G23" s="479">
        <v>3166915.7</v>
      </c>
      <c r="H23" s="479">
        <f>+E23-F23</f>
        <v>37180.860000000801</v>
      </c>
      <c r="I23" s="478">
        <f>+F23/E23</f>
        <v>0.98834669237556272</v>
      </c>
      <c r="J23" s="477"/>
    </row>
    <row r="24" spans="1:10" x14ac:dyDescent="0.25">
      <c r="A24" s="494">
        <v>13101</v>
      </c>
      <c r="B24" s="493" t="s">
        <v>673</v>
      </c>
      <c r="C24" s="480">
        <v>2408713.2200000002</v>
      </c>
      <c r="D24" s="480">
        <v>781871.05</v>
      </c>
      <c r="E24" s="480">
        <f>+C24+D24</f>
        <v>3190584.2700000005</v>
      </c>
      <c r="F24" s="480">
        <v>3153403.4099999997</v>
      </c>
      <c r="G24" s="480">
        <v>3166915.7</v>
      </c>
      <c r="H24" s="479">
        <f>+E24-F24</f>
        <v>37180.860000000801</v>
      </c>
      <c r="I24" s="478">
        <f>+F24/E24</f>
        <v>0.98834669237556272</v>
      </c>
      <c r="J24" s="477"/>
    </row>
    <row r="25" spans="1:10" ht="22.5" x14ac:dyDescent="0.25">
      <c r="A25" s="497">
        <v>132</v>
      </c>
      <c r="B25" s="501" t="s">
        <v>672</v>
      </c>
      <c r="C25" s="479">
        <f>SUM(C26:C29)</f>
        <v>6396452.4099999992</v>
      </c>
      <c r="D25" s="479">
        <f>SUM(D26:D29)</f>
        <v>-923817.79999999993</v>
      </c>
      <c r="E25" s="479">
        <f>+C25+D25</f>
        <v>5472634.6099999994</v>
      </c>
      <c r="F25" s="479">
        <v>3824933.95</v>
      </c>
      <c r="G25" s="479">
        <v>3658688.09</v>
      </c>
      <c r="H25" s="479">
        <f>+E25-F25</f>
        <v>1647700.6599999992</v>
      </c>
      <c r="I25" s="478">
        <f>+F25/E25</f>
        <v>0.69892003076741138</v>
      </c>
      <c r="J25" s="477"/>
    </row>
    <row r="26" spans="1:10" x14ac:dyDescent="0.25">
      <c r="A26" s="494">
        <v>13201</v>
      </c>
      <c r="B26" s="493" t="s">
        <v>671</v>
      </c>
      <c r="C26" s="480">
        <v>4775540.4099999992</v>
      </c>
      <c r="D26" s="480">
        <f>-795751.2-686290</f>
        <v>-1482041.2</v>
      </c>
      <c r="E26" s="480">
        <f>+C26+D26</f>
        <v>3293499.209999999</v>
      </c>
      <c r="F26" s="480">
        <v>1752089.22</v>
      </c>
      <c r="G26" s="480">
        <v>1741639.49</v>
      </c>
      <c r="H26" s="479">
        <f>+E26-F26</f>
        <v>1541409.9899999991</v>
      </c>
      <c r="I26" s="478">
        <f>+F26/E26</f>
        <v>0.53198410210033131</v>
      </c>
      <c r="J26" s="477"/>
    </row>
    <row r="27" spans="1:10" x14ac:dyDescent="0.25">
      <c r="A27" s="494">
        <v>13202</v>
      </c>
      <c r="B27" s="493" t="s">
        <v>670</v>
      </c>
      <c r="C27" s="480">
        <v>1461537</v>
      </c>
      <c r="D27" s="480">
        <v>532873.4</v>
      </c>
      <c r="E27" s="480">
        <f>+C27+D27</f>
        <v>1994410.4</v>
      </c>
      <c r="F27" s="480">
        <v>1888192.71</v>
      </c>
      <c r="G27" s="480">
        <v>1758392.09</v>
      </c>
      <c r="H27" s="479">
        <f>+E27-F27</f>
        <v>106217.68999999994</v>
      </c>
      <c r="I27" s="478">
        <f>+F27/E27</f>
        <v>0.94674231040913148</v>
      </c>
      <c r="J27" s="477"/>
    </row>
    <row r="28" spans="1:10" x14ac:dyDescent="0.25">
      <c r="A28" s="494">
        <v>13203</v>
      </c>
      <c r="B28" s="493" t="s">
        <v>669</v>
      </c>
      <c r="C28" s="480">
        <v>81720</v>
      </c>
      <c r="D28" s="480">
        <v>25050</v>
      </c>
      <c r="E28" s="480">
        <f>+C28+D28</f>
        <v>106770</v>
      </c>
      <c r="F28" s="480">
        <v>106753.59</v>
      </c>
      <c r="G28" s="480">
        <v>80758.080000000002</v>
      </c>
      <c r="H28" s="479">
        <f>+E28-F28</f>
        <v>16.410000000003492</v>
      </c>
      <c r="I28" s="478">
        <f>+F28/E28</f>
        <v>0.99984630514189377</v>
      </c>
      <c r="J28" s="477"/>
    </row>
    <row r="29" spans="1:10" x14ac:dyDescent="0.25">
      <c r="A29" s="494">
        <v>13204</v>
      </c>
      <c r="B29" s="493" t="s">
        <v>668</v>
      </c>
      <c r="C29" s="480">
        <v>77655</v>
      </c>
      <c r="D29" s="480">
        <v>300</v>
      </c>
      <c r="E29" s="480">
        <f>+C29+D29</f>
        <v>77955</v>
      </c>
      <c r="F29" s="480">
        <v>77898.429999999993</v>
      </c>
      <c r="G29" s="480">
        <v>77898.429999999993</v>
      </c>
      <c r="H29" s="479">
        <f>+E29-F29</f>
        <v>56.570000000006985</v>
      </c>
      <c r="I29" s="478">
        <f>+F29/E29</f>
        <v>0.99927432493104984</v>
      </c>
      <c r="J29" s="477"/>
    </row>
    <row r="30" spans="1:10" x14ac:dyDescent="0.25">
      <c r="A30" s="497">
        <v>133</v>
      </c>
      <c r="B30" s="501" t="s">
        <v>667</v>
      </c>
      <c r="C30" s="479">
        <f>C31</f>
        <v>1000000</v>
      </c>
      <c r="D30" s="479">
        <f>D31</f>
        <v>3368209</v>
      </c>
      <c r="E30" s="479">
        <f>+C30+D30</f>
        <v>4368209</v>
      </c>
      <c r="F30" s="479">
        <v>4368209.45</v>
      </c>
      <c r="G30" s="479">
        <v>4368209.45</v>
      </c>
      <c r="H30" s="479">
        <f>+E30-F30</f>
        <v>-0.45000000018626451</v>
      </c>
      <c r="I30" s="478">
        <f>+F30/E30</f>
        <v>1.0000001030170489</v>
      </c>
      <c r="J30" s="477"/>
    </row>
    <row r="31" spans="1:10" x14ac:dyDescent="0.25">
      <c r="A31" s="494">
        <v>13301</v>
      </c>
      <c r="B31" s="493" t="s">
        <v>666</v>
      </c>
      <c r="C31" s="480">
        <v>1000000</v>
      </c>
      <c r="D31" s="480">
        <v>3368209</v>
      </c>
      <c r="E31" s="480">
        <f>+C31+D31</f>
        <v>4368209</v>
      </c>
      <c r="F31" s="480">
        <v>4368209.45</v>
      </c>
      <c r="G31" s="480">
        <v>4368209.45</v>
      </c>
      <c r="H31" s="479">
        <f>+E31-F31</f>
        <v>-0.45000000018626451</v>
      </c>
      <c r="I31" s="478">
        <f>+F31/E31</f>
        <v>1.0000001030170489</v>
      </c>
      <c r="J31" s="477"/>
    </row>
    <row r="32" spans="1:10" x14ac:dyDescent="0.25">
      <c r="A32" s="497">
        <v>134</v>
      </c>
      <c r="B32" s="501" t="s">
        <v>665</v>
      </c>
      <c r="C32" s="479">
        <f>C33</f>
        <v>381599</v>
      </c>
      <c r="D32" s="479">
        <f>D33</f>
        <v>0</v>
      </c>
      <c r="E32" s="479">
        <f>+C32+D32</f>
        <v>381599</v>
      </c>
      <c r="F32" s="479">
        <v>117600</v>
      </c>
      <c r="G32" s="479">
        <v>117600</v>
      </c>
      <c r="H32" s="479">
        <f>+E32-F32</f>
        <v>263999</v>
      </c>
      <c r="I32" s="478">
        <f>+F32/E32</f>
        <v>0.30817690822040938</v>
      </c>
      <c r="J32" s="477"/>
    </row>
    <row r="33" spans="1:10" x14ac:dyDescent="0.25">
      <c r="A33" s="494">
        <v>13403</v>
      </c>
      <c r="B33" s="493" t="s">
        <v>664</v>
      </c>
      <c r="C33" s="480">
        <v>381599</v>
      </c>
      <c r="D33" s="480">
        <v>0</v>
      </c>
      <c r="E33" s="480">
        <f>+C33+D33</f>
        <v>381599</v>
      </c>
      <c r="F33" s="480">
        <v>117600</v>
      </c>
      <c r="G33" s="480">
        <v>117600</v>
      </c>
      <c r="H33" s="479">
        <f>+E33-F33</f>
        <v>263999</v>
      </c>
      <c r="I33" s="478">
        <f>+F33/E33</f>
        <v>0.30817690822040938</v>
      </c>
      <c r="J33" s="477"/>
    </row>
    <row r="34" spans="1:10" x14ac:dyDescent="0.25">
      <c r="A34" s="498">
        <v>1400</v>
      </c>
      <c r="B34" s="501" t="s">
        <v>200</v>
      </c>
      <c r="C34" s="479">
        <f>C35+C39+C41</f>
        <v>39996929.230000004</v>
      </c>
      <c r="D34" s="479">
        <f>D35+D39+D41</f>
        <v>2069639</v>
      </c>
      <c r="E34" s="479">
        <f>+C34+D34</f>
        <v>42066568.230000004</v>
      </c>
      <c r="F34" s="479">
        <v>41032923.989999995</v>
      </c>
      <c r="G34" s="479">
        <v>37617699.229999997</v>
      </c>
      <c r="H34" s="479">
        <f>+E34-F34</f>
        <v>1033644.2400000095</v>
      </c>
      <c r="I34" s="478">
        <f>+F34/E34</f>
        <v>0.97542836785856801</v>
      </c>
      <c r="J34" s="477"/>
    </row>
    <row r="35" spans="1:10" x14ac:dyDescent="0.25">
      <c r="A35" s="497">
        <v>141</v>
      </c>
      <c r="B35" s="501" t="s">
        <v>663</v>
      </c>
      <c r="C35" s="479">
        <f>SUM(C37:C38)+C36</f>
        <v>36621782.430000007</v>
      </c>
      <c r="D35" s="479">
        <f>SUM(D37:D38)+D36</f>
        <v>1302221</v>
      </c>
      <c r="E35" s="479">
        <f>+C35+D35</f>
        <v>37924003.430000007</v>
      </c>
      <c r="F35" s="479">
        <v>37623654.620000005</v>
      </c>
      <c r="G35" s="479">
        <v>34280954.130000003</v>
      </c>
      <c r="H35" s="479">
        <f>+E35-F35</f>
        <v>300348.81000000238</v>
      </c>
      <c r="I35" s="478">
        <f>+F35/E35</f>
        <v>0.99208024515253557</v>
      </c>
      <c r="J35" s="477"/>
    </row>
    <row r="36" spans="1:10" x14ac:dyDescent="0.25">
      <c r="A36" s="494">
        <v>14101</v>
      </c>
      <c r="B36" s="493" t="s">
        <v>662</v>
      </c>
      <c r="C36" s="479"/>
      <c r="D36" s="479">
        <v>225823</v>
      </c>
      <c r="E36" s="479">
        <f>+C36+D36</f>
        <v>225823</v>
      </c>
      <c r="F36" s="479">
        <v>225823.18</v>
      </c>
      <c r="G36" s="479">
        <v>0</v>
      </c>
      <c r="H36" s="479">
        <f>+E36-F36</f>
        <v>-0.17999999999301508</v>
      </c>
      <c r="I36" s="478">
        <f>+F36/E36</f>
        <v>1.0000007970844422</v>
      </c>
      <c r="J36" s="477"/>
    </row>
    <row r="37" spans="1:10" x14ac:dyDescent="0.25">
      <c r="A37" s="494">
        <v>14106</v>
      </c>
      <c r="B37" s="493" t="s">
        <v>661</v>
      </c>
      <c r="C37" s="480">
        <v>23005820.520000003</v>
      </c>
      <c r="D37" s="480">
        <f>-1733602+2810000</f>
        <v>1076398</v>
      </c>
      <c r="E37" s="480">
        <f>+C37+D37</f>
        <v>24082218.520000003</v>
      </c>
      <c r="F37" s="480">
        <v>24081652.869999997</v>
      </c>
      <c r="G37" s="480">
        <v>21707827.870000001</v>
      </c>
      <c r="H37" s="479">
        <f>+E37-F37</f>
        <v>565.65000000596046</v>
      </c>
      <c r="I37" s="478">
        <f>+F37/E37</f>
        <v>0.99997651171549928</v>
      </c>
      <c r="J37" s="477"/>
    </row>
    <row r="38" spans="1:10" x14ac:dyDescent="0.25">
      <c r="A38" s="494">
        <v>14109</v>
      </c>
      <c r="B38" s="493" t="s">
        <v>660</v>
      </c>
      <c r="C38" s="480">
        <v>13615961.91</v>
      </c>
      <c r="D38" s="480">
        <v>0</v>
      </c>
      <c r="E38" s="480">
        <f>+C38+D38</f>
        <v>13615961.91</v>
      </c>
      <c r="F38" s="480">
        <v>13316178.569999998</v>
      </c>
      <c r="G38" s="480">
        <v>12573126.26</v>
      </c>
      <c r="H38" s="479">
        <f>+E38-F38</f>
        <v>299783.34000000171</v>
      </c>
      <c r="I38" s="478">
        <f>+F38/E38</f>
        <v>0.97798294810300324</v>
      </c>
      <c r="J38" s="477"/>
    </row>
    <row r="39" spans="1:10" x14ac:dyDescent="0.25">
      <c r="A39" s="497">
        <v>143</v>
      </c>
      <c r="B39" s="501" t="s">
        <v>659</v>
      </c>
      <c r="C39" s="479">
        <f>C40</f>
        <v>406000</v>
      </c>
      <c r="D39" s="479">
        <f>D40</f>
        <v>718636</v>
      </c>
      <c r="E39" s="479">
        <f>+C39+D39</f>
        <v>1124636</v>
      </c>
      <c r="F39" s="479">
        <v>1124633.8700000001</v>
      </c>
      <c r="G39" s="479">
        <v>424980.6</v>
      </c>
      <c r="H39" s="479">
        <f>+E39-F39</f>
        <v>2.1299999998882413</v>
      </c>
      <c r="I39" s="478">
        <f>+F39/E39</f>
        <v>0.99999810605386996</v>
      </c>
      <c r="J39" s="477"/>
    </row>
    <row r="40" spans="1:10" x14ac:dyDescent="0.25">
      <c r="A40" s="494">
        <v>14303</v>
      </c>
      <c r="B40" s="493" t="s">
        <v>658</v>
      </c>
      <c r="C40" s="480">
        <v>406000</v>
      </c>
      <c r="D40" s="480">
        <f>13364+686290+18982</f>
        <v>718636</v>
      </c>
      <c r="E40" s="480">
        <f>+C40+D40</f>
        <v>1124636</v>
      </c>
      <c r="F40" s="480">
        <v>1124633.8700000001</v>
      </c>
      <c r="G40" s="480">
        <v>424980.6</v>
      </c>
      <c r="H40" s="479">
        <f>+E40-F40</f>
        <v>2.1299999998882413</v>
      </c>
      <c r="I40" s="478">
        <f>+F40/E40</f>
        <v>0.99999810605386996</v>
      </c>
      <c r="J40" s="477"/>
    </row>
    <row r="41" spans="1:10" x14ac:dyDescent="0.25">
      <c r="A41" s="497">
        <v>144</v>
      </c>
      <c r="B41" s="501" t="s">
        <v>657</v>
      </c>
      <c r="C41" s="479">
        <f>SUM(C42:C44)</f>
        <v>2969146.8</v>
      </c>
      <c r="D41" s="479">
        <f>SUM(D42:D44)</f>
        <v>48782</v>
      </c>
      <c r="E41" s="479">
        <f>+C41+D41</f>
        <v>3017928.8</v>
      </c>
      <c r="F41" s="479">
        <v>2284635.5</v>
      </c>
      <c r="G41" s="479">
        <v>2911764.5</v>
      </c>
      <c r="H41" s="479">
        <f>+E41-F41</f>
        <v>733293.29999999981</v>
      </c>
      <c r="I41" s="478">
        <f>+F41/E41</f>
        <v>0.75702100725504196</v>
      </c>
      <c r="J41" s="477"/>
    </row>
    <row r="42" spans="1:10" x14ac:dyDescent="0.25">
      <c r="A42" s="494">
        <v>14402</v>
      </c>
      <c r="B42" s="493" t="s">
        <v>656</v>
      </c>
      <c r="C42" s="480">
        <v>21120</v>
      </c>
      <c r="D42" s="480">
        <v>0</v>
      </c>
      <c r="E42" s="480">
        <f>+C42+D42</f>
        <v>21120</v>
      </c>
      <c r="F42" s="480">
        <v>20757</v>
      </c>
      <c r="G42" s="480">
        <v>20757</v>
      </c>
      <c r="H42" s="479">
        <f>+E42-F42</f>
        <v>363</v>
      </c>
      <c r="I42" s="478">
        <f>+F42/E42</f>
        <v>0.98281249999999998</v>
      </c>
      <c r="J42" s="477"/>
    </row>
    <row r="43" spans="1:10" x14ac:dyDescent="0.25">
      <c r="A43" s="494">
        <v>14403</v>
      </c>
      <c r="B43" s="493" t="s">
        <v>655</v>
      </c>
      <c r="C43" s="480">
        <v>2943490.8</v>
      </c>
      <c r="D43" s="480">
        <f>82639-18982-14875</f>
        <v>48782</v>
      </c>
      <c r="E43" s="480">
        <f>+C43+D43</f>
        <v>2992272.8</v>
      </c>
      <c r="F43" s="480">
        <v>2259545</v>
      </c>
      <c r="G43" s="480">
        <v>2886674</v>
      </c>
      <c r="H43" s="479">
        <f>+E43-F43</f>
        <v>732727.79999999981</v>
      </c>
      <c r="I43" s="478">
        <f>+F43/E43</f>
        <v>0.75512667160561031</v>
      </c>
      <c r="J43" s="477"/>
    </row>
    <row r="44" spans="1:10" x14ac:dyDescent="0.25">
      <c r="A44" s="494">
        <v>14406</v>
      </c>
      <c r="B44" s="493" t="s">
        <v>654</v>
      </c>
      <c r="C44" s="480">
        <v>4536</v>
      </c>
      <c r="D44" s="480">
        <v>0</v>
      </c>
      <c r="E44" s="480">
        <f>+C44+D44</f>
        <v>4536</v>
      </c>
      <c r="F44" s="480">
        <v>4333.5</v>
      </c>
      <c r="G44" s="480">
        <v>4333.5</v>
      </c>
      <c r="H44" s="479">
        <f>+E44-F44</f>
        <v>202.5</v>
      </c>
      <c r="I44" s="478">
        <f>+F44/E44</f>
        <v>0.9553571428571429</v>
      </c>
      <c r="J44" s="477"/>
    </row>
    <row r="45" spans="1:10" x14ac:dyDescent="0.25">
      <c r="A45" s="498">
        <v>1500</v>
      </c>
      <c r="B45" s="501" t="s">
        <v>645</v>
      </c>
      <c r="C45" s="479">
        <f>C46+C48+C51+C54</f>
        <v>36222358.650000006</v>
      </c>
      <c r="D45" s="479">
        <f>D46+D48+D51+D54</f>
        <v>3880061</v>
      </c>
      <c r="E45" s="479">
        <f>+C45+D45</f>
        <v>40102419.650000006</v>
      </c>
      <c r="F45" s="479">
        <v>38629540.200000003</v>
      </c>
      <c r="G45" s="479">
        <v>38523990.409999996</v>
      </c>
      <c r="H45" s="479">
        <f>+E45-F45</f>
        <v>1472879.450000003</v>
      </c>
      <c r="I45" s="478">
        <f>+F45/E45</f>
        <v>0.9632720553309555</v>
      </c>
      <c r="J45" s="477"/>
    </row>
    <row r="46" spans="1:10" x14ac:dyDescent="0.25">
      <c r="A46" s="497">
        <v>151</v>
      </c>
      <c r="B46" s="501" t="s">
        <v>653</v>
      </c>
      <c r="C46" s="479">
        <f>C47</f>
        <v>5942534.7800000003</v>
      </c>
      <c r="D46" s="479">
        <f>D47</f>
        <v>408921</v>
      </c>
      <c r="E46" s="479">
        <f>+C46+D46</f>
        <v>6351455.7800000003</v>
      </c>
      <c r="F46" s="479">
        <v>6106502.209999999</v>
      </c>
      <c r="G46" s="479">
        <v>6032914.4499999993</v>
      </c>
      <c r="H46" s="479">
        <f>+E46-F46</f>
        <v>244953.57000000123</v>
      </c>
      <c r="I46" s="478">
        <f>+F46/E46</f>
        <v>0.96143347627935449</v>
      </c>
      <c r="J46" s="477"/>
    </row>
    <row r="47" spans="1:10" x14ac:dyDescent="0.25">
      <c r="A47" s="494">
        <v>15101</v>
      </c>
      <c r="B47" s="493" t="s">
        <v>652</v>
      </c>
      <c r="C47" s="480">
        <v>5942534.7800000003</v>
      </c>
      <c r="D47" s="480">
        <v>408921</v>
      </c>
      <c r="E47" s="480">
        <f>+C47+D47</f>
        <v>6351455.7800000003</v>
      </c>
      <c r="F47" s="480">
        <v>6106502.209999999</v>
      </c>
      <c r="G47" s="480">
        <v>6032914.4499999993</v>
      </c>
      <c r="H47" s="479">
        <f>+E47-F47</f>
        <v>244953.57000000123</v>
      </c>
      <c r="I47" s="478">
        <f>+F47/E47</f>
        <v>0.96143347627935449</v>
      </c>
      <c r="J47" s="477"/>
    </row>
    <row r="48" spans="1:10" x14ac:dyDescent="0.25">
      <c r="A48" s="497">
        <v>152</v>
      </c>
      <c r="B48" s="501" t="s">
        <v>651</v>
      </c>
      <c r="C48" s="479">
        <f>SUM(C49:C50)</f>
        <v>644802</v>
      </c>
      <c r="D48" s="479">
        <f>SUM(D49:D50)</f>
        <v>897440</v>
      </c>
      <c r="E48" s="479">
        <f>+C48+D48</f>
        <v>1542242</v>
      </c>
      <c r="F48" s="479">
        <v>1434950.92</v>
      </c>
      <c r="G48" s="479">
        <v>1434950.92</v>
      </c>
      <c r="H48" s="479">
        <f>+E48-F48</f>
        <v>107291.08000000007</v>
      </c>
      <c r="I48" s="478">
        <f>+F48/E48</f>
        <v>0.93043174806547868</v>
      </c>
      <c r="J48" s="477"/>
    </row>
    <row r="49" spans="1:10" x14ac:dyDescent="0.25">
      <c r="A49" s="494">
        <v>15201</v>
      </c>
      <c r="B49" s="493" t="s">
        <v>650</v>
      </c>
      <c r="C49" s="480">
        <v>95891</v>
      </c>
      <c r="D49" s="480">
        <v>0</v>
      </c>
      <c r="E49" s="480">
        <f>+C49+D49</f>
        <v>95891</v>
      </c>
      <c r="F49" s="480">
        <v>28750</v>
      </c>
      <c r="G49" s="480">
        <v>28750</v>
      </c>
      <c r="H49" s="479">
        <f>+E49-F49</f>
        <v>67141</v>
      </c>
      <c r="I49" s="478">
        <f>+F49/E49</f>
        <v>0.29981958682253806</v>
      </c>
      <c r="J49" s="477"/>
    </row>
    <row r="50" spans="1:10" x14ac:dyDescent="0.25">
      <c r="A50" s="494">
        <v>15202</v>
      </c>
      <c r="B50" s="493" t="s">
        <v>649</v>
      </c>
      <c r="C50" s="480">
        <v>548911</v>
      </c>
      <c r="D50" s="480">
        <f>1217490-320050</f>
        <v>897440</v>
      </c>
      <c r="E50" s="480">
        <f>+C50+D50</f>
        <v>1446351</v>
      </c>
      <c r="F50" s="480">
        <v>1406200.92</v>
      </c>
      <c r="G50" s="480">
        <v>1406200.92</v>
      </c>
      <c r="H50" s="479">
        <f>+E50-F50</f>
        <v>40150.080000000075</v>
      </c>
      <c r="I50" s="478">
        <f>+F50/E50</f>
        <v>0.97224043126461002</v>
      </c>
      <c r="J50" s="477"/>
    </row>
    <row r="51" spans="1:10" x14ac:dyDescent="0.25">
      <c r="A51" s="497">
        <v>154</v>
      </c>
      <c r="B51" s="501" t="s">
        <v>648</v>
      </c>
      <c r="C51" s="479">
        <f>SUM(C52:C53)</f>
        <v>2802335</v>
      </c>
      <c r="D51" s="479">
        <f>SUM(D52:D53)</f>
        <v>689339</v>
      </c>
      <c r="E51" s="479">
        <f>+C51+D51</f>
        <v>3491674</v>
      </c>
      <c r="F51" s="479">
        <v>3491673.89</v>
      </c>
      <c r="G51" s="479">
        <v>3491673.89</v>
      </c>
      <c r="H51" s="479">
        <f>+E51-F51</f>
        <v>0.10999999986961484</v>
      </c>
      <c r="I51" s="478">
        <f>+F51/E51</f>
        <v>0.9999999684964862</v>
      </c>
      <c r="J51" s="477"/>
    </row>
    <row r="52" spans="1:10" x14ac:dyDescent="0.25">
      <c r="A52" s="494">
        <v>15409</v>
      </c>
      <c r="B52" s="493" t="s">
        <v>647</v>
      </c>
      <c r="C52" s="480">
        <v>2387702</v>
      </c>
      <c r="D52" s="480">
        <v>178774</v>
      </c>
      <c r="E52" s="480">
        <f>+C52+D52</f>
        <v>2566476</v>
      </c>
      <c r="F52" s="480">
        <v>2566475.89</v>
      </c>
      <c r="G52" s="480">
        <v>2566475.89</v>
      </c>
      <c r="H52" s="479">
        <f>+E52-F52</f>
        <v>0.10999999986961484</v>
      </c>
      <c r="I52" s="478">
        <f>+F52/E52</f>
        <v>0.99999995713967327</v>
      </c>
      <c r="J52" s="477"/>
    </row>
    <row r="53" spans="1:10" x14ac:dyDescent="0.25">
      <c r="A53" s="494">
        <v>15419</v>
      </c>
      <c r="B53" s="493" t="s">
        <v>646</v>
      </c>
      <c r="C53" s="480">
        <v>414633</v>
      </c>
      <c r="D53" s="480">
        <v>510565</v>
      </c>
      <c r="E53" s="480">
        <f>+C53+D53</f>
        <v>925198</v>
      </c>
      <c r="F53" s="480">
        <v>925198</v>
      </c>
      <c r="G53" s="480">
        <v>925198</v>
      </c>
      <c r="H53" s="479">
        <f>+E53-F53</f>
        <v>0</v>
      </c>
      <c r="I53" s="478">
        <f>+F53/E53</f>
        <v>1</v>
      </c>
      <c r="J53" s="477"/>
    </row>
    <row r="54" spans="1:10" x14ac:dyDescent="0.25">
      <c r="A54" s="497">
        <v>159</v>
      </c>
      <c r="B54" s="501" t="s">
        <v>645</v>
      </c>
      <c r="C54" s="479">
        <f>C55</f>
        <v>26832686.870000001</v>
      </c>
      <c r="D54" s="479">
        <f>D55</f>
        <v>1884361</v>
      </c>
      <c r="E54" s="479">
        <f>+C54+D54</f>
        <v>28717047.870000001</v>
      </c>
      <c r="F54" s="479">
        <v>27596413.18</v>
      </c>
      <c r="G54" s="479">
        <v>27564451.149999999</v>
      </c>
      <c r="H54" s="479">
        <f>+E54-F54</f>
        <v>1120634.6900000013</v>
      </c>
      <c r="I54" s="478">
        <f>+F54/E54</f>
        <v>0.96097667507213713</v>
      </c>
      <c r="J54" s="477"/>
    </row>
    <row r="55" spans="1:10" x14ac:dyDescent="0.25">
      <c r="A55" s="494">
        <v>15901</v>
      </c>
      <c r="B55" s="493" t="s">
        <v>644</v>
      </c>
      <c r="C55" s="480">
        <v>26832686.870000001</v>
      </c>
      <c r="D55" s="480">
        <f>677120+419032+354847+113312+320050</f>
        <v>1884361</v>
      </c>
      <c r="E55" s="480">
        <f>+C55+D55</f>
        <v>28717047.870000001</v>
      </c>
      <c r="F55" s="480">
        <v>27596413.18</v>
      </c>
      <c r="G55" s="480">
        <v>27564451.149999999</v>
      </c>
      <c r="H55" s="479">
        <f>+E55-F55</f>
        <v>1120634.6900000013</v>
      </c>
      <c r="I55" s="478">
        <f>+F55/E55</f>
        <v>0.96097667507213713</v>
      </c>
      <c r="J55" s="477"/>
    </row>
    <row r="56" spans="1:10" x14ac:dyDescent="0.25">
      <c r="A56" s="490">
        <v>1700</v>
      </c>
      <c r="B56" s="501" t="s">
        <v>643</v>
      </c>
      <c r="C56" s="479">
        <f>C57</f>
        <v>814198</v>
      </c>
      <c r="D56" s="479">
        <f>D57</f>
        <v>98992</v>
      </c>
      <c r="E56" s="479">
        <f>+C56+D56</f>
        <v>913190</v>
      </c>
      <c r="F56" s="479">
        <v>913190.04</v>
      </c>
      <c r="G56" s="479">
        <v>764745.04</v>
      </c>
      <c r="H56" s="479">
        <f>+E56-F56</f>
        <v>-4.0000000037252903E-2</v>
      </c>
      <c r="I56" s="478">
        <f>+F56/E56</f>
        <v>1.0000000438024945</v>
      </c>
      <c r="J56" s="477"/>
    </row>
    <row r="57" spans="1:10" x14ac:dyDescent="0.25">
      <c r="A57" s="500">
        <v>171</v>
      </c>
      <c r="B57" s="501" t="s">
        <v>642</v>
      </c>
      <c r="C57" s="479">
        <f>SUM(C58:C59)</f>
        <v>814198</v>
      </c>
      <c r="D57" s="479">
        <f>SUM(D58:D59)</f>
        <v>98992</v>
      </c>
      <c r="E57" s="479">
        <f>+C57+D57</f>
        <v>913190</v>
      </c>
      <c r="F57" s="479">
        <v>913190.04</v>
      </c>
      <c r="G57" s="479">
        <v>764745.04</v>
      </c>
      <c r="H57" s="479">
        <f>+E57-F57</f>
        <v>-4.0000000037252903E-2</v>
      </c>
      <c r="I57" s="478">
        <f>+F57/E57</f>
        <v>1.0000000438024945</v>
      </c>
      <c r="J57" s="477"/>
    </row>
    <row r="58" spans="1:10" x14ac:dyDescent="0.25">
      <c r="A58" s="494">
        <v>17102</v>
      </c>
      <c r="B58" s="493" t="s">
        <v>641</v>
      </c>
      <c r="C58" s="480">
        <v>416795</v>
      </c>
      <c r="D58" s="480">
        <v>14875</v>
      </c>
      <c r="E58" s="480">
        <f>+C58+D58</f>
        <v>431670</v>
      </c>
      <c r="F58" s="480">
        <v>431670.04</v>
      </c>
      <c r="G58" s="480">
        <v>431670.04</v>
      </c>
      <c r="H58" s="479">
        <f>+E58-F58</f>
        <v>-3.9999999979045242E-2</v>
      </c>
      <c r="I58" s="478">
        <f>+F58/E58</f>
        <v>1.000000092663377</v>
      </c>
      <c r="J58" s="477"/>
    </row>
    <row r="59" spans="1:10" x14ac:dyDescent="0.25">
      <c r="A59" s="502">
        <v>17104</v>
      </c>
      <c r="B59" s="502" t="s">
        <v>640</v>
      </c>
      <c r="C59" s="480">
        <v>397403</v>
      </c>
      <c r="D59" s="480">
        <v>84117</v>
      </c>
      <c r="E59" s="480">
        <f>+C59+D59</f>
        <v>481520</v>
      </c>
      <c r="F59" s="480">
        <v>481520</v>
      </c>
      <c r="G59" s="480">
        <v>333075</v>
      </c>
      <c r="H59" s="479">
        <f>+E59-F59</f>
        <v>0</v>
      </c>
      <c r="I59" s="478">
        <f>+F59/E59</f>
        <v>1</v>
      </c>
      <c r="J59" s="477"/>
    </row>
    <row r="60" spans="1:10" x14ac:dyDescent="0.25">
      <c r="A60" s="494"/>
      <c r="B60" s="493"/>
      <c r="C60" s="480">
        <v>0</v>
      </c>
      <c r="D60" s="480">
        <v>0</v>
      </c>
      <c r="E60" s="479">
        <f>+C60+D60</f>
        <v>0</v>
      </c>
      <c r="F60" s="480"/>
      <c r="G60" s="480"/>
      <c r="H60" s="479">
        <f>+E60-F60</f>
        <v>0</v>
      </c>
      <c r="I60" s="478"/>
      <c r="J60" s="477"/>
    </row>
    <row r="61" spans="1:10" x14ac:dyDescent="0.25">
      <c r="A61" s="490">
        <v>2000</v>
      </c>
      <c r="B61" s="501" t="s">
        <v>639</v>
      </c>
      <c r="C61" s="479">
        <f>C62+C78+C84+C87+C101+C112+C116+C121</f>
        <v>29616487.420000006</v>
      </c>
      <c r="D61" s="479">
        <f>D62+D78+D84+D87+D101+D112+D116+D121</f>
        <v>1723823.3599999999</v>
      </c>
      <c r="E61" s="479">
        <f>+C61+D61</f>
        <v>31340310.780000005</v>
      </c>
      <c r="F61" s="479">
        <v>26785641.119999997</v>
      </c>
      <c r="G61" s="479">
        <v>20428267.289999999</v>
      </c>
      <c r="H61" s="479">
        <f>+E61-F61</f>
        <v>4554669.6600000076</v>
      </c>
      <c r="I61" s="478">
        <f>+F61/E61</f>
        <v>0.85467056494836691</v>
      </c>
      <c r="J61" s="477"/>
    </row>
    <row r="62" spans="1:10" ht="22.5" x14ac:dyDescent="0.25">
      <c r="A62" s="498">
        <v>2100</v>
      </c>
      <c r="B62" s="501" t="s">
        <v>638</v>
      </c>
      <c r="C62" s="479">
        <f>C63+C65+C67+C69+C71+C75</f>
        <v>2140406.7799999998</v>
      </c>
      <c r="D62" s="479">
        <f>D63+D65+D67+D69+D71+D75</f>
        <v>-92060.87</v>
      </c>
      <c r="E62" s="479">
        <f>+C62+D62</f>
        <v>2048345.9099999997</v>
      </c>
      <c r="F62" s="479">
        <v>1233703.02</v>
      </c>
      <c r="G62" s="479">
        <v>1161267.73</v>
      </c>
      <c r="H62" s="479">
        <f>+E62-F62</f>
        <v>814642.88999999966</v>
      </c>
      <c r="I62" s="478">
        <f>+F62/E62</f>
        <v>0.60229232473728045</v>
      </c>
      <c r="J62" s="477"/>
    </row>
    <row r="63" spans="1:10" x14ac:dyDescent="0.25">
      <c r="A63" s="497">
        <v>211</v>
      </c>
      <c r="B63" s="501" t="s">
        <v>637</v>
      </c>
      <c r="C63" s="479">
        <f>C64</f>
        <v>1070533.22</v>
      </c>
      <c r="D63" s="479">
        <f>D64</f>
        <v>-3614</v>
      </c>
      <c r="E63" s="479">
        <f>+C63+D63</f>
        <v>1066919.22</v>
      </c>
      <c r="F63" s="479">
        <v>544720.49</v>
      </c>
      <c r="G63" s="479">
        <v>538423.6</v>
      </c>
      <c r="H63" s="479">
        <f>+E63-F63</f>
        <v>522198.73</v>
      </c>
      <c r="I63" s="478">
        <f>+F63/E63</f>
        <v>0.51055457600623222</v>
      </c>
      <c r="J63" s="477"/>
    </row>
    <row r="64" spans="1:10" x14ac:dyDescent="0.25">
      <c r="A64" s="494">
        <v>21101</v>
      </c>
      <c r="B64" s="493" t="s">
        <v>637</v>
      </c>
      <c r="C64" s="480">
        <v>1070533.22</v>
      </c>
      <c r="D64" s="480">
        <v>-3614</v>
      </c>
      <c r="E64" s="480">
        <f>+C64+D64</f>
        <v>1066919.22</v>
      </c>
      <c r="F64" s="480">
        <v>544720.49</v>
      </c>
      <c r="G64" s="480">
        <v>538423.6</v>
      </c>
      <c r="H64" s="479">
        <f>+E64-F64</f>
        <v>522198.73</v>
      </c>
      <c r="I64" s="478">
        <f>+F64/E64</f>
        <v>0.51055457600623222</v>
      </c>
      <c r="J64" s="477"/>
    </row>
    <row r="65" spans="1:10" x14ac:dyDescent="0.25">
      <c r="A65" s="497">
        <v>212</v>
      </c>
      <c r="B65" s="501" t="s">
        <v>636</v>
      </c>
      <c r="C65" s="479">
        <f>C66</f>
        <v>232099.47</v>
      </c>
      <c r="D65" s="479">
        <f>D66</f>
        <v>-88604.87</v>
      </c>
      <c r="E65" s="479">
        <f>+C65+D65</f>
        <v>143494.6</v>
      </c>
      <c r="F65" s="479">
        <v>42352.899999999994</v>
      </c>
      <c r="G65" s="479">
        <v>36781.43</v>
      </c>
      <c r="H65" s="479">
        <f>+E65-F65</f>
        <v>101141.70000000001</v>
      </c>
      <c r="I65" s="478">
        <f>+F65/E65</f>
        <v>0.2951532670915839</v>
      </c>
      <c r="J65" s="477"/>
    </row>
    <row r="66" spans="1:10" x14ac:dyDescent="0.25">
      <c r="A66" s="494">
        <v>21201</v>
      </c>
      <c r="B66" s="493" t="s">
        <v>636</v>
      </c>
      <c r="C66" s="480">
        <v>232099.47</v>
      </c>
      <c r="D66" s="480">
        <f>-81104.87-7500</f>
        <v>-88604.87</v>
      </c>
      <c r="E66" s="480">
        <f>+C66+D66</f>
        <v>143494.6</v>
      </c>
      <c r="F66" s="480">
        <v>42352.899999999994</v>
      </c>
      <c r="G66" s="480">
        <v>36781.43</v>
      </c>
      <c r="H66" s="479">
        <f>+E66-F66</f>
        <v>101141.70000000001</v>
      </c>
      <c r="I66" s="478">
        <f>+F66/E66</f>
        <v>0.2951532670915839</v>
      </c>
      <c r="J66" s="477"/>
    </row>
    <row r="67" spans="1:10" ht="22.5" x14ac:dyDescent="0.25">
      <c r="A67" s="497">
        <v>214</v>
      </c>
      <c r="B67" s="501" t="s">
        <v>635</v>
      </c>
      <c r="C67" s="479">
        <f>C68</f>
        <v>395542.63</v>
      </c>
      <c r="D67" s="479">
        <f>D68</f>
        <v>-16079</v>
      </c>
      <c r="E67" s="479">
        <f>+C67+D67</f>
        <v>379463.63</v>
      </c>
      <c r="F67" s="479">
        <v>238627.16999999998</v>
      </c>
      <c r="G67" s="479">
        <v>193496.53</v>
      </c>
      <c r="H67" s="479">
        <f>+E67-F67</f>
        <v>140836.46000000002</v>
      </c>
      <c r="I67" s="478">
        <f>+F67/E67</f>
        <v>0.62885386407124177</v>
      </c>
      <c r="J67" s="477"/>
    </row>
    <row r="68" spans="1:10" ht="22.5" x14ac:dyDescent="0.25">
      <c r="A68" s="494">
        <v>21401</v>
      </c>
      <c r="B68" s="493" t="s">
        <v>634</v>
      </c>
      <c r="C68" s="480">
        <v>395542.63</v>
      </c>
      <c r="D68" s="480">
        <v>-16079</v>
      </c>
      <c r="E68" s="480">
        <f>+C68+D68</f>
        <v>379463.63</v>
      </c>
      <c r="F68" s="480">
        <v>238627.16999999998</v>
      </c>
      <c r="G68" s="480">
        <v>193496.53</v>
      </c>
      <c r="H68" s="479">
        <f>+E68-F68</f>
        <v>140836.46000000002</v>
      </c>
      <c r="I68" s="478">
        <f>+F68/E68</f>
        <v>0.62885386407124177</v>
      </c>
      <c r="J68" s="477"/>
    </row>
    <row r="69" spans="1:10" x14ac:dyDescent="0.25">
      <c r="A69" s="497">
        <v>215</v>
      </c>
      <c r="B69" s="501" t="s">
        <v>633</v>
      </c>
      <c r="C69" s="479">
        <f>C70</f>
        <v>4126</v>
      </c>
      <c r="D69" s="479">
        <f>D70</f>
        <v>0</v>
      </c>
      <c r="E69" s="479">
        <f>+C69+D69</f>
        <v>4126</v>
      </c>
      <c r="F69" s="479">
        <v>2647</v>
      </c>
      <c r="G69" s="479">
        <v>2647</v>
      </c>
      <c r="H69" s="479">
        <f>+E69-F69</f>
        <v>1479</v>
      </c>
      <c r="I69" s="478">
        <f>+F69/E69</f>
        <v>0.64154144449830341</v>
      </c>
      <c r="J69" s="477"/>
    </row>
    <row r="70" spans="1:10" x14ac:dyDescent="0.25">
      <c r="A70" s="494">
        <v>21501</v>
      </c>
      <c r="B70" s="493" t="s">
        <v>632</v>
      </c>
      <c r="C70" s="480">
        <v>4126</v>
      </c>
      <c r="D70" s="480">
        <v>0</v>
      </c>
      <c r="E70" s="480">
        <f>+C70+D70</f>
        <v>4126</v>
      </c>
      <c r="F70" s="480">
        <v>2647</v>
      </c>
      <c r="G70" s="480">
        <v>2647</v>
      </c>
      <c r="H70" s="479">
        <f>+E70-F70</f>
        <v>1479</v>
      </c>
      <c r="I70" s="478">
        <f>+F70/E70</f>
        <v>0.64154144449830341</v>
      </c>
      <c r="J70" s="477"/>
    </row>
    <row r="71" spans="1:10" x14ac:dyDescent="0.25">
      <c r="A71" s="497">
        <v>216</v>
      </c>
      <c r="B71" s="501" t="s">
        <v>631</v>
      </c>
      <c r="C71" s="479">
        <f>C72</f>
        <v>194015.69</v>
      </c>
      <c r="D71" s="479">
        <f>D72</f>
        <v>-6219</v>
      </c>
      <c r="E71" s="479">
        <f>+C71+D71</f>
        <v>187796.69</v>
      </c>
      <c r="F71" s="479">
        <v>144260.46</v>
      </c>
      <c r="G71" s="479">
        <v>128824.17000000001</v>
      </c>
      <c r="H71" s="479">
        <f>+E71-F71</f>
        <v>43536.23000000001</v>
      </c>
      <c r="I71" s="478">
        <f>+F71/E71</f>
        <v>0.768173603059777</v>
      </c>
      <c r="J71" s="477"/>
    </row>
    <row r="72" spans="1:10" x14ac:dyDescent="0.25">
      <c r="A72" s="494">
        <v>21601</v>
      </c>
      <c r="B72" s="493" t="s">
        <v>631</v>
      </c>
      <c r="C72" s="480">
        <v>194015.69</v>
      </c>
      <c r="D72" s="480">
        <f>349-6568</f>
        <v>-6219</v>
      </c>
      <c r="E72" s="480">
        <f>+C72+D72</f>
        <v>187796.69</v>
      </c>
      <c r="F72" s="480">
        <v>144260.46</v>
      </c>
      <c r="G72" s="480">
        <v>128824.17000000001</v>
      </c>
      <c r="H72" s="479">
        <f>+E72-F72</f>
        <v>43536.23000000001</v>
      </c>
      <c r="I72" s="478">
        <f>+F72/E72</f>
        <v>0.768173603059777</v>
      </c>
      <c r="J72" s="477"/>
    </row>
    <row r="73" spans="1:10" hidden="1" x14ac:dyDescent="0.25">
      <c r="A73" s="497">
        <v>217</v>
      </c>
      <c r="B73" s="501" t="s">
        <v>630</v>
      </c>
      <c r="C73" s="479">
        <v>0</v>
      </c>
      <c r="D73" s="479">
        <v>0</v>
      </c>
      <c r="E73" s="479">
        <f>+C73+D73</f>
        <v>0</v>
      </c>
      <c r="F73" s="479">
        <v>0</v>
      </c>
      <c r="G73" s="479">
        <v>0</v>
      </c>
      <c r="H73" s="479">
        <f>+E73-F73</f>
        <v>0</v>
      </c>
      <c r="I73" s="478"/>
      <c r="J73" s="477"/>
    </row>
    <row r="74" spans="1:10" hidden="1" x14ac:dyDescent="0.25">
      <c r="A74" s="494">
        <v>21701</v>
      </c>
      <c r="B74" s="493" t="s">
        <v>629</v>
      </c>
      <c r="C74" s="480">
        <v>0</v>
      </c>
      <c r="D74" s="480">
        <v>0</v>
      </c>
      <c r="E74" s="479">
        <f>+C74+D74</f>
        <v>0</v>
      </c>
      <c r="F74" s="480">
        <v>0</v>
      </c>
      <c r="G74" s="480">
        <v>0</v>
      </c>
      <c r="H74" s="479">
        <f>+E74-F74</f>
        <v>0</v>
      </c>
      <c r="I74" s="478"/>
      <c r="J74" s="477"/>
    </row>
    <row r="75" spans="1:10" ht="22.5" x14ac:dyDescent="0.25">
      <c r="A75" s="497">
        <v>218</v>
      </c>
      <c r="B75" s="501" t="s">
        <v>628</v>
      </c>
      <c r="C75" s="479">
        <f>C76</f>
        <v>244089.77</v>
      </c>
      <c r="D75" s="479">
        <f>D76</f>
        <v>22456</v>
      </c>
      <c r="E75" s="479">
        <f>+C75+D75</f>
        <v>266545.77</v>
      </c>
      <c r="F75" s="479">
        <v>261095</v>
      </c>
      <c r="G75" s="479">
        <v>261095</v>
      </c>
      <c r="H75" s="479">
        <f>+E75-F75</f>
        <v>5450.7700000000186</v>
      </c>
      <c r="I75" s="478">
        <f>+F75/E75</f>
        <v>0.97955034139164909</v>
      </c>
      <c r="J75" s="477"/>
    </row>
    <row r="76" spans="1:10" x14ac:dyDescent="0.25">
      <c r="A76" s="494">
        <v>21801</v>
      </c>
      <c r="B76" s="493" t="s">
        <v>627</v>
      </c>
      <c r="C76" s="480">
        <v>244089.77</v>
      </c>
      <c r="D76" s="480">
        <f>15888+6568</f>
        <v>22456</v>
      </c>
      <c r="E76" s="480">
        <f>+C76+D76</f>
        <v>266545.77</v>
      </c>
      <c r="F76" s="480">
        <v>261095</v>
      </c>
      <c r="G76" s="480">
        <v>261095</v>
      </c>
      <c r="H76" s="479">
        <f>+E76-F76</f>
        <v>5450.7700000000186</v>
      </c>
      <c r="I76" s="478">
        <f>+F76/E76</f>
        <v>0.97955034139164909</v>
      </c>
      <c r="J76" s="477"/>
    </row>
    <row r="77" spans="1:10" hidden="1" x14ac:dyDescent="0.25">
      <c r="A77" s="494">
        <v>21802</v>
      </c>
      <c r="B77" s="493" t="s">
        <v>626</v>
      </c>
      <c r="C77" s="480">
        <v>0</v>
      </c>
      <c r="D77" s="480">
        <v>0</v>
      </c>
      <c r="E77" s="479">
        <f>+C77+D77</f>
        <v>0</v>
      </c>
      <c r="F77" s="480">
        <v>0</v>
      </c>
      <c r="G77" s="480">
        <v>0</v>
      </c>
      <c r="H77" s="479">
        <f>+E77-F77</f>
        <v>0</v>
      </c>
      <c r="I77" s="478"/>
      <c r="J77" s="477"/>
    </row>
    <row r="78" spans="1:10" x14ac:dyDescent="0.25">
      <c r="A78" s="498">
        <v>2200</v>
      </c>
      <c r="B78" s="501" t="s">
        <v>625</v>
      </c>
      <c r="C78" s="479">
        <f>C79+C82</f>
        <v>481582</v>
      </c>
      <c r="D78" s="479">
        <f>D79+D82</f>
        <v>286375</v>
      </c>
      <c r="E78" s="479">
        <f>+C78+D78</f>
        <v>767957</v>
      </c>
      <c r="F78" s="479">
        <v>706055.79999999993</v>
      </c>
      <c r="G78" s="479">
        <v>595079.80999999994</v>
      </c>
      <c r="H78" s="479">
        <f>+E78-F78</f>
        <v>61901.20000000007</v>
      </c>
      <c r="I78" s="478">
        <f>+F78/E78</f>
        <v>0.9193949661244053</v>
      </c>
      <c r="J78" s="477"/>
    </row>
    <row r="79" spans="1:10" x14ac:dyDescent="0.25">
      <c r="A79" s="497">
        <v>221</v>
      </c>
      <c r="B79" s="501" t="s">
        <v>624</v>
      </c>
      <c r="C79" s="479">
        <f>C80+C81</f>
        <v>476274</v>
      </c>
      <c r="D79" s="479">
        <f>D80+D81</f>
        <v>285705</v>
      </c>
      <c r="E79" s="479">
        <f>+C79+D79</f>
        <v>761979</v>
      </c>
      <c r="F79" s="479">
        <v>703762.32</v>
      </c>
      <c r="G79" s="479">
        <v>592786.32999999996</v>
      </c>
      <c r="H79" s="479">
        <f>+E79-F79</f>
        <v>58216.680000000051</v>
      </c>
      <c r="I79" s="478">
        <f>+F79/E79</f>
        <v>0.92359805191481648</v>
      </c>
      <c r="J79" s="477"/>
    </row>
    <row r="80" spans="1:10" x14ac:dyDescent="0.25">
      <c r="A80" s="494">
        <v>22101</v>
      </c>
      <c r="B80" s="493" t="s">
        <v>623</v>
      </c>
      <c r="C80" s="480">
        <v>281830</v>
      </c>
      <c r="D80" s="480">
        <f>191346+59332</f>
        <v>250678</v>
      </c>
      <c r="E80" s="480">
        <f>+C80+D80</f>
        <v>532508</v>
      </c>
      <c r="F80" s="480">
        <v>504661.82</v>
      </c>
      <c r="G80" s="480">
        <v>485829.83</v>
      </c>
      <c r="H80" s="479">
        <f>+E80-F80</f>
        <v>27846.179999999993</v>
      </c>
      <c r="I80" s="478">
        <f>+F80/E80</f>
        <v>0.94770748984052822</v>
      </c>
      <c r="J80" s="477"/>
    </row>
    <row r="81" spans="1:10" x14ac:dyDescent="0.25">
      <c r="A81" s="494">
        <v>22106</v>
      </c>
      <c r="B81" s="493" t="s">
        <v>622</v>
      </c>
      <c r="C81" s="480">
        <v>194444</v>
      </c>
      <c r="D81" s="480">
        <v>35027</v>
      </c>
      <c r="E81" s="480">
        <f>+C81+D81</f>
        <v>229471</v>
      </c>
      <c r="F81" s="480">
        <v>199100.5</v>
      </c>
      <c r="G81" s="480">
        <v>106956.5</v>
      </c>
      <c r="H81" s="479">
        <f>+E81-F81</f>
        <v>30370.5</v>
      </c>
      <c r="I81" s="478">
        <f>+F81/E81</f>
        <v>0.86764994269428386</v>
      </c>
      <c r="J81" s="477"/>
    </row>
    <row r="82" spans="1:10" x14ac:dyDescent="0.25">
      <c r="A82" s="497">
        <v>223</v>
      </c>
      <c r="B82" s="501" t="s">
        <v>621</v>
      </c>
      <c r="C82" s="479">
        <f>C83</f>
        <v>5308</v>
      </c>
      <c r="D82" s="479">
        <f>D83</f>
        <v>670</v>
      </c>
      <c r="E82" s="479">
        <f>+C82+D82</f>
        <v>5978</v>
      </c>
      <c r="F82" s="479">
        <v>2293.48</v>
      </c>
      <c r="G82" s="479">
        <v>2293.48</v>
      </c>
      <c r="H82" s="479">
        <f>+E82-F82</f>
        <v>3684.52</v>
      </c>
      <c r="I82" s="478">
        <f>+F82/E82</f>
        <v>0.38365339578454333</v>
      </c>
      <c r="J82" s="477"/>
    </row>
    <row r="83" spans="1:10" x14ac:dyDescent="0.25">
      <c r="A83" s="494">
        <v>22301</v>
      </c>
      <c r="B83" s="493" t="s">
        <v>621</v>
      </c>
      <c r="C83" s="480">
        <v>5308</v>
      </c>
      <c r="D83" s="480">
        <v>670</v>
      </c>
      <c r="E83" s="480">
        <f>+C83+D83</f>
        <v>5978</v>
      </c>
      <c r="F83" s="480">
        <v>2293.48</v>
      </c>
      <c r="G83" s="480">
        <v>2293.48</v>
      </c>
      <c r="H83" s="479">
        <f>+E83-F83</f>
        <v>3684.52</v>
      </c>
      <c r="I83" s="478">
        <f>+F83/E83</f>
        <v>0.38365339578454333</v>
      </c>
      <c r="J83" s="477"/>
    </row>
    <row r="84" spans="1:10" ht="22.5" x14ac:dyDescent="0.25">
      <c r="A84" s="498">
        <v>2300</v>
      </c>
      <c r="B84" s="501" t="s">
        <v>620</v>
      </c>
      <c r="C84" s="479">
        <f>C85</f>
        <v>6160974.3700000001</v>
      </c>
      <c r="D84" s="479">
        <f>D85</f>
        <v>403899</v>
      </c>
      <c r="E84" s="479">
        <f>+C84+D84</f>
        <v>6564873.3700000001</v>
      </c>
      <c r="F84" s="479">
        <v>6251586.1799999997</v>
      </c>
      <c r="G84" s="479">
        <v>4495655.9400000004</v>
      </c>
      <c r="H84" s="479">
        <f>+E84-F84</f>
        <v>313287.19000000041</v>
      </c>
      <c r="I84" s="478">
        <f>+F84/E84</f>
        <v>0.95227825849137426</v>
      </c>
      <c r="J84" s="477"/>
    </row>
    <row r="85" spans="1:10" x14ac:dyDescent="0.25">
      <c r="A85" s="497">
        <v>239</v>
      </c>
      <c r="B85" s="501" t="s">
        <v>619</v>
      </c>
      <c r="C85" s="479">
        <f>C86</f>
        <v>6160974.3700000001</v>
      </c>
      <c r="D85" s="479">
        <f>D86</f>
        <v>403899</v>
      </c>
      <c r="E85" s="479">
        <f>+C85+D85</f>
        <v>6564873.3700000001</v>
      </c>
      <c r="F85" s="479">
        <v>6251586.1799999997</v>
      </c>
      <c r="G85" s="479">
        <v>4495655.9400000004</v>
      </c>
      <c r="H85" s="479">
        <f>+E85-F85</f>
        <v>313287.19000000041</v>
      </c>
      <c r="I85" s="478">
        <f>+F85/E85</f>
        <v>0.95227825849137426</v>
      </c>
      <c r="J85" s="477"/>
    </row>
    <row r="86" spans="1:10" x14ac:dyDescent="0.25">
      <c r="A86" s="494">
        <v>23901</v>
      </c>
      <c r="B86" s="493" t="s">
        <v>619</v>
      </c>
      <c r="C86" s="480">
        <v>6160974.3700000001</v>
      </c>
      <c r="D86" s="480">
        <f>405355-1456</f>
        <v>403899</v>
      </c>
      <c r="E86" s="480">
        <f>+C86+D86</f>
        <v>6564873.3700000001</v>
      </c>
      <c r="F86" s="480">
        <v>6251586.1799999997</v>
      </c>
      <c r="G86" s="480">
        <v>4495655.9400000004</v>
      </c>
      <c r="H86" s="479">
        <f>+E86-F86</f>
        <v>313287.19000000041</v>
      </c>
      <c r="I86" s="478">
        <f>+F86/E86</f>
        <v>0.95227825849137426</v>
      </c>
      <c r="J86" s="477"/>
    </row>
    <row r="87" spans="1:10" x14ac:dyDescent="0.25">
      <c r="A87" s="498">
        <v>2400</v>
      </c>
      <c r="B87" s="501" t="s">
        <v>618</v>
      </c>
      <c r="C87" s="479">
        <f>C88+C96+C99</f>
        <v>667519</v>
      </c>
      <c r="D87" s="479">
        <f>D88+D96+D99</f>
        <v>-87134</v>
      </c>
      <c r="E87" s="479">
        <f>+C87+D87</f>
        <v>580385</v>
      </c>
      <c r="F87" s="479">
        <v>497558.49000000005</v>
      </c>
      <c r="G87" s="479">
        <v>490649.26</v>
      </c>
      <c r="H87" s="479">
        <f>+E87-F87</f>
        <v>82826.509999999951</v>
      </c>
      <c r="I87" s="478">
        <f>+F87/E87</f>
        <v>0.85729040206070117</v>
      </c>
      <c r="J87" s="477"/>
    </row>
    <row r="88" spans="1:10" x14ac:dyDescent="0.25">
      <c r="A88" s="497">
        <v>242</v>
      </c>
      <c r="B88" s="501" t="s">
        <v>617</v>
      </c>
      <c r="C88" s="479">
        <f>C89</f>
        <v>129292</v>
      </c>
      <c r="D88" s="479">
        <f>D89</f>
        <v>-35918</v>
      </c>
      <c r="E88" s="479">
        <f>+C88+D88</f>
        <v>93374</v>
      </c>
      <c r="F88" s="479">
        <v>83534.64</v>
      </c>
      <c r="G88" s="479">
        <v>77655.960000000006</v>
      </c>
      <c r="H88" s="479">
        <f>+E88-F88</f>
        <v>9839.36</v>
      </c>
      <c r="I88" s="478">
        <f>+F88/E88</f>
        <v>0.89462419945595129</v>
      </c>
      <c r="J88" s="477"/>
    </row>
    <row r="89" spans="1:10" x14ac:dyDescent="0.25">
      <c r="A89" s="494">
        <v>24201</v>
      </c>
      <c r="B89" s="493" t="s">
        <v>617</v>
      </c>
      <c r="C89" s="480">
        <v>129292</v>
      </c>
      <c r="D89" s="480">
        <v>-35918</v>
      </c>
      <c r="E89" s="480">
        <f>+C89+D89</f>
        <v>93374</v>
      </c>
      <c r="F89" s="480">
        <v>83534.64</v>
      </c>
      <c r="G89" s="480">
        <v>77655.960000000006</v>
      </c>
      <c r="H89" s="479">
        <f>+E89-F89</f>
        <v>9839.36</v>
      </c>
      <c r="I89" s="478">
        <f>+F89/E89</f>
        <v>0.89462419945595129</v>
      </c>
      <c r="J89" s="477"/>
    </row>
    <row r="90" spans="1:10" hidden="1" x14ac:dyDescent="0.25">
      <c r="A90" s="497"/>
      <c r="B90" s="501" t="s">
        <v>616</v>
      </c>
      <c r="C90" s="479">
        <v>0</v>
      </c>
      <c r="D90" s="479">
        <v>0</v>
      </c>
      <c r="E90" s="479">
        <f>+C90+D90</f>
        <v>0</v>
      </c>
      <c r="F90" s="479">
        <v>0</v>
      </c>
      <c r="G90" s="479">
        <v>0</v>
      </c>
      <c r="H90" s="479">
        <f>+E90-F90</f>
        <v>0</v>
      </c>
      <c r="I90" s="478"/>
      <c r="J90" s="477"/>
    </row>
    <row r="91" spans="1:10" hidden="1" x14ac:dyDescent="0.25">
      <c r="A91" s="494">
        <v>24301</v>
      </c>
      <c r="B91" s="493" t="s">
        <v>615</v>
      </c>
      <c r="C91" s="480">
        <v>0</v>
      </c>
      <c r="D91" s="480">
        <v>0</v>
      </c>
      <c r="E91" s="479">
        <f>+C91+D91</f>
        <v>0</v>
      </c>
      <c r="F91" s="480">
        <v>0</v>
      </c>
      <c r="G91" s="480">
        <v>0</v>
      </c>
      <c r="H91" s="479">
        <f>+E91-F91</f>
        <v>0</v>
      </c>
      <c r="I91" s="478"/>
      <c r="J91" s="477"/>
    </row>
    <row r="92" spans="1:10" hidden="1" x14ac:dyDescent="0.25">
      <c r="A92" s="497">
        <v>244</v>
      </c>
      <c r="B92" s="501" t="s">
        <v>614</v>
      </c>
      <c r="C92" s="479">
        <v>0</v>
      </c>
      <c r="D92" s="479">
        <v>0</v>
      </c>
      <c r="E92" s="479">
        <f>+C92+D92</f>
        <v>0</v>
      </c>
      <c r="F92" s="479">
        <v>0</v>
      </c>
      <c r="G92" s="479">
        <v>0</v>
      </c>
      <c r="H92" s="479">
        <f>+E92-F92</f>
        <v>0</v>
      </c>
      <c r="I92" s="478"/>
      <c r="J92" s="477"/>
    </row>
    <row r="93" spans="1:10" hidden="1" x14ac:dyDescent="0.25">
      <c r="A93" s="494">
        <v>24401</v>
      </c>
      <c r="B93" s="493" t="s">
        <v>614</v>
      </c>
      <c r="C93" s="480">
        <v>0</v>
      </c>
      <c r="D93" s="480">
        <v>0</v>
      </c>
      <c r="E93" s="479">
        <f>+C93+D93</f>
        <v>0</v>
      </c>
      <c r="F93" s="480">
        <v>0</v>
      </c>
      <c r="G93" s="480">
        <v>0</v>
      </c>
      <c r="H93" s="479">
        <f>+E93-F93</f>
        <v>0</v>
      </c>
      <c r="I93" s="478"/>
      <c r="J93" s="477"/>
    </row>
    <row r="94" spans="1:10" hidden="1" x14ac:dyDescent="0.25">
      <c r="A94" s="497">
        <v>245</v>
      </c>
      <c r="B94" s="501" t="s">
        <v>613</v>
      </c>
      <c r="C94" s="479">
        <v>0</v>
      </c>
      <c r="D94" s="479">
        <v>0</v>
      </c>
      <c r="E94" s="479">
        <f>+C94+D94</f>
        <v>0</v>
      </c>
      <c r="F94" s="479">
        <v>0</v>
      </c>
      <c r="G94" s="479">
        <v>0</v>
      </c>
      <c r="H94" s="479">
        <f>+E94-F94</f>
        <v>0</v>
      </c>
      <c r="I94" s="478"/>
      <c r="J94" s="477"/>
    </row>
    <row r="95" spans="1:10" hidden="1" x14ac:dyDescent="0.25">
      <c r="A95" s="494">
        <v>24501</v>
      </c>
      <c r="B95" s="493" t="s">
        <v>613</v>
      </c>
      <c r="C95" s="480">
        <v>0</v>
      </c>
      <c r="D95" s="480">
        <v>0</v>
      </c>
      <c r="E95" s="479">
        <f>+C95+D95</f>
        <v>0</v>
      </c>
      <c r="F95" s="480">
        <v>0</v>
      </c>
      <c r="G95" s="480">
        <v>0</v>
      </c>
      <c r="H95" s="479">
        <f>+E95-F95</f>
        <v>0</v>
      </c>
      <c r="I95" s="478"/>
      <c r="J95" s="477"/>
    </row>
    <row r="96" spans="1:10" x14ac:dyDescent="0.25">
      <c r="A96" s="497">
        <v>246</v>
      </c>
      <c r="B96" s="501" t="s">
        <v>612</v>
      </c>
      <c r="C96" s="479">
        <f>C97+C98</f>
        <v>536532</v>
      </c>
      <c r="D96" s="479">
        <f>D97+D98</f>
        <v>-50975</v>
      </c>
      <c r="E96" s="479">
        <f>+C96+D96</f>
        <v>485557</v>
      </c>
      <c r="F96" s="479">
        <v>413586.85000000003</v>
      </c>
      <c r="G96" s="479">
        <v>412556.30000000005</v>
      </c>
      <c r="H96" s="479">
        <f>+E96-F96</f>
        <v>71970.149999999965</v>
      </c>
      <c r="I96" s="478">
        <f>+F96/E96</f>
        <v>0.85177816404665163</v>
      </c>
      <c r="J96" s="477"/>
    </row>
    <row r="97" spans="1:10" x14ac:dyDescent="0.25">
      <c r="A97" s="494">
        <v>24601</v>
      </c>
      <c r="B97" s="493" t="s">
        <v>612</v>
      </c>
      <c r="C97" s="480">
        <v>536532</v>
      </c>
      <c r="D97" s="480">
        <v>-54375</v>
      </c>
      <c r="E97" s="480">
        <f>+C97+D97</f>
        <v>482157</v>
      </c>
      <c r="F97" s="480">
        <v>410222.85000000003</v>
      </c>
      <c r="G97" s="480">
        <v>409192.30000000005</v>
      </c>
      <c r="H97" s="479">
        <f>+E97-F97</f>
        <v>71934.149999999965</v>
      </c>
      <c r="I97" s="478">
        <f>+F97/E97</f>
        <v>0.85080762075423577</v>
      </c>
      <c r="J97" s="477"/>
    </row>
    <row r="98" spans="1:10" x14ac:dyDescent="0.25">
      <c r="A98" s="494">
        <v>24801</v>
      </c>
      <c r="B98" s="493" t="s">
        <v>611</v>
      </c>
      <c r="C98" s="480">
        <v>0</v>
      </c>
      <c r="D98" s="480">
        <v>3400</v>
      </c>
      <c r="E98" s="479">
        <f>+C98+D98</f>
        <v>3400</v>
      </c>
      <c r="F98" s="480">
        <v>3364</v>
      </c>
      <c r="G98" s="480">
        <v>3364</v>
      </c>
      <c r="H98" s="479">
        <f>+E98-F98</f>
        <v>36</v>
      </c>
      <c r="I98" s="478">
        <f>+F98/E98</f>
        <v>0.98941176470588232</v>
      </c>
      <c r="J98" s="477"/>
    </row>
    <row r="99" spans="1:10" ht="22.5" x14ac:dyDescent="0.25">
      <c r="A99" s="497">
        <v>249</v>
      </c>
      <c r="B99" s="501" t="s">
        <v>610</v>
      </c>
      <c r="C99" s="479">
        <f>C100</f>
        <v>1695</v>
      </c>
      <c r="D99" s="479">
        <f>D100</f>
        <v>-241</v>
      </c>
      <c r="E99" s="479">
        <f>+C99+D99</f>
        <v>1454</v>
      </c>
      <c r="F99" s="479">
        <v>437</v>
      </c>
      <c r="G99" s="479">
        <v>437</v>
      </c>
      <c r="H99" s="479">
        <f>+E99-F99</f>
        <v>1017</v>
      </c>
      <c r="I99" s="478">
        <f>+F99/E99</f>
        <v>0.30055020632737278</v>
      </c>
      <c r="J99" s="477"/>
    </row>
    <row r="100" spans="1:10" x14ac:dyDescent="0.25">
      <c r="A100" s="494">
        <v>24901</v>
      </c>
      <c r="B100" s="493" t="s">
        <v>610</v>
      </c>
      <c r="C100" s="480">
        <v>1695</v>
      </c>
      <c r="D100" s="480">
        <v>-241</v>
      </c>
      <c r="E100" s="480">
        <f>+C100+D100</f>
        <v>1454</v>
      </c>
      <c r="F100" s="480">
        <v>437</v>
      </c>
      <c r="G100" s="480">
        <v>437</v>
      </c>
      <c r="H100" s="479">
        <f>+E100-F100</f>
        <v>1017</v>
      </c>
      <c r="I100" s="478">
        <f>+F100/E100</f>
        <v>0.30055020632737278</v>
      </c>
      <c r="J100" s="477"/>
    </row>
    <row r="101" spans="1:10" x14ac:dyDescent="0.25">
      <c r="A101" s="498">
        <v>2500</v>
      </c>
      <c r="B101" s="501" t="s">
        <v>609</v>
      </c>
      <c r="C101" s="479">
        <f>C106+C108+C110+C104+C102</f>
        <v>7650860.7300000004</v>
      </c>
      <c r="D101" s="479">
        <f>D106+D108+D110+D104+D102</f>
        <v>-3504901.96</v>
      </c>
      <c r="E101" s="479">
        <f>+C101+D101</f>
        <v>4145958.7700000005</v>
      </c>
      <c r="F101" s="479">
        <v>1950795.79</v>
      </c>
      <c r="G101" s="479">
        <v>-1162219.49</v>
      </c>
      <c r="H101" s="479">
        <f>+E101-F101</f>
        <v>2195162.9800000004</v>
      </c>
      <c r="I101" s="478">
        <f>+F101/E101</f>
        <v>0.47052947176317428</v>
      </c>
      <c r="J101" s="477"/>
    </row>
    <row r="102" spans="1:10" hidden="1" x14ac:dyDescent="0.25">
      <c r="A102" s="497">
        <v>251</v>
      </c>
      <c r="B102" s="501" t="s">
        <v>608</v>
      </c>
      <c r="C102" s="479">
        <v>0</v>
      </c>
      <c r="D102" s="479">
        <v>0</v>
      </c>
      <c r="E102" s="479">
        <f>+C102+D102</f>
        <v>0</v>
      </c>
      <c r="F102" s="479">
        <v>0</v>
      </c>
      <c r="G102" s="479">
        <v>0</v>
      </c>
      <c r="H102" s="479">
        <f>+E102-F102</f>
        <v>0</v>
      </c>
      <c r="I102" s="478">
        <v>0</v>
      </c>
      <c r="J102" s="477"/>
    </row>
    <row r="103" spans="1:10" hidden="1" x14ac:dyDescent="0.25">
      <c r="A103" s="494">
        <v>25101</v>
      </c>
      <c r="B103" s="493" t="s">
        <v>608</v>
      </c>
      <c r="C103" s="479">
        <v>0</v>
      </c>
      <c r="D103" s="479">
        <v>0</v>
      </c>
      <c r="E103" s="479">
        <f>+C103+D103</f>
        <v>0</v>
      </c>
      <c r="F103" s="479">
        <v>0</v>
      </c>
      <c r="G103" s="479">
        <v>0</v>
      </c>
      <c r="H103" s="479">
        <f>+E103-F103</f>
        <v>0</v>
      </c>
      <c r="I103" s="478">
        <v>0</v>
      </c>
      <c r="J103" s="477"/>
    </row>
    <row r="104" spans="1:10" hidden="1" x14ac:dyDescent="0.25">
      <c r="A104" s="497">
        <v>252</v>
      </c>
      <c r="B104" s="501" t="s">
        <v>607</v>
      </c>
      <c r="C104" s="479">
        <v>0</v>
      </c>
      <c r="D104" s="479">
        <v>0</v>
      </c>
      <c r="E104" s="479">
        <f>+C104+D104</f>
        <v>0</v>
      </c>
      <c r="F104" s="479">
        <v>0</v>
      </c>
      <c r="G104" s="479">
        <v>0</v>
      </c>
      <c r="H104" s="479">
        <f>+E104-F104</f>
        <v>0</v>
      </c>
      <c r="I104" s="478">
        <v>0</v>
      </c>
      <c r="J104" s="477"/>
    </row>
    <row r="105" spans="1:10" hidden="1" x14ac:dyDescent="0.25">
      <c r="A105" s="494">
        <v>25201</v>
      </c>
      <c r="B105" s="493" t="s">
        <v>607</v>
      </c>
      <c r="C105" s="480">
        <v>0</v>
      </c>
      <c r="D105" s="480">
        <v>0</v>
      </c>
      <c r="E105" s="479">
        <f>+C105+D105</f>
        <v>0</v>
      </c>
      <c r="F105" s="480">
        <v>0</v>
      </c>
      <c r="G105" s="480">
        <v>0</v>
      </c>
      <c r="H105" s="479">
        <f>+E105-F105</f>
        <v>0</v>
      </c>
      <c r="I105" s="478">
        <v>0</v>
      </c>
      <c r="J105" s="477"/>
    </row>
    <row r="106" spans="1:10" x14ac:dyDescent="0.25">
      <c r="A106" s="497">
        <v>253</v>
      </c>
      <c r="B106" s="501" t="s">
        <v>606</v>
      </c>
      <c r="C106" s="479">
        <f>C107</f>
        <v>16997</v>
      </c>
      <c r="D106" s="479">
        <f>D107</f>
        <v>841</v>
      </c>
      <c r="E106" s="479">
        <f>+C106+D106</f>
        <v>17838</v>
      </c>
      <c r="F106" s="479">
        <v>17837.669999999998</v>
      </c>
      <c r="G106" s="479">
        <v>17837.669999999998</v>
      </c>
      <c r="H106" s="479">
        <f>+E106-F106</f>
        <v>0.33000000000174623</v>
      </c>
      <c r="I106" s="478">
        <f>+F106/E106</f>
        <v>0.99998150016818022</v>
      </c>
      <c r="J106" s="477"/>
    </row>
    <row r="107" spans="1:10" x14ac:dyDescent="0.25">
      <c r="A107" s="494">
        <v>25301</v>
      </c>
      <c r="B107" s="493" t="s">
        <v>606</v>
      </c>
      <c r="C107" s="480">
        <v>16997</v>
      </c>
      <c r="D107" s="480">
        <f>600+241</f>
        <v>841</v>
      </c>
      <c r="E107" s="480">
        <f>+C107+D107</f>
        <v>17838</v>
      </c>
      <c r="F107" s="480">
        <v>17837.669999999998</v>
      </c>
      <c r="G107" s="480">
        <v>17837.669999999998</v>
      </c>
      <c r="H107" s="479">
        <f>+E107-F107</f>
        <v>0.33000000000174623</v>
      </c>
      <c r="I107" s="478">
        <f>+F107/E107</f>
        <v>0.99998150016818022</v>
      </c>
      <c r="J107" s="477"/>
    </row>
    <row r="108" spans="1:10" hidden="1" x14ac:dyDescent="0.25">
      <c r="A108" s="497">
        <v>255</v>
      </c>
      <c r="B108" s="501" t="s">
        <v>605</v>
      </c>
      <c r="C108" s="479">
        <f>C109</f>
        <v>0</v>
      </c>
      <c r="D108" s="479">
        <v>0</v>
      </c>
      <c r="E108" s="479">
        <f>+C108+D108</f>
        <v>0</v>
      </c>
      <c r="F108" s="479">
        <v>0</v>
      </c>
      <c r="G108" s="479">
        <v>0</v>
      </c>
      <c r="H108" s="479">
        <f>+E108-F108</f>
        <v>0</v>
      </c>
      <c r="I108" s="478">
        <v>0</v>
      </c>
      <c r="J108" s="477"/>
    </row>
    <row r="109" spans="1:10" hidden="1" x14ac:dyDescent="0.25">
      <c r="A109" s="494">
        <v>25501</v>
      </c>
      <c r="B109" s="493" t="s">
        <v>605</v>
      </c>
      <c r="C109" s="480">
        <v>0</v>
      </c>
      <c r="D109" s="480">
        <v>0</v>
      </c>
      <c r="E109" s="479">
        <f>+C109+D109</f>
        <v>0</v>
      </c>
      <c r="F109" s="480">
        <v>0</v>
      </c>
      <c r="G109" s="480">
        <v>0</v>
      </c>
      <c r="H109" s="479">
        <f>+E109-F109</f>
        <v>0</v>
      </c>
      <c r="I109" s="478">
        <v>0</v>
      </c>
      <c r="J109" s="477"/>
    </row>
    <row r="110" spans="1:10" x14ac:dyDescent="0.25">
      <c r="A110" s="497">
        <v>259</v>
      </c>
      <c r="B110" s="501" t="s">
        <v>604</v>
      </c>
      <c r="C110" s="479">
        <f>C111</f>
        <v>7633863.7300000004</v>
      </c>
      <c r="D110" s="479">
        <f>D111</f>
        <v>-3505742.96</v>
      </c>
      <c r="E110" s="479">
        <f>+C110+D110</f>
        <v>4128120.7700000005</v>
      </c>
      <c r="F110" s="479">
        <v>1932958.1199999999</v>
      </c>
      <c r="G110" s="479">
        <v>-1180057.1599999999</v>
      </c>
      <c r="H110" s="479">
        <f>+E110-F110</f>
        <v>2195162.6500000004</v>
      </c>
      <c r="I110" s="478">
        <f>+F110/E110</f>
        <v>0.46824165950939456</v>
      </c>
      <c r="J110" s="477"/>
    </row>
    <row r="111" spans="1:10" x14ac:dyDescent="0.25">
      <c r="A111" s="494">
        <v>25901</v>
      </c>
      <c r="B111" s="493" t="s">
        <v>604</v>
      </c>
      <c r="C111" s="480">
        <v>7633863.7300000004</v>
      </c>
      <c r="D111" s="480">
        <f>-729958.96-353853-1422713-999218</f>
        <v>-3505742.96</v>
      </c>
      <c r="E111" s="480">
        <f>+C111+D111</f>
        <v>4128120.7700000005</v>
      </c>
      <c r="F111" s="480">
        <v>1932958.1199999999</v>
      </c>
      <c r="G111" s="480">
        <v>-1180057.1599999999</v>
      </c>
      <c r="H111" s="479">
        <f>+E111-F111</f>
        <v>2195162.6500000004</v>
      </c>
      <c r="I111" s="478">
        <f>+F111/E111</f>
        <v>0.46824165950939456</v>
      </c>
      <c r="J111" s="477"/>
    </row>
    <row r="112" spans="1:10" x14ac:dyDescent="0.25">
      <c r="A112" s="498">
        <v>2600</v>
      </c>
      <c r="B112" s="501" t="s">
        <v>603</v>
      </c>
      <c r="C112" s="479">
        <f>C113</f>
        <v>8047205.2999999998</v>
      </c>
      <c r="D112" s="479">
        <f>D113</f>
        <v>3776291</v>
      </c>
      <c r="E112" s="479">
        <f>+C112+D112</f>
        <v>11823496.300000001</v>
      </c>
      <c r="F112" s="479">
        <v>11779953.649999999</v>
      </c>
      <c r="G112" s="479">
        <v>10865844.65</v>
      </c>
      <c r="H112" s="479">
        <f>+E112-F112</f>
        <v>43542.650000002235</v>
      </c>
      <c r="I112" s="478">
        <f>+F112/E112</f>
        <v>0.99631727799500369</v>
      </c>
      <c r="J112" s="477"/>
    </row>
    <row r="113" spans="1:10" x14ac:dyDescent="0.25">
      <c r="A113" s="497">
        <v>261</v>
      </c>
      <c r="B113" s="501" t="s">
        <v>603</v>
      </c>
      <c r="C113" s="479">
        <f>C114+C115</f>
        <v>8047205.2999999998</v>
      </c>
      <c r="D113" s="479">
        <f>D114+D115</f>
        <v>3776291</v>
      </c>
      <c r="E113" s="479">
        <f>+C113+D113</f>
        <v>11823496.300000001</v>
      </c>
      <c r="F113" s="479">
        <v>11779953.649999999</v>
      </c>
      <c r="G113" s="479">
        <v>10865844.65</v>
      </c>
      <c r="H113" s="479">
        <f>+E113-F113</f>
        <v>43542.650000002235</v>
      </c>
      <c r="I113" s="478">
        <f>+F113/E113</f>
        <v>0.99631727799500369</v>
      </c>
      <c r="J113" s="477"/>
    </row>
    <row r="114" spans="1:10" x14ac:dyDescent="0.25">
      <c r="A114" s="494">
        <v>26101</v>
      </c>
      <c r="B114" s="493" t="s">
        <v>602</v>
      </c>
      <c r="C114" s="480">
        <v>7621694.0499999998</v>
      </c>
      <c r="D114" s="480">
        <f>618064+110278+353853+7322+1456+1422713+999218</f>
        <v>3512904</v>
      </c>
      <c r="E114" s="480">
        <f>+C114+D114</f>
        <v>11134598.050000001</v>
      </c>
      <c r="F114" s="480">
        <v>11134597.84</v>
      </c>
      <c r="G114" s="480">
        <v>10301790.879999999</v>
      </c>
      <c r="H114" s="479">
        <f>+E114-F114</f>
        <v>0.21000000089406967</v>
      </c>
      <c r="I114" s="478">
        <f>+F114/E114</f>
        <v>0.99999998113986688</v>
      </c>
      <c r="J114" s="477"/>
    </row>
    <row r="115" spans="1:10" x14ac:dyDescent="0.25">
      <c r="A115" s="494">
        <v>26102</v>
      </c>
      <c r="B115" s="493" t="s">
        <v>601</v>
      </c>
      <c r="C115" s="480">
        <v>425511.25</v>
      </c>
      <c r="D115" s="480">
        <v>263387</v>
      </c>
      <c r="E115" s="480">
        <f>+C115+D115</f>
        <v>688898.25</v>
      </c>
      <c r="F115" s="480">
        <v>645355.80999999994</v>
      </c>
      <c r="G115" s="480">
        <v>564053.77</v>
      </c>
      <c r="H115" s="479">
        <f>+E115-F115</f>
        <v>43542.440000000061</v>
      </c>
      <c r="I115" s="478">
        <f>+F115/E115</f>
        <v>0.93679409114480972</v>
      </c>
      <c r="J115" s="477"/>
    </row>
    <row r="116" spans="1:10" ht="22.5" x14ac:dyDescent="0.25">
      <c r="A116" s="498">
        <v>2700</v>
      </c>
      <c r="B116" s="501" t="s">
        <v>600</v>
      </c>
      <c r="C116" s="479">
        <f>C117+C119</f>
        <v>2071526.8</v>
      </c>
      <c r="D116" s="479">
        <f>D117+D119</f>
        <v>-49748</v>
      </c>
      <c r="E116" s="479">
        <f>+C116+D116</f>
        <v>2021778.8</v>
      </c>
      <c r="F116" s="479">
        <v>1297866.3500000001</v>
      </c>
      <c r="G116" s="479">
        <v>1071571.6199999999</v>
      </c>
      <c r="H116" s="479">
        <f>+E116-F116</f>
        <v>723912.45</v>
      </c>
      <c r="I116" s="478">
        <f>+F116/E116</f>
        <v>0.64194280304057005</v>
      </c>
      <c r="J116" s="477"/>
    </row>
    <row r="117" spans="1:10" x14ac:dyDescent="0.25">
      <c r="A117" s="497">
        <v>271</v>
      </c>
      <c r="B117" s="501" t="s">
        <v>599</v>
      </c>
      <c r="C117" s="479">
        <f>C118</f>
        <v>1878855</v>
      </c>
      <c r="D117" s="479">
        <f>D118</f>
        <v>-36335</v>
      </c>
      <c r="E117" s="479">
        <f>+C117+D117</f>
        <v>1842520</v>
      </c>
      <c r="F117" s="479">
        <v>1220511.2899999998</v>
      </c>
      <c r="G117" s="479">
        <v>1000600.1599999999</v>
      </c>
      <c r="H117" s="479">
        <f>+E117-F117</f>
        <v>622008.7100000002</v>
      </c>
      <c r="I117" s="478">
        <f>+F117/E117</f>
        <v>0.66241413390356674</v>
      </c>
      <c r="J117" s="477"/>
    </row>
    <row r="118" spans="1:10" x14ac:dyDescent="0.25">
      <c r="A118" s="494">
        <v>27101</v>
      </c>
      <c r="B118" s="493" t="s">
        <v>599</v>
      </c>
      <c r="C118" s="480">
        <v>1878855</v>
      </c>
      <c r="D118" s="480">
        <f>-29013-7322</f>
        <v>-36335</v>
      </c>
      <c r="E118" s="480">
        <f>+C118+D118</f>
        <v>1842520</v>
      </c>
      <c r="F118" s="480">
        <v>1220511.2899999998</v>
      </c>
      <c r="G118" s="480">
        <v>1000600.1599999999</v>
      </c>
      <c r="H118" s="479">
        <f>+E118-F118</f>
        <v>622008.7100000002</v>
      </c>
      <c r="I118" s="478">
        <f>+F118/E118</f>
        <v>0.66241413390356674</v>
      </c>
      <c r="J118" s="477"/>
    </row>
    <row r="119" spans="1:10" x14ac:dyDescent="0.25">
      <c r="A119" s="497">
        <v>272</v>
      </c>
      <c r="B119" s="501" t="s">
        <v>598</v>
      </c>
      <c r="C119" s="479">
        <f>C120</f>
        <v>192671.8</v>
      </c>
      <c r="D119" s="479">
        <f>D120</f>
        <v>-13413</v>
      </c>
      <c r="E119" s="479">
        <f>+C119+D119</f>
        <v>179258.8</v>
      </c>
      <c r="F119" s="479">
        <v>77355.06</v>
      </c>
      <c r="G119" s="479">
        <v>70971.459999999992</v>
      </c>
      <c r="H119" s="479">
        <f>+E119-F119</f>
        <v>101903.73999999999</v>
      </c>
      <c r="I119" s="478">
        <f>+F119/E119</f>
        <v>0.43152726672274949</v>
      </c>
      <c r="J119" s="477"/>
    </row>
    <row r="120" spans="1:10" x14ac:dyDescent="0.25">
      <c r="A120" s="494">
        <v>27201</v>
      </c>
      <c r="B120" s="493" t="s">
        <v>598</v>
      </c>
      <c r="C120" s="480">
        <v>192671.8</v>
      </c>
      <c r="D120" s="480">
        <v>-13413</v>
      </c>
      <c r="E120" s="480">
        <f>+C120+D120</f>
        <v>179258.8</v>
      </c>
      <c r="F120" s="480">
        <v>77355.06</v>
      </c>
      <c r="G120" s="480">
        <v>70971.459999999992</v>
      </c>
      <c r="H120" s="479">
        <f>+E120-F120</f>
        <v>101903.73999999999</v>
      </c>
      <c r="I120" s="478">
        <f>+F120/E120</f>
        <v>0.43152726672274949</v>
      </c>
      <c r="J120" s="477"/>
    </row>
    <row r="121" spans="1:10" x14ac:dyDescent="0.25">
      <c r="A121" s="498">
        <v>2900</v>
      </c>
      <c r="B121" s="501" t="s">
        <v>597</v>
      </c>
      <c r="C121" s="479">
        <f>C122+C124+C126+C128+C130+C132</f>
        <v>2396412.44</v>
      </c>
      <c r="D121" s="479">
        <f>D122+D124+D126+D128+D130+D132</f>
        <v>991103.19</v>
      </c>
      <c r="E121" s="479">
        <f>+C121+D121</f>
        <v>3387515.63</v>
      </c>
      <c r="F121" s="479">
        <v>3068121.84</v>
      </c>
      <c r="G121" s="479">
        <v>2910417.7700000005</v>
      </c>
      <c r="H121" s="479">
        <f>+E121-F121</f>
        <v>319393.79000000004</v>
      </c>
      <c r="I121" s="478">
        <f>+F121/E121</f>
        <v>0.90571444536773993</v>
      </c>
      <c r="J121" s="477"/>
    </row>
    <row r="122" spans="1:10" x14ac:dyDescent="0.25">
      <c r="A122" s="497">
        <v>291</v>
      </c>
      <c r="B122" s="501" t="s">
        <v>596</v>
      </c>
      <c r="C122" s="479">
        <f>C123</f>
        <v>257444</v>
      </c>
      <c r="D122" s="479">
        <f>D123</f>
        <v>-109395</v>
      </c>
      <c r="E122" s="479">
        <f>+C122+D122</f>
        <v>148049</v>
      </c>
      <c r="F122" s="479">
        <v>122137.8</v>
      </c>
      <c r="G122" s="479">
        <v>113667.70999999999</v>
      </c>
      <c r="H122" s="479">
        <f>+E122-F122</f>
        <v>25911.199999999997</v>
      </c>
      <c r="I122" s="478">
        <f>+F122/E122</f>
        <v>0.82498226938378516</v>
      </c>
      <c r="J122" s="477"/>
    </row>
    <row r="123" spans="1:10" x14ac:dyDescent="0.25">
      <c r="A123" s="494">
        <v>29101</v>
      </c>
      <c r="B123" s="493" t="s">
        <v>596</v>
      </c>
      <c r="C123" s="480">
        <v>257444</v>
      </c>
      <c r="D123" s="480">
        <v>-109395</v>
      </c>
      <c r="E123" s="480">
        <f>+C123+D123</f>
        <v>148049</v>
      </c>
      <c r="F123" s="480">
        <v>122137.8</v>
      </c>
      <c r="G123" s="480">
        <v>113667.70999999999</v>
      </c>
      <c r="H123" s="479">
        <f>+E123-F123</f>
        <v>25911.199999999997</v>
      </c>
      <c r="I123" s="478">
        <f>+F123/E123</f>
        <v>0.82498226938378516</v>
      </c>
      <c r="J123" s="477"/>
    </row>
    <row r="124" spans="1:10" x14ac:dyDescent="0.25">
      <c r="A124" s="497">
        <v>292</v>
      </c>
      <c r="B124" s="501" t="s">
        <v>595</v>
      </c>
      <c r="C124" s="479">
        <f>C125</f>
        <v>60265</v>
      </c>
      <c r="D124" s="479">
        <f>D125</f>
        <v>-19978</v>
      </c>
      <c r="E124" s="479">
        <f>+C124+D124</f>
        <v>40287</v>
      </c>
      <c r="F124" s="479">
        <v>39759.760000000002</v>
      </c>
      <c r="G124" s="479">
        <v>39759.760000000002</v>
      </c>
      <c r="H124" s="479">
        <f>+E124-F124</f>
        <v>527.23999999999796</v>
      </c>
      <c r="I124" s="478">
        <f>+F124/E124</f>
        <v>0.98691289994290965</v>
      </c>
      <c r="J124" s="477"/>
    </row>
    <row r="125" spans="1:10" x14ac:dyDescent="0.25">
      <c r="A125" s="494">
        <v>29201</v>
      </c>
      <c r="B125" s="493" t="s">
        <v>595</v>
      </c>
      <c r="C125" s="480">
        <v>60265</v>
      </c>
      <c r="D125" s="480">
        <v>-19978</v>
      </c>
      <c r="E125" s="480">
        <f>+C125+D125</f>
        <v>40287</v>
      </c>
      <c r="F125" s="480">
        <v>39759.760000000002</v>
      </c>
      <c r="G125" s="480">
        <v>39759.760000000002</v>
      </c>
      <c r="H125" s="479">
        <f>+E125-F125</f>
        <v>527.23999999999796</v>
      </c>
      <c r="I125" s="478">
        <f>+F125/E125</f>
        <v>0.98691289994290965</v>
      </c>
      <c r="J125" s="477"/>
    </row>
    <row r="126" spans="1:10" ht="22.5" x14ac:dyDescent="0.25">
      <c r="A126" s="497">
        <v>293</v>
      </c>
      <c r="B126" s="501" t="s">
        <v>594</v>
      </c>
      <c r="C126" s="479">
        <f>C127</f>
        <v>1062</v>
      </c>
      <c r="D126" s="479">
        <f>D127</f>
        <v>16187</v>
      </c>
      <c r="E126" s="479">
        <f>+C126+D126</f>
        <v>17249</v>
      </c>
      <c r="F126" s="479">
        <v>17240.36</v>
      </c>
      <c r="G126" s="479">
        <v>17240.36</v>
      </c>
      <c r="H126" s="479">
        <f>+E126-F126</f>
        <v>8.6399999999994179</v>
      </c>
      <c r="I126" s="478">
        <f>+F126/E126</f>
        <v>0.99949910139718245</v>
      </c>
      <c r="J126" s="477"/>
    </row>
    <row r="127" spans="1:10" ht="22.5" x14ac:dyDescent="0.25">
      <c r="A127" s="494">
        <v>29301</v>
      </c>
      <c r="B127" s="493" t="s">
        <v>593</v>
      </c>
      <c r="C127" s="480">
        <v>1062</v>
      </c>
      <c r="D127" s="480">
        <v>16187</v>
      </c>
      <c r="E127" s="480">
        <f>+C127+D127</f>
        <v>17249</v>
      </c>
      <c r="F127" s="480">
        <v>17240.36</v>
      </c>
      <c r="G127" s="480">
        <v>17240.36</v>
      </c>
      <c r="H127" s="479">
        <f>+E127-F127</f>
        <v>8.6399999999994179</v>
      </c>
      <c r="I127" s="478">
        <f>+F127/E127</f>
        <v>0.99949910139718245</v>
      </c>
      <c r="J127" s="477"/>
    </row>
    <row r="128" spans="1:10" ht="22.5" x14ac:dyDescent="0.25">
      <c r="A128" s="497">
        <v>294</v>
      </c>
      <c r="B128" s="501" t="s">
        <v>592</v>
      </c>
      <c r="C128" s="479">
        <f>C129</f>
        <v>72576.709999999992</v>
      </c>
      <c r="D128" s="479">
        <f>D129</f>
        <v>-3574</v>
      </c>
      <c r="E128" s="479">
        <f>+C128+D128</f>
        <v>69002.709999999992</v>
      </c>
      <c r="F128" s="479">
        <v>28757.26</v>
      </c>
      <c r="G128" s="479">
        <v>28757.26</v>
      </c>
      <c r="H128" s="479">
        <f>+E128-F128</f>
        <v>40245.449999999997</v>
      </c>
      <c r="I128" s="478">
        <f>+F128/E128</f>
        <v>0.41675551583408826</v>
      </c>
      <c r="J128" s="477"/>
    </row>
    <row r="129" spans="1:10" ht="22.5" x14ac:dyDescent="0.25">
      <c r="A129" s="494">
        <v>29401</v>
      </c>
      <c r="B129" s="493" t="s">
        <v>592</v>
      </c>
      <c r="C129" s="480">
        <v>72576.709999999992</v>
      </c>
      <c r="D129" s="480">
        <v>-3574</v>
      </c>
      <c r="E129" s="480">
        <f>+C129+D129</f>
        <v>69002.709999999992</v>
      </c>
      <c r="F129" s="480">
        <v>28757.26</v>
      </c>
      <c r="G129" s="480">
        <v>28757.26</v>
      </c>
      <c r="H129" s="479">
        <f>+E129-F129</f>
        <v>40245.449999999997</v>
      </c>
      <c r="I129" s="478">
        <f>+F129/E129</f>
        <v>0.41675551583408826</v>
      </c>
      <c r="J129" s="477"/>
    </row>
    <row r="130" spans="1:10" ht="22.5" x14ac:dyDescent="0.25">
      <c r="A130" s="497">
        <v>296</v>
      </c>
      <c r="B130" s="501" t="s">
        <v>591</v>
      </c>
      <c r="C130" s="479">
        <f>C131</f>
        <v>1226482</v>
      </c>
      <c r="D130" s="479">
        <f>D131</f>
        <v>432810</v>
      </c>
      <c r="E130" s="479">
        <f>+C130+D130</f>
        <v>1659292</v>
      </c>
      <c r="F130" s="479">
        <v>1583307.4300000002</v>
      </c>
      <c r="G130" s="479">
        <v>1467207.2200000002</v>
      </c>
      <c r="H130" s="479">
        <f>+E130-F130</f>
        <v>75984.569999999832</v>
      </c>
      <c r="I130" s="478">
        <f>+F130/E130</f>
        <v>0.95420663150307494</v>
      </c>
      <c r="J130" s="477"/>
    </row>
    <row r="131" spans="1:10" x14ac:dyDescent="0.25">
      <c r="A131" s="494">
        <v>29601</v>
      </c>
      <c r="B131" s="493" t="s">
        <v>591</v>
      </c>
      <c r="C131" s="480">
        <v>1226482</v>
      </c>
      <c r="D131" s="480">
        <f>326405+106405</f>
        <v>432810</v>
      </c>
      <c r="E131" s="480">
        <f>+C131+D131</f>
        <v>1659292</v>
      </c>
      <c r="F131" s="480">
        <v>1583307.4300000002</v>
      </c>
      <c r="G131" s="480">
        <v>1467207.2200000002</v>
      </c>
      <c r="H131" s="479">
        <f>+E131-F131</f>
        <v>75984.569999999832</v>
      </c>
      <c r="I131" s="478">
        <f>+F131/E131</f>
        <v>0.95420663150307494</v>
      </c>
      <c r="J131" s="477"/>
    </row>
    <row r="132" spans="1:10" ht="22.5" x14ac:dyDescent="0.25">
      <c r="A132" s="497">
        <v>298</v>
      </c>
      <c r="B132" s="501" t="s">
        <v>590</v>
      </c>
      <c r="C132" s="479">
        <f>C133</f>
        <v>778582.7300000001</v>
      </c>
      <c r="D132" s="479">
        <f>D133</f>
        <v>675053.19</v>
      </c>
      <c r="E132" s="479">
        <f>+C132+D132</f>
        <v>1453635.92</v>
      </c>
      <c r="F132" s="479">
        <v>1276919.23</v>
      </c>
      <c r="G132" s="479">
        <v>1243785.46</v>
      </c>
      <c r="H132" s="479">
        <f>+E132-F132</f>
        <v>176716.68999999994</v>
      </c>
      <c r="I132" s="478">
        <f>+F132/E132</f>
        <v>0.87843125808283551</v>
      </c>
      <c r="J132" s="477"/>
    </row>
    <row r="133" spans="1:10" ht="22.5" x14ac:dyDescent="0.25">
      <c r="A133" s="494">
        <v>29801</v>
      </c>
      <c r="B133" s="493" t="s">
        <v>590</v>
      </c>
      <c r="C133" s="480">
        <v>778582.7300000001</v>
      </c>
      <c r="D133" s="480">
        <f>951069.19-59332-110278-106406</f>
        <v>675053.19</v>
      </c>
      <c r="E133" s="480">
        <f>+C133+D133</f>
        <v>1453635.92</v>
      </c>
      <c r="F133" s="480">
        <v>1276919.23</v>
      </c>
      <c r="G133" s="480">
        <v>1243785.46</v>
      </c>
      <c r="H133" s="479">
        <f>+E133-F133</f>
        <v>176716.68999999994</v>
      </c>
      <c r="I133" s="478">
        <f>+F133/E133</f>
        <v>0.87843125808283551</v>
      </c>
      <c r="J133" s="477"/>
    </row>
    <row r="134" spans="1:10" x14ac:dyDescent="0.25">
      <c r="A134" s="494"/>
      <c r="B134" s="493"/>
      <c r="C134" s="480">
        <v>0</v>
      </c>
      <c r="D134" s="480">
        <v>0</v>
      </c>
      <c r="E134" s="479">
        <f>+C134+D134</f>
        <v>0</v>
      </c>
      <c r="F134" s="480"/>
      <c r="G134" s="480"/>
      <c r="H134" s="479">
        <f>+E134-F134</f>
        <v>0</v>
      </c>
      <c r="I134" s="478"/>
      <c r="J134" s="477"/>
    </row>
    <row r="135" spans="1:10" x14ac:dyDescent="0.25">
      <c r="A135" s="490">
        <v>3000</v>
      </c>
      <c r="B135" s="501" t="s">
        <v>589</v>
      </c>
      <c r="C135" s="479">
        <f>C136+C153+C167+C186+C195+C212+C221+C236+C245</f>
        <v>144642119.81999999</v>
      </c>
      <c r="D135" s="479">
        <f>D136+D153+D167+D186+D195+D212+D221+D236+D245</f>
        <v>53059695.640000001</v>
      </c>
      <c r="E135" s="479">
        <f>+C135+D135</f>
        <v>197701815.45999998</v>
      </c>
      <c r="F135" s="479">
        <v>166182321.36000001</v>
      </c>
      <c r="G135" s="479">
        <v>138927620.18000001</v>
      </c>
      <c r="H135" s="479">
        <f>+E135-F135</f>
        <v>31519494.099999964</v>
      </c>
      <c r="I135" s="478">
        <f>+F135/E135</f>
        <v>0.84057053787461478</v>
      </c>
      <c r="J135" s="477"/>
    </row>
    <row r="136" spans="1:10" x14ac:dyDescent="0.25">
      <c r="A136" s="498">
        <v>3100</v>
      </c>
      <c r="B136" s="501" t="s">
        <v>588</v>
      </c>
      <c r="C136" s="479">
        <f>C137+C139+C141+C143+C145+C149+C151</f>
        <v>84741042.400000006</v>
      </c>
      <c r="D136" s="479">
        <f>D137+D139+D141+D143+D145+D149+D151</f>
        <v>13678950.82</v>
      </c>
      <c r="E136" s="479">
        <f>+C136+D136</f>
        <v>98419993.219999999</v>
      </c>
      <c r="F136" s="479">
        <v>95807313.75</v>
      </c>
      <c r="G136" s="479">
        <v>91367720.140000001</v>
      </c>
      <c r="H136" s="479">
        <f>+E136-F136</f>
        <v>2612679.4699999988</v>
      </c>
      <c r="I136" s="478">
        <f>+F136/E136</f>
        <v>0.97345377311538894</v>
      </c>
      <c r="J136" s="477"/>
    </row>
    <row r="137" spans="1:10" x14ac:dyDescent="0.25">
      <c r="A137" s="497">
        <v>311</v>
      </c>
      <c r="B137" s="501" t="s">
        <v>587</v>
      </c>
      <c r="C137" s="479">
        <f>C138</f>
        <v>83995501.400000006</v>
      </c>
      <c r="D137" s="479">
        <f>D138</f>
        <v>13650176.82</v>
      </c>
      <c r="E137" s="479">
        <f>+C137+D137</f>
        <v>97645678.219999999</v>
      </c>
      <c r="F137" s="479">
        <v>95105004.669999987</v>
      </c>
      <c r="G137" s="479">
        <v>90716395.099999994</v>
      </c>
      <c r="H137" s="479">
        <f>+E137-F137</f>
        <v>2540673.5500000119</v>
      </c>
      <c r="I137" s="478">
        <f>+F137/E137</f>
        <v>0.97398068612646882</v>
      </c>
      <c r="J137" s="477"/>
    </row>
    <row r="138" spans="1:10" x14ac:dyDescent="0.25">
      <c r="A138" s="494">
        <v>31101</v>
      </c>
      <c r="B138" s="493" t="s">
        <v>587</v>
      </c>
      <c r="C138" s="480">
        <v>83995501.400000006</v>
      </c>
      <c r="D138" s="480">
        <f>10107360.82+3542816</f>
        <v>13650176.82</v>
      </c>
      <c r="E138" s="479">
        <f>+C138+D138</f>
        <v>97645678.219999999</v>
      </c>
      <c r="F138" s="480">
        <v>95105004.669999987</v>
      </c>
      <c r="G138" s="480">
        <v>90716395.099999994</v>
      </c>
      <c r="H138" s="479">
        <f>+E138-F138</f>
        <v>2540673.5500000119</v>
      </c>
      <c r="I138" s="478">
        <f>+F138/E138</f>
        <v>0.97398068612646882</v>
      </c>
      <c r="J138" s="477"/>
    </row>
    <row r="139" spans="1:10" x14ac:dyDescent="0.25">
      <c r="A139" s="497">
        <v>312</v>
      </c>
      <c r="B139" s="501" t="s">
        <v>586</v>
      </c>
      <c r="C139" s="479">
        <f>C140</f>
        <v>4500</v>
      </c>
      <c r="D139" s="479">
        <f>D140</f>
        <v>0</v>
      </c>
      <c r="E139" s="479">
        <f>+C139+D139</f>
        <v>4500</v>
      </c>
      <c r="F139" s="479">
        <v>1000.37</v>
      </c>
      <c r="G139" s="479">
        <v>1000.37</v>
      </c>
      <c r="H139" s="479">
        <f>+E139-F139</f>
        <v>3499.63</v>
      </c>
      <c r="I139" s="478">
        <f>+F139/E139</f>
        <v>0.22230444444444444</v>
      </c>
      <c r="J139" s="477"/>
    </row>
    <row r="140" spans="1:10" x14ac:dyDescent="0.25">
      <c r="A140" s="494">
        <v>31201</v>
      </c>
      <c r="B140" s="493" t="s">
        <v>586</v>
      </c>
      <c r="C140" s="480">
        <v>4500</v>
      </c>
      <c r="D140" s="480">
        <v>0</v>
      </c>
      <c r="E140" s="479">
        <f>+C140+D140</f>
        <v>4500</v>
      </c>
      <c r="F140" s="480">
        <v>1000.37</v>
      </c>
      <c r="G140" s="480">
        <v>1000.37</v>
      </c>
      <c r="H140" s="479">
        <f>+E140-F140</f>
        <v>3499.63</v>
      </c>
      <c r="I140" s="478">
        <f>+F140/E140</f>
        <v>0.22230444444444444</v>
      </c>
      <c r="J140" s="477"/>
    </row>
    <row r="141" spans="1:10" x14ac:dyDescent="0.25">
      <c r="A141" s="497">
        <v>313</v>
      </c>
      <c r="B141" s="501" t="s">
        <v>585</v>
      </c>
      <c r="C141" s="479">
        <f>C142</f>
        <v>49495.4</v>
      </c>
      <c r="D141" s="479">
        <f>D142</f>
        <v>-280</v>
      </c>
      <c r="E141" s="479">
        <f>+C141+D141</f>
        <v>49215.4</v>
      </c>
      <c r="F141" s="479">
        <v>44834.81</v>
      </c>
      <c r="G141" s="479">
        <v>44834.81</v>
      </c>
      <c r="H141" s="479">
        <f>+E141-F141</f>
        <v>4380.5900000000038</v>
      </c>
      <c r="I141" s="478">
        <f>+F141/E141</f>
        <v>0.91099147827712457</v>
      </c>
      <c r="J141" s="477"/>
    </row>
    <row r="142" spans="1:10" x14ac:dyDescent="0.25">
      <c r="A142" s="494">
        <v>31301</v>
      </c>
      <c r="B142" s="493" t="s">
        <v>584</v>
      </c>
      <c r="C142" s="480">
        <v>49495.4</v>
      </c>
      <c r="D142" s="480">
        <v>-280</v>
      </c>
      <c r="E142" s="479">
        <f>+C142+D142</f>
        <v>49215.4</v>
      </c>
      <c r="F142" s="480">
        <v>44834.81</v>
      </c>
      <c r="G142" s="480">
        <v>44834.81</v>
      </c>
      <c r="H142" s="479">
        <f>+E142-F142</f>
        <v>4380.5900000000038</v>
      </c>
      <c r="I142" s="478">
        <f>+F142/E142</f>
        <v>0.91099147827712457</v>
      </c>
      <c r="J142" s="477"/>
    </row>
    <row r="143" spans="1:10" x14ac:dyDescent="0.25">
      <c r="A143" s="497">
        <v>314</v>
      </c>
      <c r="B143" s="501" t="s">
        <v>583</v>
      </c>
      <c r="C143" s="479">
        <f>C144</f>
        <v>425058.99</v>
      </c>
      <c r="D143" s="479">
        <f>D144</f>
        <v>11433</v>
      </c>
      <c r="E143" s="479">
        <f>+C143+D143</f>
        <v>436491.99</v>
      </c>
      <c r="F143" s="479">
        <v>430272.37</v>
      </c>
      <c r="G143" s="479">
        <v>388218.01</v>
      </c>
      <c r="H143" s="479">
        <f>+E143-F143</f>
        <v>6219.6199999999953</v>
      </c>
      <c r="I143" s="478">
        <f>+F143/E143</f>
        <v>0.98575089545171268</v>
      </c>
      <c r="J143" s="477"/>
    </row>
    <row r="144" spans="1:10" x14ac:dyDescent="0.25">
      <c r="A144" s="494">
        <v>31401</v>
      </c>
      <c r="B144" s="493" t="s">
        <v>583</v>
      </c>
      <c r="C144" s="480">
        <v>425058.99</v>
      </c>
      <c r="D144" s="480">
        <f>-3864+15297</f>
        <v>11433</v>
      </c>
      <c r="E144" s="479">
        <f>+C144+D144</f>
        <v>436491.99</v>
      </c>
      <c r="F144" s="480">
        <v>430272.37</v>
      </c>
      <c r="G144" s="480">
        <v>388218.01</v>
      </c>
      <c r="H144" s="479">
        <f>+E144-F144</f>
        <v>6219.6199999999953</v>
      </c>
      <c r="I144" s="478">
        <f>+F144/E144</f>
        <v>0.98575089545171268</v>
      </c>
      <c r="J144" s="477"/>
    </row>
    <row r="145" spans="1:10" x14ac:dyDescent="0.25">
      <c r="A145" s="497">
        <v>315</v>
      </c>
      <c r="B145" s="501" t="s">
        <v>582</v>
      </c>
      <c r="C145" s="479">
        <f>C146</f>
        <v>2555.6999999999998</v>
      </c>
      <c r="D145" s="479">
        <f>D146</f>
        <v>4306</v>
      </c>
      <c r="E145" s="479">
        <f>+C145+D145</f>
        <v>6861.7</v>
      </c>
      <c r="F145" s="479">
        <v>6861.56</v>
      </c>
      <c r="G145" s="479">
        <v>6861.56</v>
      </c>
      <c r="H145" s="479">
        <f>+E145-F145</f>
        <v>0.13999999999941792</v>
      </c>
      <c r="I145" s="478">
        <f>+F145/E145</f>
        <v>0.99997959689289839</v>
      </c>
      <c r="J145" s="477"/>
    </row>
    <row r="146" spans="1:10" x14ac:dyDescent="0.25">
      <c r="A146" s="494">
        <v>31501</v>
      </c>
      <c r="B146" s="493" t="s">
        <v>582</v>
      </c>
      <c r="C146" s="480">
        <v>2555.6999999999998</v>
      </c>
      <c r="D146" s="480">
        <f>4152+154</f>
        <v>4306</v>
      </c>
      <c r="E146" s="479">
        <f>+C146+D146</f>
        <v>6861.7</v>
      </c>
      <c r="F146" s="480">
        <v>6861.56</v>
      </c>
      <c r="G146" s="480">
        <v>6861.56</v>
      </c>
      <c r="H146" s="479">
        <f>+E146-F146</f>
        <v>0.13999999999941792</v>
      </c>
      <c r="I146" s="478">
        <f>+F146/E146</f>
        <v>0.99997959689289839</v>
      </c>
      <c r="J146" s="477"/>
    </row>
    <row r="147" spans="1:10" hidden="1" x14ac:dyDescent="0.25">
      <c r="A147" s="497">
        <v>316</v>
      </c>
      <c r="B147" s="501" t="s">
        <v>581</v>
      </c>
      <c r="C147" s="479">
        <v>0</v>
      </c>
      <c r="D147" s="479">
        <v>0</v>
      </c>
      <c r="E147" s="479">
        <f>+C147+D147</f>
        <v>0</v>
      </c>
      <c r="F147" s="479">
        <v>0</v>
      </c>
      <c r="G147" s="479">
        <v>0</v>
      </c>
      <c r="H147" s="479">
        <f>+E147-F147</f>
        <v>0</v>
      </c>
      <c r="I147" s="478"/>
      <c r="J147" s="477"/>
    </row>
    <row r="148" spans="1:10" hidden="1" x14ac:dyDescent="0.25">
      <c r="A148" s="494">
        <v>31601</v>
      </c>
      <c r="B148" s="493" t="s">
        <v>581</v>
      </c>
      <c r="C148" s="480">
        <v>0</v>
      </c>
      <c r="D148" s="480">
        <v>0</v>
      </c>
      <c r="E148" s="479">
        <f>+C148+D148</f>
        <v>0</v>
      </c>
      <c r="F148" s="480">
        <v>0</v>
      </c>
      <c r="G148" s="480">
        <v>0</v>
      </c>
      <c r="H148" s="479">
        <f>+E148-F148</f>
        <v>0</v>
      </c>
      <c r="I148" s="478"/>
      <c r="J148" s="477"/>
    </row>
    <row r="149" spans="1:10" ht="22.5" x14ac:dyDescent="0.25">
      <c r="A149" s="497">
        <v>317</v>
      </c>
      <c r="B149" s="501" t="s">
        <v>580</v>
      </c>
      <c r="C149" s="479">
        <f>C150</f>
        <v>237386.2</v>
      </c>
      <c r="D149" s="479">
        <f>D150</f>
        <v>15934</v>
      </c>
      <c r="E149" s="479">
        <f>+C149+D149</f>
        <v>253320.2</v>
      </c>
      <c r="F149" s="479">
        <v>199766.95</v>
      </c>
      <c r="G149" s="479">
        <v>190837.27000000002</v>
      </c>
      <c r="H149" s="479">
        <f>+E149-F149</f>
        <v>53553.25</v>
      </c>
      <c r="I149" s="478">
        <f>+F149/E149</f>
        <v>0.78859463240594319</v>
      </c>
      <c r="J149" s="477"/>
    </row>
    <row r="150" spans="1:10" ht="22.5" x14ac:dyDescent="0.25">
      <c r="A150" s="494">
        <v>31701</v>
      </c>
      <c r="B150" s="493" t="s">
        <v>580</v>
      </c>
      <c r="C150" s="480">
        <v>237386.2</v>
      </c>
      <c r="D150" s="480">
        <v>15934</v>
      </c>
      <c r="E150" s="479">
        <f>+C150+D150</f>
        <v>253320.2</v>
      </c>
      <c r="F150" s="480">
        <v>199766.95</v>
      </c>
      <c r="G150" s="480">
        <v>190837.27000000002</v>
      </c>
      <c r="H150" s="479">
        <f>+E150-F150</f>
        <v>53553.25</v>
      </c>
      <c r="I150" s="478">
        <f>+F150/E150</f>
        <v>0.78859463240594319</v>
      </c>
      <c r="J150" s="477"/>
    </row>
    <row r="151" spans="1:10" x14ac:dyDescent="0.25">
      <c r="A151" s="497">
        <v>318</v>
      </c>
      <c r="B151" s="501" t="s">
        <v>579</v>
      </c>
      <c r="C151" s="479">
        <f>C152</f>
        <v>26544.710000000003</v>
      </c>
      <c r="D151" s="479">
        <f>D152</f>
        <v>-2619</v>
      </c>
      <c r="E151" s="479">
        <f>+C151+D151</f>
        <v>23925.710000000003</v>
      </c>
      <c r="F151" s="479">
        <v>19573.02</v>
      </c>
      <c r="G151" s="479">
        <v>19573.02</v>
      </c>
      <c r="H151" s="479">
        <f>+E151-F151</f>
        <v>4352.6900000000023</v>
      </c>
      <c r="I151" s="478">
        <f>+F151/E151</f>
        <v>0.81807478231575981</v>
      </c>
      <c r="J151" s="477"/>
    </row>
    <row r="152" spans="1:10" x14ac:dyDescent="0.25">
      <c r="A152" s="494">
        <v>31801</v>
      </c>
      <c r="B152" s="493" t="s">
        <v>578</v>
      </c>
      <c r="C152" s="480">
        <v>26544.710000000003</v>
      </c>
      <c r="D152" s="480">
        <v>-2619</v>
      </c>
      <c r="E152" s="479">
        <f>+C152+D152</f>
        <v>23925.710000000003</v>
      </c>
      <c r="F152" s="480">
        <v>19573.02</v>
      </c>
      <c r="G152" s="480">
        <v>19573.02</v>
      </c>
      <c r="H152" s="479">
        <f>+E152-F152</f>
        <v>4352.6900000000023</v>
      </c>
      <c r="I152" s="478">
        <f>+F152/E152</f>
        <v>0.81807478231575981</v>
      </c>
      <c r="J152" s="477"/>
    </row>
    <row r="153" spans="1:10" x14ac:dyDescent="0.25">
      <c r="A153" s="498">
        <v>3200</v>
      </c>
      <c r="B153" s="501" t="s">
        <v>577</v>
      </c>
      <c r="C153" s="479">
        <f>C154+C156+C158+C161+C163+C165</f>
        <v>5447594.5</v>
      </c>
      <c r="D153" s="479">
        <f>D154+D156+D158+D161+D163+D165</f>
        <v>721981</v>
      </c>
      <c r="E153" s="479">
        <f>+C153+D153</f>
        <v>6169575.5</v>
      </c>
      <c r="F153" s="479">
        <v>5493910.5999999996</v>
      </c>
      <c r="G153" s="479">
        <v>4779168.63</v>
      </c>
      <c r="H153" s="479">
        <f>+E153-F153</f>
        <v>675664.90000000037</v>
      </c>
      <c r="I153" s="478">
        <f>+F153/E153</f>
        <v>0.89048437773392997</v>
      </c>
      <c r="J153" s="477"/>
    </row>
    <row r="154" spans="1:10" x14ac:dyDescent="0.25">
      <c r="A154" s="497">
        <v>321</v>
      </c>
      <c r="B154" s="501" t="s">
        <v>576</v>
      </c>
      <c r="C154" s="479">
        <f>C155</f>
        <v>657700.85</v>
      </c>
      <c r="D154" s="479">
        <f>D155</f>
        <v>0</v>
      </c>
      <c r="E154" s="479">
        <f>+C154+D154</f>
        <v>657700.85</v>
      </c>
      <c r="F154" s="479">
        <v>593297.52</v>
      </c>
      <c r="G154" s="479">
        <v>981049.81</v>
      </c>
      <c r="H154" s="479">
        <f>+E154-F154</f>
        <v>64403.329999999958</v>
      </c>
      <c r="I154" s="478">
        <f>+F154/E154</f>
        <v>0.90207808002680856</v>
      </c>
      <c r="J154" s="477"/>
    </row>
    <row r="155" spans="1:10" x14ac:dyDescent="0.25">
      <c r="A155" s="494">
        <v>32101</v>
      </c>
      <c r="B155" s="493" t="s">
        <v>576</v>
      </c>
      <c r="C155" s="480">
        <v>657700.85</v>
      </c>
      <c r="D155" s="480">
        <v>0</v>
      </c>
      <c r="E155" s="479">
        <f>+C155+D155</f>
        <v>657700.85</v>
      </c>
      <c r="F155" s="480">
        <v>593297.52</v>
      </c>
      <c r="G155" s="480">
        <v>981049.81</v>
      </c>
      <c r="H155" s="479">
        <f>+E155-F155</f>
        <v>64403.329999999958</v>
      </c>
      <c r="I155" s="478">
        <f>+F155/E155</f>
        <v>0.90207808002680856</v>
      </c>
      <c r="J155" s="477"/>
    </row>
    <row r="156" spans="1:10" x14ac:dyDescent="0.25">
      <c r="A156" s="497">
        <v>322</v>
      </c>
      <c r="B156" s="501" t="s">
        <v>575</v>
      </c>
      <c r="C156" s="479">
        <f>C157</f>
        <v>2798955.95</v>
      </c>
      <c r="D156" s="479">
        <f>D157</f>
        <v>87020</v>
      </c>
      <c r="E156" s="479">
        <f>+C156+D156</f>
        <v>2885975.95</v>
      </c>
      <c r="F156" s="479">
        <v>2438927.4500000002</v>
      </c>
      <c r="G156" s="479">
        <v>1661097.55</v>
      </c>
      <c r="H156" s="479">
        <f>+E156-F156</f>
        <v>447048.5</v>
      </c>
      <c r="I156" s="478">
        <f>+F156/E156</f>
        <v>0.845096248982948</v>
      </c>
      <c r="J156" s="477"/>
    </row>
    <row r="157" spans="1:10" x14ac:dyDescent="0.25">
      <c r="A157" s="494">
        <v>32201</v>
      </c>
      <c r="B157" s="493" t="s">
        <v>575</v>
      </c>
      <c r="C157" s="480">
        <v>2798955.95</v>
      </c>
      <c r="D157" s="480">
        <v>87020</v>
      </c>
      <c r="E157" s="479">
        <f>+C157+D157</f>
        <v>2885975.95</v>
      </c>
      <c r="F157" s="480">
        <v>2438927.4500000002</v>
      </c>
      <c r="G157" s="480">
        <v>1661097.55</v>
      </c>
      <c r="H157" s="479">
        <f>+E157-F157</f>
        <v>447048.5</v>
      </c>
      <c r="I157" s="478">
        <f>+F157/E157</f>
        <v>0.845096248982948</v>
      </c>
      <c r="J157" s="477"/>
    </row>
    <row r="158" spans="1:10" ht="22.5" x14ac:dyDescent="0.25">
      <c r="A158" s="497">
        <v>323</v>
      </c>
      <c r="B158" s="501" t="s">
        <v>574</v>
      </c>
      <c r="C158" s="479">
        <f>C159+C160</f>
        <v>553654.96</v>
      </c>
      <c r="D158" s="479">
        <f>D159+D160</f>
        <v>461440</v>
      </c>
      <c r="E158" s="479">
        <f>+C158+D158</f>
        <v>1015094.96</v>
      </c>
      <c r="F158" s="479">
        <v>902663.28</v>
      </c>
      <c r="G158" s="479">
        <v>796793.2</v>
      </c>
      <c r="H158" s="479">
        <f>+E158-F158</f>
        <v>112431.67999999993</v>
      </c>
      <c r="I158" s="478">
        <f>+F158/E158</f>
        <v>0.88924023423384946</v>
      </c>
      <c r="J158" s="477"/>
    </row>
    <row r="159" spans="1:10" x14ac:dyDescent="0.25">
      <c r="A159" s="494">
        <v>32301</v>
      </c>
      <c r="B159" s="493" t="s">
        <v>573</v>
      </c>
      <c r="C159" s="480">
        <v>76886</v>
      </c>
      <c r="D159" s="480">
        <f>123487-13176-12798-3858-5298-20900</f>
        <v>67457</v>
      </c>
      <c r="E159" s="479">
        <f>+C159+D159</f>
        <v>144343</v>
      </c>
      <c r="F159" s="480">
        <v>44161.2</v>
      </c>
      <c r="G159" s="480">
        <v>44161.2</v>
      </c>
      <c r="H159" s="479">
        <f>+E159-F159</f>
        <v>100181.8</v>
      </c>
      <c r="I159" s="478">
        <f>+F159/E159</f>
        <v>0.30594625302231487</v>
      </c>
      <c r="J159" s="477"/>
    </row>
    <row r="160" spans="1:10" x14ac:dyDescent="0.25">
      <c r="A160" s="494">
        <v>32302</v>
      </c>
      <c r="B160" s="493" t="s">
        <v>572</v>
      </c>
      <c r="C160" s="480">
        <v>476768.95999999996</v>
      </c>
      <c r="D160" s="480">
        <v>393983</v>
      </c>
      <c r="E160" s="479">
        <f>+C160+D160</f>
        <v>870751.96</v>
      </c>
      <c r="F160" s="480">
        <v>858502.08000000007</v>
      </c>
      <c r="G160" s="480">
        <v>752632</v>
      </c>
      <c r="H160" s="479">
        <f>+E160-F160</f>
        <v>12249.879999999888</v>
      </c>
      <c r="I160" s="478">
        <f>+F160/E160</f>
        <v>0.98593183758093417</v>
      </c>
      <c r="J160" s="477"/>
    </row>
    <row r="161" spans="1:10" x14ac:dyDescent="0.25">
      <c r="A161" s="497">
        <v>325</v>
      </c>
      <c r="B161" s="501" t="s">
        <v>571</v>
      </c>
      <c r="C161" s="479">
        <f>C162</f>
        <v>3913.4</v>
      </c>
      <c r="D161" s="479">
        <f>D162</f>
        <v>1200</v>
      </c>
      <c r="E161" s="479">
        <f>+C161+D161</f>
        <v>5113.3999999999996</v>
      </c>
      <c r="F161" s="479">
        <v>4966.1499999999996</v>
      </c>
      <c r="G161" s="479">
        <v>4966.1499999999996</v>
      </c>
      <c r="H161" s="479">
        <f>+E161-F161</f>
        <v>147.25</v>
      </c>
      <c r="I161" s="478">
        <f>+F161/E161</f>
        <v>0.97120311338835219</v>
      </c>
      <c r="J161" s="477"/>
    </row>
    <row r="162" spans="1:10" x14ac:dyDescent="0.25">
      <c r="A162" s="494">
        <v>32501</v>
      </c>
      <c r="B162" s="493" t="s">
        <v>571</v>
      </c>
      <c r="C162" s="480">
        <v>3913.4</v>
      </c>
      <c r="D162" s="480">
        <v>1200</v>
      </c>
      <c r="E162" s="479">
        <f>+C162+D162</f>
        <v>5113.3999999999996</v>
      </c>
      <c r="F162" s="480">
        <v>4966.1499999999996</v>
      </c>
      <c r="G162" s="480">
        <v>4966.1499999999996</v>
      </c>
      <c r="H162" s="479">
        <f>+E162-F162</f>
        <v>147.25</v>
      </c>
      <c r="I162" s="478">
        <f>+F162/E162</f>
        <v>0.97120311338835219</v>
      </c>
      <c r="J162" s="477"/>
    </row>
    <row r="163" spans="1:10" ht="22.5" x14ac:dyDescent="0.25">
      <c r="A163" s="497">
        <v>326</v>
      </c>
      <c r="B163" s="501" t="s">
        <v>570</v>
      </c>
      <c r="C163" s="479">
        <f>C164</f>
        <v>1425713.3399999999</v>
      </c>
      <c r="D163" s="479">
        <f>D164</f>
        <v>172321</v>
      </c>
      <c r="E163" s="479">
        <f>+C163+D163</f>
        <v>1598034.3399999999</v>
      </c>
      <c r="F163" s="479">
        <v>1554056.2</v>
      </c>
      <c r="G163" s="479">
        <v>1335261.92</v>
      </c>
      <c r="H163" s="479">
        <f>+E163-F163</f>
        <v>43978.139999999898</v>
      </c>
      <c r="I163" s="478">
        <f>+F163/E163</f>
        <v>0.97247985296736494</v>
      </c>
      <c r="J163" s="477"/>
    </row>
    <row r="164" spans="1:10" x14ac:dyDescent="0.25">
      <c r="A164" s="494">
        <v>32601</v>
      </c>
      <c r="B164" s="493" t="s">
        <v>570</v>
      </c>
      <c r="C164" s="480">
        <v>1425713.3399999999</v>
      </c>
      <c r="D164" s="480">
        <v>172321</v>
      </c>
      <c r="E164" s="479">
        <f>+C164+D164</f>
        <v>1598034.3399999999</v>
      </c>
      <c r="F164" s="480">
        <v>1554056.2</v>
      </c>
      <c r="G164" s="480">
        <v>1335261.92</v>
      </c>
      <c r="H164" s="479">
        <f>+E164-F164</f>
        <v>43978.139999999898</v>
      </c>
      <c r="I164" s="478">
        <f>+F164/E164</f>
        <v>0.97247985296736494</v>
      </c>
      <c r="J164" s="477"/>
    </row>
    <row r="165" spans="1:10" x14ac:dyDescent="0.25">
      <c r="A165" s="497">
        <v>329</v>
      </c>
      <c r="B165" s="501" t="s">
        <v>569</v>
      </c>
      <c r="C165" s="479">
        <f>C166</f>
        <v>7656</v>
      </c>
      <c r="D165" s="479">
        <f>D166</f>
        <v>0</v>
      </c>
      <c r="E165" s="479">
        <f>+C165+D165</f>
        <v>7656</v>
      </c>
      <c r="F165" s="479">
        <v>0</v>
      </c>
      <c r="G165" s="479">
        <v>0</v>
      </c>
      <c r="H165" s="479">
        <f>+E165-F165</f>
        <v>7656</v>
      </c>
      <c r="I165" s="478">
        <f>+F165/E165</f>
        <v>0</v>
      </c>
      <c r="J165" s="477"/>
    </row>
    <row r="166" spans="1:10" x14ac:dyDescent="0.25">
      <c r="A166" s="494">
        <v>32901</v>
      </c>
      <c r="B166" s="493" t="s">
        <v>569</v>
      </c>
      <c r="C166" s="480">
        <v>7656</v>
      </c>
      <c r="D166" s="480">
        <v>0</v>
      </c>
      <c r="E166" s="479">
        <f>+C166+D166</f>
        <v>7656</v>
      </c>
      <c r="F166" s="480">
        <v>0</v>
      </c>
      <c r="G166" s="480">
        <v>0</v>
      </c>
      <c r="H166" s="479">
        <f>+E166-F166</f>
        <v>7656</v>
      </c>
      <c r="I166" s="478">
        <f>+F166/E166</f>
        <v>0</v>
      </c>
      <c r="J166" s="477"/>
    </row>
    <row r="167" spans="1:10" ht="22.5" x14ac:dyDescent="0.25">
      <c r="A167" s="498">
        <v>3300</v>
      </c>
      <c r="B167" s="501" t="s">
        <v>568</v>
      </c>
      <c r="C167" s="479">
        <f>C168+C170+C172+C175+C177+C182+C184</f>
        <v>14547135.59</v>
      </c>
      <c r="D167" s="479">
        <f>D168+D170+D172+D175+D177+D182+D184</f>
        <v>9784942.0700000003</v>
      </c>
      <c r="E167" s="479">
        <f>+C167+D167</f>
        <v>24332077.66</v>
      </c>
      <c r="F167" s="479">
        <v>20886977.379999999</v>
      </c>
      <c r="G167" s="479">
        <v>18047690.770000003</v>
      </c>
      <c r="H167" s="479">
        <f>+E167-F167</f>
        <v>3445100.2800000012</v>
      </c>
      <c r="I167" s="478">
        <f>+F167/E167</f>
        <v>0.85841323013433124</v>
      </c>
      <c r="J167" s="477"/>
    </row>
    <row r="168" spans="1:10" ht="22.5" x14ac:dyDescent="0.25">
      <c r="A168" s="497">
        <v>331</v>
      </c>
      <c r="B168" s="501" t="s">
        <v>567</v>
      </c>
      <c r="C168" s="479">
        <f>C169</f>
        <v>8853353</v>
      </c>
      <c r="D168" s="479">
        <f>D169</f>
        <v>8682083.2800000012</v>
      </c>
      <c r="E168" s="479">
        <f>+C168+D168</f>
        <v>17535436.280000001</v>
      </c>
      <c r="F168" s="479">
        <v>15708925.25</v>
      </c>
      <c r="G168" s="479">
        <v>13571397.16</v>
      </c>
      <c r="H168" s="479">
        <f>+E168-F168</f>
        <v>1826511.0300000012</v>
      </c>
      <c r="I168" s="478">
        <f>+F168/E168</f>
        <v>0.89583886018945402</v>
      </c>
      <c r="J168" s="477"/>
    </row>
    <row r="169" spans="1:10" x14ac:dyDescent="0.25">
      <c r="A169" s="494">
        <v>33101</v>
      </c>
      <c r="B169" s="493" t="s">
        <v>567</v>
      </c>
      <c r="C169" s="480">
        <v>8853353</v>
      </c>
      <c r="D169" s="480">
        <v>8682083.2800000012</v>
      </c>
      <c r="E169" s="479">
        <f>+C169+D169</f>
        <v>17535436.280000001</v>
      </c>
      <c r="F169" s="480">
        <v>15708925.25</v>
      </c>
      <c r="G169" s="480">
        <v>13571397.16</v>
      </c>
      <c r="H169" s="479">
        <f>+E169-F169</f>
        <v>1826511.0300000012</v>
      </c>
      <c r="I169" s="478">
        <f>+F169/E169</f>
        <v>0.89583886018945402</v>
      </c>
      <c r="J169" s="477"/>
    </row>
    <row r="170" spans="1:10" ht="22.5" x14ac:dyDescent="0.25">
      <c r="A170" s="497">
        <v>332</v>
      </c>
      <c r="B170" s="501" t="s">
        <v>566</v>
      </c>
      <c r="C170" s="479">
        <f>C171</f>
        <v>795896</v>
      </c>
      <c r="D170" s="479">
        <f>D171</f>
        <v>187899</v>
      </c>
      <c r="E170" s="479">
        <f>+C170+D170</f>
        <v>983795</v>
      </c>
      <c r="F170" s="479">
        <v>555599.43000000005</v>
      </c>
      <c r="G170" s="479">
        <v>498009.88999999996</v>
      </c>
      <c r="H170" s="479">
        <f>+E170-F170</f>
        <v>428195.56999999995</v>
      </c>
      <c r="I170" s="478">
        <f>+F170/E170</f>
        <v>0.56475122357808294</v>
      </c>
      <c r="J170" s="477"/>
    </row>
    <row r="171" spans="1:10" ht="22.5" x14ac:dyDescent="0.25">
      <c r="A171" s="494">
        <v>33201</v>
      </c>
      <c r="B171" s="493" t="s">
        <v>566</v>
      </c>
      <c r="C171" s="480">
        <v>795896</v>
      </c>
      <c r="D171" s="480">
        <v>187899</v>
      </c>
      <c r="E171" s="479">
        <f>+C171+D171</f>
        <v>983795</v>
      </c>
      <c r="F171" s="480">
        <v>555599.43000000005</v>
      </c>
      <c r="G171" s="480">
        <v>498009.88999999996</v>
      </c>
      <c r="H171" s="479">
        <f>+E171-F171</f>
        <v>428195.56999999995</v>
      </c>
      <c r="I171" s="478">
        <f>+F171/E171</f>
        <v>0.56475122357808294</v>
      </c>
      <c r="J171" s="477"/>
    </row>
    <row r="172" spans="1:10" ht="22.5" x14ac:dyDescent="0.25">
      <c r="A172" s="497">
        <v>333</v>
      </c>
      <c r="B172" s="501" t="s">
        <v>565</v>
      </c>
      <c r="C172" s="479">
        <f>C173+C174</f>
        <v>811966</v>
      </c>
      <c r="D172" s="479">
        <f>D173+D174</f>
        <v>435374</v>
      </c>
      <c r="E172" s="479">
        <f>+C172+D172</f>
        <v>1247340</v>
      </c>
      <c r="F172" s="479">
        <v>986918.37</v>
      </c>
      <c r="G172" s="479">
        <v>826920.87</v>
      </c>
      <c r="H172" s="479">
        <f>+E172-F172</f>
        <v>260421.63</v>
      </c>
      <c r="I172" s="478">
        <f>+F172/E172</f>
        <v>0.79121840877387084</v>
      </c>
      <c r="J172" s="477"/>
    </row>
    <row r="173" spans="1:10" x14ac:dyDescent="0.25">
      <c r="A173" s="494">
        <v>33301</v>
      </c>
      <c r="B173" s="493" t="s">
        <v>564</v>
      </c>
      <c r="C173" s="480">
        <v>544658</v>
      </c>
      <c r="D173" s="480">
        <v>435374</v>
      </c>
      <c r="E173" s="479">
        <f>+C173+D173</f>
        <v>980032</v>
      </c>
      <c r="F173" s="480">
        <v>816463.1</v>
      </c>
      <c r="G173" s="480">
        <v>670977.20000000007</v>
      </c>
      <c r="H173" s="479">
        <f>+E173-F173</f>
        <v>163568.90000000002</v>
      </c>
      <c r="I173" s="478">
        <f>+F173/E173</f>
        <v>0.83309840903154175</v>
      </c>
      <c r="J173" s="477"/>
    </row>
    <row r="174" spans="1:10" x14ac:dyDescent="0.25">
      <c r="A174" s="494">
        <v>33302</v>
      </c>
      <c r="B174" s="493" t="s">
        <v>563</v>
      </c>
      <c r="C174" s="480">
        <v>267308</v>
      </c>
      <c r="D174" s="480">
        <v>0</v>
      </c>
      <c r="E174" s="479">
        <f>+C174+D174</f>
        <v>267308</v>
      </c>
      <c r="F174" s="480">
        <v>170455.27</v>
      </c>
      <c r="G174" s="480">
        <v>155943.67000000001</v>
      </c>
      <c r="H174" s="479">
        <f>+E174-F174</f>
        <v>96852.73000000001</v>
      </c>
      <c r="I174" s="478">
        <f>+F174/E174</f>
        <v>0.63767365735406345</v>
      </c>
      <c r="J174" s="477"/>
    </row>
    <row r="175" spans="1:10" x14ac:dyDescent="0.25">
      <c r="A175" s="497">
        <v>334</v>
      </c>
      <c r="B175" s="501" t="s">
        <v>562</v>
      </c>
      <c r="C175" s="479">
        <f>C176</f>
        <v>191485.91</v>
      </c>
      <c r="D175" s="479">
        <f>D176</f>
        <v>14708</v>
      </c>
      <c r="E175" s="479">
        <f>+C175+D175</f>
        <v>206193.91</v>
      </c>
      <c r="F175" s="479">
        <v>148107.79999999999</v>
      </c>
      <c r="G175" s="479">
        <v>148107.79999999999</v>
      </c>
      <c r="H175" s="479">
        <f>+E175-F175</f>
        <v>58086.110000000015</v>
      </c>
      <c r="I175" s="478">
        <f>+F175/E175</f>
        <v>0.71829376532022693</v>
      </c>
      <c r="J175" s="477"/>
    </row>
    <row r="176" spans="1:10" x14ac:dyDescent="0.25">
      <c r="A176" s="494">
        <v>33401</v>
      </c>
      <c r="B176" s="493" t="s">
        <v>562</v>
      </c>
      <c r="C176" s="480">
        <v>191485.91</v>
      </c>
      <c r="D176" s="480">
        <v>14708</v>
      </c>
      <c r="E176" s="479">
        <f>+C176+D176</f>
        <v>206193.91</v>
      </c>
      <c r="F176" s="480">
        <v>148107.79999999999</v>
      </c>
      <c r="G176" s="480">
        <v>148107.79999999999</v>
      </c>
      <c r="H176" s="479">
        <f>+E176-F176</f>
        <v>58086.110000000015</v>
      </c>
      <c r="I176" s="478">
        <f>+F176/E176</f>
        <v>0.71829376532022693</v>
      </c>
      <c r="J176" s="477"/>
    </row>
    <row r="177" spans="1:10" ht="22.5" x14ac:dyDescent="0.25">
      <c r="A177" s="497">
        <v>336</v>
      </c>
      <c r="B177" s="501" t="s">
        <v>561</v>
      </c>
      <c r="C177" s="479">
        <f>C178+C179+C180+C181</f>
        <v>1444007.68</v>
      </c>
      <c r="D177" s="479">
        <f>D178+D179+D180+D181</f>
        <v>136984.79</v>
      </c>
      <c r="E177" s="479">
        <f>+C177+D177</f>
        <v>1580992.47</v>
      </c>
      <c r="F177" s="479">
        <v>1403983.4300000002</v>
      </c>
      <c r="G177" s="479">
        <v>1260619.02</v>
      </c>
      <c r="H177" s="479">
        <f>+E177-F177</f>
        <v>177009.0399999998</v>
      </c>
      <c r="I177" s="478">
        <f>+F177/E177</f>
        <v>0.88803928964949475</v>
      </c>
      <c r="J177" s="477"/>
    </row>
    <row r="178" spans="1:10" hidden="1" x14ac:dyDescent="0.25">
      <c r="A178" s="494">
        <v>33601</v>
      </c>
      <c r="B178" s="493" t="s">
        <v>560</v>
      </c>
      <c r="C178" s="480">
        <v>0</v>
      </c>
      <c r="D178" s="480">
        <v>0</v>
      </c>
      <c r="E178" s="479">
        <f>+C178+D178</f>
        <v>0</v>
      </c>
      <c r="F178" s="480">
        <v>0</v>
      </c>
      <c r="G178" s="480">
        <v>0</v>
      </c>
      <c r="H178" s="479">
        <f>+E178-F178</f>
        <v>0</v>
      </c>
      <c r="I178" s="478"/>
      <c r="J178" s="477"/>
    </row>
    <row r="179" spans="1:10" x14ac:dyDescent="0.25">
      <c r="A179" s="494">
        <v>33603</v>
      </c>
      <c r="B179" s="493" t="s">
        <v>559</v>
      </c>
      <c r="C179" s="480">
        <v>1174023.6799999999</v>
      </c>
      <c r="D179" s="480">
        <v>-113178</v>
      </c>
      <c r="E179" s="479">
        <f>+C179+D179</f>
        <v>1060845.68</v>
      </c>
      <c r="F179" s="480">
        <v>883837.1100000001</v>
      </c>
      <c r="G179" s="480">
        <v>794828.91000000015</v>
      </c>
      <c r="H179" s="479">
        <f>+E179-F179</f>
        <v>177008.56999999983</v>
      </c>
      <c r="I179" s="478">
        <f>+F179/E179</f>
        <v>0.83314390270222916</v>
      </c>
      <c r="J179" s="477"/>
    </row>
    <row r="180" spans="1:10" x14ac:dyDescent="0.25">
      <c r="A180" s="494">
        <v>33605</v>
      </c>
      <c r="B180" s="493" t="s">
        <v>558</v>
      </c>
      <c r="C180" s="480">
        <v>171984</v>
      </c>
      <c r="D180" s="480">
        <f>231137.79+13176</f>
        <v>244313.79</v>
      </c>
      <c r="E180" s="479">
        <f>+C180+D180</f>
        <v>416297.79000000004</v>
      </c>
      <c r="F180" s="480">
        <v>416297.54</v>
      </c>
      <c r="G180" s="480">
        <v>386492.04</v>
      </c>
      <c r="H180" s="479">
        <f>+E180-F180</f>
        <v>0.25000000005820766</v>
      </c>
      <c r="I180" s="478">
        <f>+F180/E180</f>
        <v>0.99999939946834682</v>
      </c>
      <c r="J180" s="477"/>
    </row>
    <row r="181" spans="1:10" ht="22.5" x14ac:dyDescent="0.25">
      <c r="A181" s="494">
        <v>33608</v>
      </c>
      <c r="B181" s="493" t="s">
        <v>557</v>
      </c>
      <c r="C181" s="480">
        <v>98000</v>
      </c>
      <c r="D181" s="480">
        <v>5849</v>
      </c>
      <c r="E181" s="479">
        <f>+C181+D181</f>
        <v>103849</v>
      </c>
      <c r="F181" s="480">
        <v>103848.78</v>
      </c>
      <c r="G181" s="480">
        <v>79298.070000000007</v>
      </c>
      <c r="H181" s="479">
        <f>+E181-F181</f>
        <v>0.22000000000116415</v>
      </c>
      <c r="I181" s="478"/>
      <c r="J181" s="477"/>
    </row>
    <row r="182" spans="1:10" x14ac:dyDescent="0.25">
      <c r="A182" s="497">
        <v>338</v>
      </c>
      <c r="B182" s="501" t="s">
        <v>556</v>
      </c>
      <c r="C182" s="479">
        <f>C183</f>
        <v>1134987</v>
      </c>
      <c r="D182" s="479">
        <f>D183</f>
        <v>55393</v>
      </c>
      <c r="E182" s="479">
        <f>+C182+D182</f>
        <v>1190380</v>
      </c>
      <c r="F182" s="479">
        <v>836231.3899999999</v>
      </c>
      <c r="G182" s="479">
        <v>508897.53</v>
      </c>
      <c r="H182" s="479">
        <f>+E182-F182</f>
        <v>354148.6100000001</v>
      </c>
      <c r="I182" s="478">
        <f>+F182/E182</f>
        <v>0.70249112888321363</v>
      </c>
      <c r="J182" s="477"/>
    </row>
    <row r="183" spans="1:10" x14ac:dyDescent="0.25">
      <c r="A183" s="494">
        <v>33801</v>
      </c>
      <c r="B183" s="493" t="s">
        <v>556</v>
      </c>
      <c r="C183" s="480">
        <v>1134987</v>
      </c>
      <c r="D183" s="480">
        <v>55393</v>
      </c>
      <c r="E183" s="479">
        <f>+C183+D183</f>
        <v>1190380</v>
      </c>
      <c r="F183" s="480">
        <v>836231.3899999999</v>
      </c>
      <c r="G183" s="480">
        <v>508897.53</v>
      </c>
      <c r="H183" s="479">
        <f>+E183-F183</f>
        <v>354148.6100000001</v>
      </c>
      <c r="I183" s="478">
        <f>+F183/E183</f>
        <v>0.70249112888321363</v>
      </c>
      <c r="J183" s="477"/>
    </row>
    <row r="184" spans="1:10" ht="22.5" x14ac:dyDescent="0.25">
      <c r="A184" s="497">
        <v>339</v>
      </c>
      <c r="B184" s="501" t="s">
        <v>555</v>
      </c>
      <c r="C184" s="479">
        <f>C185</f>
        <v>1315440</v>
      </c>
      <c r="D184" s="479">
        <f>D185</f>
        <v>272500</v>
      </c>
      <c r="E184" s="479">
        <f>+C184+D184</f>
        <v>1587940</v>
      </c>
      <c r="F184" s="479">
        <v>1247211.71</v>
      </c>
      <c r="G184" s="479">
        <v>1233738.5</v>
      </c>
      <c r="H184" s="479">
        <f>+E184-F184</f>
        <v>340728.29000000004</v>
      </c>
      <c r="I184" s="478">
        <f>+F184/E184</f>
        <v>0.78542747836820026</v>
      </c>
      <c r="J184" s="477"/>
    </row>
    <row r="185" spans="1:10" x14ac:dyDescent="0.25">
      <c r="A185" s="494">
        <v>33901</v>
      </c>
      <c r="B185" s="493" t="s">
        <v>554</v>
      </c>
      <c r="C185" s="480">
        <v>1315440</v>
      </c>
      <c r="D185" s="480">
        <v>272500</v>
      </c>
      <c r="E185" s="479">
        <f>+C185+D185</f>
        <v>1587940</v>
      </c>
      <c r="F185" s="480">
        <v>1247211.71</v>
      </c>
      <c r="G185" s="480">
        <v>1233738.5</v>
      </c>
      <c r="H185" s="479">
        <f>+E185-F185</f>
        <v>340728.29000000004</v>
      </c>
      <c r="I185" s="478">
        <f>+F185/E185</f>
        <v>0.78542747836820026</v>
      </c>
      <c r="J185" s="477"/>
    </row>
    <row r="186" spans="1:10" x14ac:dyDescent="0.25">
      <c r="A186" s="498">
        <v>3400</v>
      </c>
      <c r="B186" s="501" t="s">
        <v>553</v>
      </c>
      <c r="C186" s="479">
        <f>C187+C189+C191+C193</f>
        <v>20606315.139999997</v>
      </c>
      <c r="D186" s="479">
        <f>D187+D189+D191+D193</f>
        <v>-4203238.8</v>
      </c>
      <c r="E186" s="479">
        <f>+C186+D186</f>
        <v>16403076.339999996</v>
      </c>
      <c r="F186" s="479">
        <v>13981398.680000002</v>
      </c>
      <c r="G186" s="479">
        <v>12156402.619999999</v>
      </c>
      <c r="H186" s="479">
        <f>+E186-F186</f>
        <v>2421677.6599999946</v>
      </c>
      <c r="I186" s="478">
        <f>+F186/E186</f>
        <v>0.85236442178260352</v>
      </c>
      <c r="J186" s="477"/>
    </row>
    <row r="187" spans="1:10" x14ac:dyDescent="0.25">
      <c r="A187" s="497">
        <v>341</v>
      </c>
      <c r="B187" s="501" t="s">
        <v>552</v>
      </c>
      <c r="C187" s="479">
        <f>C188</f>
        <v>439872.31</v>
      </c>
      <c r="D187" s="479">
        <f>D188</f>
        <v>165825</v>
      </c>
      <c r="E187" s="479">
        <f>+C187+D187</f>
        <v>605697.31000000006</v>
      </c>
      <c r="F187" s="479">
        <v>595197.13</v>
      </c>
      <c r="G187" s="479">
        <v>590549.82000000007</v>
      </c>
      <c r="H187" s="479">
        <f>+E187-F187</f>
        <v>10500.180000000051</v>
      </c>
      <c r="I187" s="478">
        <f>+F187/E187</f>
        <v>0.98266431132078158</v>
      </c>
      <c r="J187" s="477"/>
    </row>
    <row r="188" spans="1:10" x14ac:dyDescent="0.25">
      <c r="A188" s="494">
        <v>34101</v>
      </c>
      <c r="B188" s="493" t="s">
        <v>552</v>
      </c>
      <c r="C188" s="480">
        <v>439872.31</v>
      </c>
      <c r="D188" s="480">
        <v>165825</v>
      </c>
      <c r="E188" s="479">
        <f>+C188+D188</f>
        <v>605697.31000000006</v>
      </c>
      <c r="F188" s="480">
        <v>595197.13</v>
      </c>
      <c r="G188" s="480">
        <v>590549.82000000007</v>
      </c>
      <c r="H188" s="479">
        <f>+E188-F188</f>
        <v>10500.180000000051</v>
      </c>
      <c r="I188" s="478">
        <f>+F188/E188</f>
        <v>0.98266431132078158</v>
      </c>
      <c r="J188" s="477"/>
    </row>
    <row r="189" spans="1:10" ht="22.5" x14ac:dyDescent="0.25">
      <c r="A189" s="497">
        <v>343</v>
      </c>
      <c r="B189" s="501" t="s">
        <v>551</v>
      </c>
      <c r="C189" s="479">
        <f>C190</f>
        <v>18291617.039999999</v>
      </c>
      <c r="D189" s="479">
        <f>D190</f>
        <v>-4298039.8</v>
      </c>
      <c r="E189" s="479">
        <f>+C189+D189</f>
        <v>13993577.239999998</v>
      </c>
      <c r="F189" s="479">
        <v>11701046.270000001</v>
      </c>
      <c r="G189" s="479">
        <v>9880697.5199999996</v>
      </c>
      <c r="H189" s="479">
        <f>+E189-F189</f>
        <v>2292530.9699999969</v>
      </c>
      <c r="I189" s="478">
        <f>+F189/E189</f>
        <v>0.83617262900819223</v>
      </c>
      <c r="J189" s="477"/>
    </row>
    <row r="190" spans="1:10" x14ac:dyDescent="0.25">
      <c r="A190" s="494">
        <v>34301</v>
      </c>
      <c r="B190" s="493" t="s">
        <v>551</v>
      </c>
      <c r="C190" s="480">
        <v>18291617.039999999</v>
      </c>
      <c r="D190" s="480">
        <f>12587.2-3542816-263247-481136-23428</f>
        <v>-4298039.8</v>
      </c>
      <c r="E190" s="479">
        <f>+C190+D190</f>
        <v>13993577.239999998</v>
      </c>
      <c r="F190" s="480">
        <v>11701046.270000001</v>
      </c>
      <c r="G190" s="480">
        <v>9880697.5199999996</v>
      </c>
      <c r="H190" s="479">
        <f>+E190-F190</f>
        <v>2292530.9699999969</v>
      </c>
      <c r="I190" s="478">
        <f>+F190/E190</f>
        <v>0.83617262900819223</v>
      </c>
      <c r="J190" s="477"/>
    </row>
    <row r="191" spans="1:10" x14ac:dyDescent="0.25">
      <c r="A191" s="497">
        <v>344</v>
      </c>
      <c r="B191" s="501" t="s">
        <v>550</v>
      </c>
      <c r="C191" s="479">
        <f>C192</f>
        <v>1827803.17</v>
      </c>
      <c r="D191" s="479">
        <f>D192</f>
        <v>-52950</v>
      </c>
      <c r="E191" s="479">
        <f>+C191+D191</f>
        <v>1774853.17</v>
      </c>
      <c r="F191" s="479">
        <v>1675948.65</v>
      </c>
      <c r="G191" s="479">
        <v>1675948.65</v>
      </c>
      <c r="H191" s="479">
        <f>+E191-F191</f>
        <v>98904.520000000019</v>
      </c>
      <c r="I191" s="478">
        <f>+F191/E191</f>
        <v>0.94427453398863415</v>
      </c>
      <c r="J191" s="477"/>
    </row>
    <row r="192" spans="1:10" x14ac:dyDescent="0.25">
      <c r="A192" s="494">
        <v>34401</v>
      </c>
      <c r="B192" s="493" t="s">
        <v>550</v>
      </c>
      <c r="C192" s="480">
        <v>1827803.17</v>
      </c>
      <c r="D192" s="480">
        <v>-52950</v>
      </c>
      <c r="E192" s="479">
        <f>+C192+D192</f>
        <v>1774853.17</v>
      </c>
      <c r="F192" s="480">
        <v>1675948.65</v>
      </c>
      <c r="G192" s="480">
        <v>1675948.65</v>
      </c>
      <c r="H192" s="479">
        <f>+E192-F192</f>
        <v>98904.520000000019</v>
      </c>
      <c r="I192" s="478">
        <f>+F192/E192</f>
        <v>0.94427453398863415</v>
      </c>
      <c r="J192" s="477"/>
    </row>
    <row r="193" spans="1:10" x14ac:dyDescent="0.25">
      <c r="A193" s="497">
        <v>347</v>
      </c>
      <c r="B193" s="501" t="s">
        <v>549</v>
      </c>
      <c r="C193" s="479">
        <f>C194</f>
        <v>47022.619999999995</v>
      </c>
      <c r="D193" s="479">
        <f>D194</f>
        <v>-18074</v>
      </c>
      <c r="E193" s="479">
        <f>+C193+D193</f>
        <v>28948.619999999995</v>
      </c>
      <c r="F193" s="479">
        <v>9206.6299999999992</v>
      </c>
      <c r="G193" s="479">
        <v>9206.6299999999992</v>
      </c>
      <c r="H193" s="479">
        <f>+E193-F193</f>
        <v>19741.989999999998</v>
      </c>
      <c r="I193" s="478">
        <f>+F193/E193</f>
        <v>0.31803346757116574</v>
      </c>
      <c r="J193" s="477"/>
    </row>
    <row r="194" spans="1:10" x14ac:dyDescent="0.25">
      <c r="A194" s="494">
        <v>34701</v>
      </c>
      <c r="B194" s="493" t="s">
        <v>549</v>
      </c>
      <c r="C194" s="480">
        <v>47022.619999999995</v>
      </c>
      <c r="D194" s="480">
        <v>-18074</v>
      </c>
      <c r="E194" s="479">
        <f>+C194+D194</f>
        <v>28948.619999999995</v>
      </c>
      <c r="F194" s="480">
        <v>9206.6299999999992</v>
      </c>
      <c r="G194" s="480">
        <v>9206.6299999999992</v>
      </c>
      <c r="H194" s="479">
        <f>+E194-F194</f>
        <v>19741.989999999998</v>
      </c>
      <c r="I194" s="478">
        <f>+F194/E194</f>
        <v>0.31803346757116574</v>
      </c>
      <c r="J194" s="477"/>
    </row>
    <row r="195" spans="1:10" ht="22.5" x14ac:dyDescent="0.25">
      <c r="A195" s="498">
        <v>3500</v>
      </c>
      <c r="B195" s="501" t="s">
        <v>548</v>
      </c>
      <c r="C195" s="479">
        <f>C196+C198+C200+C203+C205+C208+C210</f>
        <v>8138504.7400000002</v>
      </c>
      <c r="D195" s="479">
        <f>D196+D198+D200+D203+D205+D208+D210</f>
        <v>2559173.5500000003</v>
      </c>
      <c r="E195" s="479">
        <f>+C195+D195</f>
        <v>10697678.290000001</v>
      </c>
      <c r="F195" s="479">
        <v>7150302.5300000003</v>
      </c>
      <c r="G195" s="479">
        <v>5061252.58</v>
      </c>
      <c r="H195" s="479">
        <f>+E195-F195</f>
        <v>3547375.7600000007</v>
      </c>
      <c r="I195" s="478">
        <f>+F195/E195</f>
        <v>0.66839760330837161</v>
      </c>
      <c r="J195" s="477"/>
    </row>
    <row r="196" spans="1:10" x14ac:dyDescent="0.25">
      <c r="A196" s="497">
        <v>351</v>
      </c>
      <c r="B196" s="501" t="s">
        <v>547</v>
      </c>
      <c r="C196" s="479">
        <f>C197</f>
        <v>309291</v>
      </c>
      <c r="D196" s="479">
        <f>D197</f>
        <v>2776583.91</v>
      </c>
      <c r="E196" s="479">
        <f>+C196+D196</f>
        <v>3085874.91</v>
      </c>
      <c r="F196" s="479">
        <v>580567.42999999993</v>
      </c>
      <c r="G196" s="479">
        <v>409850.87</v>
      </c>
      <c r="H196" s="479">
        <f>+E196-F196</f>
        <v>2505307.4800000004</v>
      </c>
      <c r="I196" s="478">
        <f>+F196/E196</f>
        <v>0.18813705899698957</v>
      </c>
      <c r="J196" s="477"/>
    </row>
    <row r="197" spans="1:10" x14ac:dyDescent="0.25">
      <c r="A197" s="494">
        <v>35101</v>
      </c>
      <c r="B197" s="493" t="s">
        <v>546</v>
      </c>
      <c r="C197" s="480">
        <v>309291</v>
      </c>
      <c r="D197" s="480">
        <f>3515162.91-738579</f>
        <v>2776583.91</v>
      </c>
      <c r="E197" s="479">
        <f>+C197+D197</f>
        <v>3085874.91</v>
      </c>
      <c r="F197" s="480">
        <v>580567.42999999993</v>
      </c>
      <c r="G197" s="480">
        <v>409850.87</v>
      </c>
      <c r="H197" s="479">
        <f>+E197-F197</f>
        <v>2505307.4800000004</v>
      </c>
      <c r="I197" s="478">
        <f>+F197/E197</f>
        <v>0.18813705899698957</v>
      </c>
      <c r="J197" s="477"/>
    </row>
    <row r="198" spans="1:10" ht="22.5" x14ac:dyDescent="0.25">
      <c r="A198" s="497">
        <v>352</v>
      </c>
      <c r="B198" s="501" t="s">
        <v>545</v>
      </c>
      <c r="C198" s="479">
        <f>C199</f>
        <v>137317.14000000001</v>
      </c>
      <c r="D198" s="479">
        <f>D199</f>
        <v>10276</v>
      </c>
      <c r="E198" s="479">
        <f>+C198+D198</f>
        <v>147593.14000000001</v>
      </c>
      <c r="F198" s="479">
        <v>144931.21</v>
      </c>
      <c r="G198" s="479">
        <v>105675.20999999999</v>
      </c>
      <c r="H198" s="479">
        <f>+E198-F198</f>
        <v>2661.9300000000221</v>
      </c>
      <c r="I198" s="478">
        <f>+F198/E198</f>
        <v>0.98196440566275622</v>
      </c>
      <c r="J198" s="477"/>
    </row>
    <row r="199" spans="1:10" x14ac:dyDescent="0.25">
      <c r="A199" s="494">
        <v>35201</v>
      </c>
      <c r="B199" s="493" t="s">
        <v>544</v>
      </c>
      <c r="C199" s="480">
        <v>137317.14000000001</v>
      </c>
      <c r="D199" s="480">
        <v>10276</v>
      </c>
      <c r="E199" s="479">
        <f>+C199+D199</f>
        <v>147593.14000000001</v>
      </c>
      <c r="F199" s="480">
        <v>144931.21</v>
      </c>
      <c r="G199" s="480">
        <v>105675.20999999999</v>
      </c>
      <c r="H199" s="479">
        <f>+E199-F199</f>
        <v>2661.9300000000221</v>
      </c>
      <c r="I199" s="478">
        <f>+F199/E199</f>
        <v>0.98196440566275622</v>
      </c>
      <c r="J199" s="477"/>
    </row>
    <row r="200" spans="1:10" ht="22.5" x14ac:dyDescent="0.25">
      <c r="A200" s="497">
        <v>353</v>
      </c>
      <c r="B200" s="501" t="s">
        <v>543</v>
      </c>
      <c r="C200" s="479">
        <f>C202</f>
        <v>27067.260000000002</v>
      </c>
      <c r="D200" s="479">
        <f>D202</f>
        <v>-2011</v>
      </c>
      <c r="E200" s="479">
        <f>+C200+D200</f>
        <v>25056.260000000002</v>
      </c>
      <c r="F200" s="479">
        <v>9525.39</v>
      </c>
      <c r="G200" s="479">
        <v>7883.99</v>
      </c>
      <c r="H200" s="479">
        <f>+E200-F200</f>
        <v>15530.870000000003</v>
      </c>
      <c r="I200" s="478">
        <f>+F200/E200</f>
        <v>0.38016008773855309</v>
      </c>
      <c r="J200" s="477"/>
    </row>
    <row r="201" spans="1:10" hidden="1" x14ac:dyDescent="0.25">
      <c r="A201" s="494">
        <v>35301</v>
      </c>
      <c r="B201" s="493" t="s">
        <v>542</v>
      </c>
      <c r="C201" s="480">
        <v>0</v>
      </c>
      <c r="D201" s="480">
        <v>0</v>
      </c>
      <c r="E201" s="479">
        <f>+C201+D201</f>
        <v>0</v>
      </c>
      <c r="F201" s="480">
        <v>0</v>
      </c>
      <c r="G201" s="480">
        <v>0</v>
      </c>
      <c r="H201" s="479">
        <f>+E201-F201</f>
        <v>0</v>
      </c>
      <c r="I201" s="478" t="e">
        <f>+F201/E201</f>
        <v>#DIV/0!</v>
      </c>
      <c r="J201" s="477"/>
    </row>
    <row r="202" spans="1:10" x14ac:dyDescent="0.25">
      <c r="A202" s="494">
        <v>35302</v>
      </c>
      <c r="B202" s="493" t="s">
        <v>541</v>
      </c>
      <c r="C202" s="480">
        <v>27067.260000000002</v>
      </c>
      <c r="D202" s="480">
        <f>3838-5849</f>
        <v>-2011</v>
      </c>
      <c r="E202" s="479">
        <f>+C202+D202</f>
        <v>25056.260000000002</v>
      </c>
      <c r="F202" s="480">
        <v>9525.39</v>
      </c>
      <c r="G202" s="480">
        <v>7883.99</v>
      </c>
      <c r="H202" s="479">
        <f>+E202-F202</f>
        <v>15530.870000000003</v>
      </c>
      <c r="I202" s="478">
        <f>+F202/E202</f>
        <v>0.38016008773855309</v>
      </c>
      <c r="J202" s="477"/>
    </row>
    <row r="203" spans="1:10" x14ac:dyDescent="0.25">
      <c r="A203" s="497">
        <v>355</v>
      </c>
      <c r="B203" s="501" t="s">
        <v>540</v>
      </c>
      <c r="C203" s="479">
        <f>C204</f>
        <v>1529211.2200000002</v>
      </c>
      <c r="D203" s="479">
        <f>D204</f>
        <v>-148710</v>
      </c>
      <c r="E203" s="479">
        <f>+C203+D203</f>
        <v>1380501.2200000002</v>
      </c>
      <c r="F203" s="479">
        <v>1293719.6000000001</v>
      </c>
      <c r="G203" s="479">
        <v>1110330.83</v>
      </c>
      <c r="H203" s="479">
        <f>+E203-F203</f>
        <v>86781.620000000112</v>
      </c>
      <c r="I203" s="478">
        <f>+F203/E203</f>
        <v>0.93713759992186019</v>
      </c>
      <c r="J203" s="477"/>
    </row>
    <row r="204" spans="1:10" x14ac:dyDescent="0.25">
      <c r="A204" s="494">
        <v>35501</v>
      </c>
      <c r="B204" s="493" t="s">
        <v>539</v>
      </c>
      <c r="C204" s="480">
        <v>1529211.2200000002</v>
      </c>
      <c r="D204" s="480">
        <v>-148710</v>
      </c>
      <c r="E204" s="479">
        <f>+C204+D204</f>
        <v>1380501.2200000002</v>
      </c>
      <c r="F204" s="480">
        <v>1293719.6000000001</v>
      </c>
      <c r="G204" s="480">
        <v>1110330.83</v>
      </c>
      <c r="H204" s="479">
        <f>+E204-F204</f>
        <v>86781.620000000112</v>
      </c>
      <c r="I204" s="478">
        <f>+F204/E204</f>
        <v>0.93713759992186019</v>
      </c>
      <c r="J204" s="477"/>
    </row>
    <row r="205" spans="1:10" ht="22.5" x14ac:dyDescent="0.25">
      <c r="A205" s="497">
        <v>357</v>
      </c>
      <c r="B205" s="501" t="s">
        <v>538</v>
      </c>
      <c r="C205" s="479">
        <f>C206</f>
        <v>5815455</v>
      </c>
      <c r="D205" s="479">
        <f>D206</f>
        <v>-107200.35999999987</v>
      </c>
      <c r="E205" s="479">
        <f>+C205+D205</f>
        <v>5708254.6400000006</v>
      </c>
      <c r="F205" s="479">
        <v>4805005.13</v>
      </c>
      <c r="G205" s="479">
        <v>3176892.41</v>
      </c>
      <c r="H205" s="479">
        <f>+E205-F205</f>
        <v>903249.51000000071</v>
      </c>
      <c r="I205" s="478">
        <f>+F205/E205</f>
        <v>0.84176432780861354</v>
      </c>
      <c r="J205" s="477"/>
    </row>
    <row r="206" spans="1:10" x14ac:dyDescent="0.25">
      <c r="A206" s="494">
        <v>35701</v>
      </c>
      <c r="B206" s="493" t="s">
        <v>537</v>
      </c>
      <c r="C206" s="480">
        <v>5815455</v>
      </c>
      <c r="D206" s="480">
        <v>-107200.35999999987</v>
      </c>
      <c r="E206" s="479">
        <f>+C206+D206</f>
        <v>5708254.6400000006</v>
      </c>
      <c r="F206" s="480">
        <v>4805005.13</v>
      </c>
      <c r="G206" s="480">
        <v>3176892.41</v>
      </c>
      <c r="H206" s="479">
        <f>+E206-F206</f>
        <v>903249.51000000071</v>
      </c>
      <c r="I206" s="478">
        <f>+F206/E206</f>
        <v>0.84176432780861354</v>
      </c>
      <c r="J206" s="477"/>
    </row>
    <row r="207" spans="1:10" ht="22.5" hidden="1" x14ac:dyDescent="0.25">
      <c r="A207" s="494">
        <v>35702</v>
      </c>
      <c r="B207" s="493" t="s">
        <v>536</v>
      </c>
      <c r="C207" s="480">
        <v>0</v>
      </c>
      <c r="D207" s="480">
        <v>0</v>
      </c>
      <c r="E207" s="479">
        <f>+C207+D207</f>
        <v>0</v>
      </c>
      <c r="F207" s="480">
        <v>0</v>
      </c>
      <c r="G207" s="480">
        <v>0</v>
      </c>
      <c r="H207" s="479">
        <f>+E207-F207</f>
        <v>0</v>
      </c>
      <c r="I207" s="478" t="e">
        <f>+F207/E207</f>
        <v>#DIV/0!</v>
      </c>
      <c r="J207" s="477"/>
    </row>
    <row r="208" spans="1:10" x14ac:dyDescent="0.25">
      <c r="A208" s="497">
        <v>358</v>
      </c>
      <c r="B208" s="501" t="s">
        <v>535</v>
      </c>
      <c r="C208" s="479">
        <f>C209</f>
        <v>224808.12</v>
      </c>
      <c r="D208" s="479">
        <f>D209</f>
        <v>-174</v>
      </c>
      <c r="E208" s="479">
        <f>+C208+D208</f>
        <v>224634.12</v>
      </c>
      <c r="F208" s="479">
        <v>194150.94</v>
      </c>
      <c r="G208" s="479">
        <v>166609.18</v>
      </c>
      <c r="H208" s="479">
        <f>+E208-F208</f>
        <v>30483.179999999993</v>
      </c>
      <c r="I208" s="478">
        <f>+F208/E208</f>
        <v>0.86429853131839462</v>
      </c>
      <c r="J208" s="477"/>
    </row>
    <row r="209" spans="1:10" x14ac:dyDescent="0.25">
      <c r="A209" s="494">
        <v>35801</v>
      </c>
      <c r="B209" s="493" t="s">
        <v>535</v>
      </c>
      <c r="C209" s="480">
        <v>224808.12</v>
      </c>
      <c r="D209" s="480">
        <v>-174</v>
      </c>
      <c r="E209" s="479">
        <f>+C209+D209</f>
        <v>224634.12</v>
      </c>
      <c r="F209" s="480">
        <v>194150.94</v>
      </c>
      <c r="G209" s="480">
        <v>166609.18</v>
      </c>
      <c r="H209" s="479">
        <f>+E209-F209</f>
        <v>30483.179999999993</v>
      </c>
      <c r="I209" s="478">
        <f>+F209/E209</f>
        <v>0.86429853131839462</v>
      </c>
      <c r="J209" s="477"/>
    </row>
    <row r="210" spans="1:10" x14ac:dyDescent="0.25">
      <c r="A210" s="497">
        <v>359</v>
      </c>
      <c r="B210" s="501" t="s">
        <v>534</v>
      </c>
      <c r="C210" s="479">
        <f>C211</f>
        <v>95355</v>
      </c>
      <c r="D210" s="479">
        <f>D211</f>
        <v>30409</v>
      </c>
      <c r="E210" s="479">
        <f>+C210+D210</f>
        <v>125764</v>
      </c>
      <c r="F210" s="479">
        <v>122402.83</v>
      </c>
      <c r="G210" s="479">
        <v>84010.09</v>
      </c>
      <c r="H210" s="479">
        <f>+E210-F210</f>
        <v>3361.1699999999983</v>
      </c>
      <c r="I210" s="478">
        <f>+F210/E210</f>
        <v>0.97327398937692822</v>
      </c>
      <c r="J210" s="477"/>
    </row>
    <row r="211" spans="1:10" x14ac:dyDescent="0.25">
      <c r="A211" s="494">
        <v>35901</v>
      </c>
      <c r="B211" s="493" t="s">
        <v>534</v>
      </c>
      <c r="C211" s="480">
        <v>95355</v>
      </c>
      <c r="D211" s="480">
        <f>17611+12798</f>
        <v>30409</v>
      </c>
      <c r="E211" s="479">
        <f>+C211+D211</f>
        <v>125764</v>
      </c>
      <c r="F211" s="480">
        <v>122402.83</v>
      </c>
      <c r="G211" s="480">
        <v>84010.09</v>
      </c>
      <c r="H211" s="479">
        <f>+E211-F211</f>
        <v>3361.1699999999983</v>
      </c>
      <c r="I211" s="478">
        <f>+F211/E211</f>
        <v>0.97327398937692822</v>
      </c>
      <c r="J211" s="477"/>
    </row>
    <row r="212" spans="1:10" x14ac:dyDescent="0.25">
      <c r="A212" s="498">
        <v>3600</v>
      </c>
      <c r="B212" s="501" t="s">
        <v>533</v>
      </c>
      <c r="C212" s="479">
        <f>C213+C215+C217+C219</f>
        <v>1067467.54</v>
      </c>
      <c r="D212" s="479">
        <f>D213+D215+D217+D219</f>
        <v>273905</v>
      </c>
      <c r="E212" s="479">
        <f>+C212+D212</f>
        <v>1341372.54</v>
      </c>
      <c r="F212" s="479">
        <v>1159910</v>
      </c>
      <c r="G212" s="479">
        <v>519590</v>
      </c>
      <c r="H212" s="479">
        <f>+E212-F212</f>
        <v>181462.54000000004</v>
      </c>
      <c r="I212" s="478">
        <f>+F212/E212</f>
        <v>0.86471876038255557</v>
      </c>
      <c r="J212" s="477"/>
    </row>
    <row r="213" spans="1:10" ht="33.75" x14ac:dyDescent="0.25">
      <c r="A213" s="497">
        <v>361</v>
      </c>
      <c r="B213" s="501" t="s">
        <v>532</v>
      </c>
      <c r="C213" s="479">
        <f>C214</f>
        <v>907272</v>
      </c>
      <c r="D213" s="479">
        <f>D214</f>
        <v>164709</v>
      </c>
      <c r="E213" s="479">
        <f>+C213+D213</f>
        <v>1071981</v>
      </c>
      <c r="F213" s="479">
        <v>1047840</v>
      </c>
      <c r="G213" s="479">
        <v>407520</v>
      </c>
      <c r="H213" s="479">
        <f>+E213-F213</f>
        <v>24141</v>
      </c>
      <c r="I213" s="478">
        <f>+F213/E213</f>
        <v>0.97748001130617057</v>
      </c>
      <c r="J213" s="477"/>
    </row>
    <row r="214" spans="1:10" ht="22.5" x14ac:dyDescent="0.25">
      <c r="A214" s="494">
        <v>36101</v>
      </c>
      <c r="B214" s="493" t="s">
        <v>532</v>
      </c>
      <c r="C214" s="480">
        <v>907272</v>
      </c>
      <c r="D214" s="480">
        <f>180160-15297-154</f>
        <v>164709</v>
      </c>
      <c r="E214" s="479">
        <f>+C214+D214</f>
        <v>1071981</v>
      </c>
      <c r="F214" s="480">
        <v>1047840</v>
      </c>
      <c r="G214" s="480">
        <v>407520</v>
      </c>
      <c r="H214" s="479">
        <f>+E214-F214</f>
        <v>24141</v>
      </c>
      <c r="I214" s="478">
        <f>+F214/E214</f>
        <v>0.97748001130617057</v>
      </c>
      <c r="J214" s="477"/>
    </row>
    <row r="215" spans="1:10" x14ac:dyDescent="0.25">
      <c r="A215" s="497">
        <v>364</v>
      </c>
      <c r="B215" s="501" t="s">
        <v>531</v>
      </c>
      <c r="C215" s="479">
        <f>C216</f>
        <v>402.6</v>
      </c>
      <c r="D215" s="479">
        <f>D216</f>
        <v>0</v>
      </c>
      <c r="E215" s="479">
        <f>+C215+D215</f>
        <v>402.6</v>
      </c>
      <c r="F215" s="479">
        <v>0</v>
      </c>
      <c r="G215" s="479">
        <v>0</v>
      </c>
      <c r="H215" s="479">
        <f>+E215-F215</f>
        <v>402.6</v>
      </c>
      <c r="I215" s="478">
        <f>+F215/E215</f>
        <v>0</v>
      </c>
      <c r="J215" s="477"/>
    </row>
    <row r="216" spans="1:10" x14ac:dyDescent="0.25">
      <c r="A216" s="494">
        <v>36401</v>
      </c>
      <c r="B216" s="493" t="s">
        <v>531</v>
      </c>
      <c r="C216" s="480">
        <v>402.6</v>
      </c>
      <c r="D216" s="480">
        <v>0</v>
      </c>
      <c r="E216" s="479">
        <f>+C216+D216</f>
        <v>402.6</v>
      </c>
      <c r="F216" s="480">
        <v>0</v>
      </c>
      <c r="G216" s="480">
        <v>0</v>
      </c>
      <c r="H216" s="479">
        <f>+E216-F216</f>
        <v>402.6</v>
      </c>
      <c r="I216" s="478">
        <f>+F216/E216</f>
        <v>0</v>
      </c>
      <c r="J216" s="477"/>
    </row>
    <row r="217" spans="1:10" x14ac:dyDescent="0.25">
      <c r="A217" s="497">
        <v>365</v>
      </c>
      <c r="B217" s="501" t="s">
        <v>530</v>
      </c>
      <c r="C217" s="479">
        <f>C218</f>
        <v>0</v>
      </c>
      <c r="D217" s="479">
        <f>D218</f>
        <v>108460</v>
      </c>
      <c r="E217" s="479">
        <f>+C217+D217</f>
        <v>108460</v>
      </c>
      <c r="F217" s="480">
        <v>108460</v>
      </c>
      <c r="G217" s="480">
        <v>108460</v>
      </c>
      <c r="H217" s="479">
        <f>+E217-F217</f>
        <v>0</v>
      </c>
      <c r="I217" s="478">
        <f>+F217/E217</f>
        <v>1</v>
      </c>
      <c r="J217" s="477"/>
    </row>
    <row r="218" spans="1:10" x14ac:dyDescent="0.25">
      <c r="A218" s="494">
        <v>36501</v>
      </c>
      <c r="B218" s="493" t="s">
        <v>530</v>
      </c>
      <c r="C218" s="480"/>
      <c r="D218" s="480">
        <v>108460</v>
      </c>
      <c r="E218" s="479">
        <f>+C218+D218</f>
        <v>108460</v>
      </c>
      <c r="F218" s="480">
        <v>108460</v>
      </c>
      <c r="G218" s="480">
        <v>108460</v>
      </c>
      <c r="H218" s="479">
        <f>+E218-F218</f>
        <v>0</v>
      </c>
      <c r="I218" s="478">
        <f>+F218/E218</f>
        <v>1</v>
      </c>
      <c r="J218" s="477"/>
    </row>
    <row r="219" spans="1:10" x14ac:dyDescent="0.25">
      <c r="A219" s="497">
        <v>369</v>
      </c>
      <c r="B219" s="501" t="s">
        <v>529</v>
      </c>
      <c r="C219" s="479">
        <f>C220</f>
        <v>159792.94</v>
      </c>
      <c r="D219" s="479">
        <f>D220</f>
        <v>736</v>
      </c>
      <c r="E219" s="479">
        <f>+C219+D219</f>
        <v>160528.94</v>
      </c>
      <c r="F219" s="479">
        <v>3610</v>
      </c>
      <c r="G219" s="479">
        <v>3610</v>
      </c>
      <c r="H219" s="479">
        <f>+E219-F219</f>
        <v>156918.94</v>
      </c>
      <c r="I219" s="478">
        <f>+F219/E219</f>
        <v>2.2488156964096319E-2</v>
      </c>
      <c r="J219" s="477"/>
    </row>
    <row r="220" spans="1:10" x14ac:dyDescent="0.25">
      <c r="A220" s="494">
        <v>36901</v>
      </c>
      <c r="B220" s="493" t="s">
        <v>529</v>
      </c>
      <c r="C220" s="480">
        <v>159792.94</v>
      </c>
      <c r="D220" s="480">
        <v>736</v>
      </c>
      <c r="E220" s="479">
        <f>+C220+D220</f>
        <v>160528.94</v>
      </c>
      <c r="F220" s="480">
        <v>3610</v>
      </c>
      <c r="G220" s="480">
        <v>3610</v>
      </c>
      <c r="H220" s="479">
        <f>+E220-F220</f>
        <v>156918.94</v>
      </c>
      <c r="I220" s="478">
        <f>+F220/E220</f>
        <v>2.2488156964096319E-2</v>
      </c>
      <c r="J220" s="477"/>
    </row>
    <row r="221" spans="1:10" x14ac:dyDescent="0.25">
      <c r="A221" s="498">
        <v>3700</v>
      </c>
      <c r="B221" s="501" t="s">
        <v>528</v>
      </c>
      <c r="C221" s="479">
        <f>C222+C225+C227+C230+C232+C234</f>
        <v>2980396.39</v>
      </c>
      <c r="D221" s="479">
        <f>D222+D225+D227+D230+D232+D234</f>
        <v>74790</v>
      </c>
      <c r="E221" s="479">
        <f>+C221+D221</f>
        <v>3055186.39</v>
      </c>
      <c r="F221" s="479">
        <v>2580607.0600000005</v>
      </c>
      <c r="G221" s="479">
        <v>2429827.1300000004</v>
      </c>
      <c r="H221" s="479">
        <f>+E221-F221</f>
        <v>474579.32999999961</v>
      </c>
      <c r="I221" s="478">
        <f>+F221/E221</f>
        <v>0.84466436105065279</v>
      </c>
      <c r="J221" s="477"/>
    </row>
    <row r="222" spans="1:10" x14ac:dyDescent="0.25">
      <c r="A222" s="497">
        <v>371</v>
      </c>
      <c r="B222" s="501" t="s">
        <v>527</v>
      </c>
      <c r="C222" s="479">
        <f>C223</f>
        <v>648475.68000000005</v>
      </c>
      <c r="D222" s="479">
        <f>D223</f>
        <v>-42509</v>
      </c>
      <c r="E222" s="479">
        <f>+C222+D222</f>
        <v>605966.68000000005</v>
      </c>
      <c r="F222" s="479">
        <v>540435.93000000005</v>
      </c>
      <c r="G222" s="479">
        <v>390410</v>
      </c>
      <c r="H222" s="479">
        <f>+E222-F222</f>
        <v>65530.75</v>
      </c>
      <c r="I222" s="478">
        <f>+F222/E222</f>
        <v>0.89185750279206777</v>
      </c>
      <c r="J222" s="477"/>
    </row>
    <row r="223" spans="1:10" x14ac:dyDescent="0.25">
      <c r="A223" s="494">
        <v>37101</v>
      </c>
      <c r="B223" s="493" t="s">
        <v>526</v>
      </c>
      <c r="C223" s="480">
        <v>648475.68000000005</v>
      </c>
      <c r="D223" s="480">
        <v>-42509</v>
      </c>
      <c r="E223" s="479">
        <f>+C223+D223</f>
        <v>605966.68000000005</v>
      </c>
      <c r="F223" s="480">
        <v>540435.93000000005</v>
      </c>
      <c r="G223" s="480">
        <v>390410</v>
      </c>
      <c r="H223" s="479">
        <f>+E223-F223</f>
        <v>65530.75</v>
      </c>
      <c r="I223" s="478">
        <f>+F223/E223</f>
        <v>0.89185750279206777</v>
      </c>
      <c r="J223" s="477"/>
    </row>
    <row r="224" spans="1:10" hidden="1" x14ac:dyDescent="0.25">
      <c r="A224" s="494">
        <v>37104</v>
      </c>
      <c r="B224" s="493" t="s">
        <v>525</v>
      </c>
      <c r="C224" s="480">
        <v>0</v>
      </c>
      <c r="D224" s="480">
        <v>0</v>
      </c>
      <c r="E224" s="479">
        <f>+C224+D224</f>
        <v>0</v>
      </c>
      <c r="F224" s="480">
        <v>0</v>
      </c>
      <c r="G224" s="480">
        <v>0</v>
      </c>
      <c r="H224" s="479">
        <f>+E224-F224</f>
        <v>0</v>
      </c>
      <c r="I224" s="478" t="e">
        <f>+F224/E224</f>
        <v>#DIV/0!</v>
      </c>
      <c r="J224" s="477"/>
    </row>
    <row r="225" spans="1:10" x14ac:dyDescent="0.25">
      <c r="A225" s="497">
        <v>372</v>
      </c>
      <c r="B225" s="501" t="s">
        <v>524</v>
      </c>
      <c r="C225" s="479">
        <f>C226</f>
        <v>76457</v>
      </c>
      <c r="D225" s="479">
        <f>D226</f>
        <v>4458</v>
      </c>
      <c r="E225" s="479">
        <f>+C225+D225</f>
        <v>80915</v>
      </c>
      <c r="F225" s="479">
        <v>80692.960000000006</v>
      </c>
      <c r="G225" s="479">
        <v>80692.960000000006</v>
      </c>
      <c r="H225" s="479">
        <f>+E225-F225</f>
        <v>222.0399999999936</v>
      </c>
      <c r="I225" s="478">
        <f>+F225/E225</f>
        <v>0.99725588580609292</v>
      </c>
      <c r="J225" s="477"/>
    </row>
    <row r="226" spans="1:10" x14ac:dyDescent="0.25">
      <c r="A226" s="494">
        <v>37201</v>
      </c>
      <c r="B226" s="493" t="s">
        <v>524</v>
      </c>
      <c r="C226" s="480">
        <v>76457</v>
      </c>
      <c r="D226" s="480">
        <f>600+3858</f>
        <v>4458</v>
      </c>
      <c r="E226" s="479">
        <f>+C226+D226</f>
        <v>80915</v>
      </c>
      <c r="F226" s="480">
        <v>80692.960000000006</v>
      </c>
      <c r="G226" s="480">
        <v>80692.960000000006</v>
      </c>
      <c r="H226" s="479">
        <f>+E226-F226</f>
        <v>222.0399999999936</v>
      </c>
      <c r="I226" s="478">
        <f>+F226/E226</f>
        <v>0.99725588580609292</v>
      </c>
      <c r="J226" s="477"/>
    </row>
    <row r="227" spans="1:10" x14ac:dyDescent="0.25">
      <c r="A227" s="497">
        <v>375</v>
      </c>
      <c r="B227" s="501" t="s">
        <v>523</v>
      </c>
      <c r="C227" s="479">
        <f>C228+C229</f>
        <v>2037458.71</v>
      </c>
      <c r="D227" s="479">
        <f>D228+D229</f>
        <v>112841</v>
      </c>
      <c r="E227" s="479">
        <f>+C227+D227</f>
        <v>2150299.71</v>
      </c>
      <c r="F227" s="479">
        <v>1808914.17</v>
      </c>
      <c r="G227" s="479">
        <v>1808234.17</v>
      </c>
      <c r="H227" s="479">
        <f>+E227-F227</f>
        <v>341385.54000000004</v>
      </c>
      <c r="I227" s="478">
        <f>+F227/E227</f>
        <v>0.84123815930756929</v>
      </c>
      <c r="J227" s="477"/>
    </row>
    <row r="228" spans="1:10" x14ac:dyDescent="0.25">
      <c r="A228" s="494">
        <v>37501</v>
      </c>
      <c r="B228" s="493" t="s">
        <v>523</v>
      </c>
      <c r="C228" s="480">
        <v>1328400</v>
      </c>
      <c r="D228" s="480">
        <v>14241</v>
      </c>
      <c r="E228" s="479">
        <f>+C228+D228</f>
        <v>1342641</v>
      </c>
      <c r="F228" s="480">
        <v>1182914.17</v>
      </c>
      <c r="G228" s="480">
        <v>1182434.17</v>
      </c>
      <c r="H228" s="479">
        <f>+E228-F228</f>
        <v>159726.83000000007</v>
      </c>
      <c r="I228" s="478">
        <f>+F228/E228</f>
        <v>0.88103534004994633</v>
      </c>
      <c r="J228" s="477"/>
    </row>
    <row r="229" spans="1:10" x14ac:dyDescent="0.25">
      <c r="A229" s="494">
        <v>37502</v>
      </c>
      <c r="B229" s="493" t="s">
        <v>522</v>
      </c>
      <c r="C229" s="480">
        <v>709058.71</v>
      </c>
      <c r="D229" s="480">
        <v>98600</v>
      </c>
      <c r="E229" s="479">
        <f>+C229+D229</f>
        <v>807658.71</v>
      </c>
      <c r="F229" s="480">
        <v>626000</v>
      </c>
      <c r="G229" s="480">
        <v>625800</v>
      </c>
      <c r="H229" s="479">
        <f>+E229-F229</f>
        <v>181658.70999999996</v>
      </c>
      <c r="I229" s="478">
        <f>+F229/E229</f>
        <v>0.77507986015528763</v>
      </c>
      <c r="J229" s="477"/>
    </row>
    <row r="230" spans="1:10" x14ac:dyDescent="0.25">
      <c r="A230" s="497">
        <v>376</v>
      </c>
      <c r="B230" s="501" t="s">
        <v>521</v>
      </c>
      <c r="C230" s="479">
        <f>C231</f>
        <v>148007</v>
      </c>
      <c r="D230" s="479">
        <f>D231</f>
        <v>0</v>
      </c>
      <c r="E230" s="479">
        <f>+C230+D230</f>
        <v>148007</v>
      </c>
      <c r="F230" s="479">
        <v>134196</v>
      </c>
      <c r="G230" s="479">
        <v>134196</v>
      </c>
      <c r="H230" s="479">
        <f>+E230-F230</f>
        <v>13811</v>
      </c>
      <c r="I230" s="478">
        <f>+F230/E230</f>
        <v>0.90668684589242399</v>
      </c>
      <c r="J230" s="477"/>
    </row>
    <row r="231" spans="1:10" x14ac:dyDescent="0.25">
      <c r="A231" s="494">
        <v>37601</v>
      </c>
      <c r="B231" s="493" t="s">
        <v>521</v>
      </c>
      <c r="C231" s="480">
        <v>148007</v>
      </c>
      <c r="D231" s="480">
        <v>0</v>
      </c>
      <c r="E231" s="479">
        <f>+C231+D231</f>
        <v>148007</v>
      </c>
      <c r="F231" s="480">
        <v>134196</v>
      </c>
      <c r="G231" s="480">
        <v>134196</v>
      </c>
      <c r="H231" s="479">
        <f>+E231-F231</f>
        <v>13811</v>
      </c>
      <c r="I231" s="478">
        <f>+F231/E231</f>
        <v>0.90668684589242399</v>
      </c>
      <c r="J231" s="477"/>
    </row>
    <row r="232" spans="1:10" x14ac:dyDescent="0.25">
      <c r="A232" s="497">
        <v>378</v>
      </c>
      <c r="B232" s="501" t="s">
        <v>520</v>
      </c>
      <c r="C232" s="479">
        <f>C233</f>
        <v>35626</v>
      </c>
      <c r="D232" s="479">
        <f>D233</f>
        <v>0</v>
      </c>
      <c r="E232" s="479">
        <f>+C232+D232</f>
        <v>35626</v>
      </c>
      <c r="F232" s="479">
        <v>7026</v>
      </c>
      <c r="G232" s="479">
        <v>7026</v>
      </c>
      <c r="H232" s="479">
        <f>+E232-F232</f>
        <v>28600</v>
      </c>
      <c r="I232" s="478">
        <f>+F232/E232</f>
        <v>0.19721551675742435</v>
      </c>
      <c r="J232" s="477"/>
    </row>
    <row r="233" spans="1:10" x14ac:dyDescent="0.25">
      <c r="A233" s="494">
        <v>37801</v>
      </c>
      <c r="B233" s="493" t="s">
        <v>520</v>
      </c>
      <c r="C233" s="480">
        <v>35626</v>
      </c>
      <c r="D233" s="480">
        <v>0</v>
      </c>
      <c r="E233" s="479">
        <f>+C233+D233</f>
        <v>35626</v>
      </c>
      <c r="F233" s="480">
        <v>7026</v>
      </c>
      <c r="G233" s="480">
        <v>7026</v>
      </c>
      <c r="H233" s="479">
        <f>+E233-F233</f>
        <v>28600</v>
      </c>
      <c r="I233" s="478">
        <f>+F233/E233</f>
        <v>0.19721551675742435</v>
      </c>
      <c r="J233" s="477"/>
    </row>
    <row r="234" spans="1:10" x14ac:dyDescent="0.25">
      <c r="A234" s="497">
        <v>379</v>
      </c>
      <c r="B234" s="501" t="s">
        <v>519</v>
      </c>
      <c r="C234" s="479">
        <f>C235</f>
        <v>34372</v>
      </c>
      <c r="D234" s="479">
        <f>D235</f>
        <v>0</v>
      </c>
      <c r="E234" s="479">
        <f>+C234+D234</f>
        <v>34372</v>
      </c>
      <c r="F234" s="479">
        <v>9342</v>
      </c>
      <c r="G234" s="479">
        <v>9268</v>
      </c>
      <c r="H234" s="479">
        <f>+E234-F234</f>
        <v>25030</v>
      </c>
      <c r="I234" s="478">
        <f>+F234/E234</f>
        <v>0.27179099266845108</v>
      </c>
      <c r="J234" s="477"/>
    </row>
    <row r="235" spans="1:10" x14ac:dyDescent="0.25">
      <c r="A235" s="494">
        <v>37901</v>
      </c>
      <c r="B235" s="493" t="s">
        <v>518</v>
      </c>
      <c r="C235" s="480">
        <v>34372</v>
      </c>
      <c r="D235" s="480">
        <v>0</v>
      </c>
      <c r="E235" s="479">
        <f>+C235+D235</f>
        <v>34372</v>
      </c>
      <c r="F235" s="480">
        <v>9342</v>
      </c>
      <c r="G235" s="480">
        <v>9268</v>
      </c>
      <c r="H235" s="479">
        <f>+E235-F235</f>
        <v>25030</v>
      </c>
      <c r="I235" s="478">
        <f>+F235/E235</f>
        <v>0.27179099266845108</v>
      </c>
      <c r="J235" s="477"/>
    </row>
    <row r="236" spans="1:10" x14ac:dyDescent="0.25">
      <c r="A236" s="498">
        <v>3800</v>
      </c>
      <c r="B236" s="501" t="s">
        <v>517</v>
      </c>
      <c r="C236" s="479">
        <f>C237+C241</f>
        <v>83139</v>
      </c>
      <c r="D236" s="479">
        <f>D237+D241</f>
        <v>175530</v>
      </c>
      <c r="E236" s="479">
        <f>+C236+D236</f>
        <v>258669</v>
      </c>
      <c r="F236" s="479">
        <v>258412.40000000002</v>
      </c>
      <c r="G236" s="479">
        <v>258412.40000000002</v>
      </c>
      <c r="H236" s="479">
        <f>+E236-F236</f>
        <v>256.59999999997672</v>
      </c>
      <c r="I236" s="478">
        <f>+F236/E236</f>
        <v>0.99900799863918766</v>
      </c>
      <c r="J236" s="477"/>
    </row>
    <row r="237" spans="1:10" x14ac:dyDescent="0.25">
      <c r="A237" s="497">
        <v>381</v>
      </c>
      <c r="B237" s="501" t="s">
        <v>516</v>
      </c>
      <c r="C237" s="479">
        <f>C238</f>
        <v>12750</v>
      </c>
      <c r="D237" s="479">
        <f>D238</f>
        <v>12258</v>
      </c>
      <c r="E237" s="479">
        <f>+C237+D237</f>
        <v>25008</v>
      </c>
      <c r="F237" s="479">
        <v>25008.1</v>
      </c>
      <c r="G237" s="479">
        <v>25008.1</v>
      </c>
      <c r="H237" s="479">
        <f>+E237-F237</f>
        <v>-9.9999999998544808E-2</v>
      </c>
      <c r="I237" s="478">
        <f>+F237/E237</f>
        <v>1.0000039987204095</v>
      </c>
      <c r="J237" s="477"/>
    </row>
    <row r="238" spans="1:10" x14ac:dyDescent="0.25">
      <c r="A238" s="494">
        <v>38101</v>
      </c>
      <c r="B238" s="493" t="s">
        <v>516</v>
      </c>
      <c r="C238" s="480">
        <v>12750</v>
      </c>
      <c r="D238" s="480">
        <f>6960+5298</f>
        <v>12258</v>
      </c>
      <c r="E238" s="479">
        <f>+C238+D238</f>
        <v>25008</v>
      </c>
      <c r="F238" s="480">
        <v>25008.1</v>
      </c>
      <c r="G238" s="480">
        <v>25008.1</v>
      </c>
      <c r="H238" s="479">
        <f>+E238-F238</f>
        <v>-9.9999999998544808E-2</v>
      </c>
      <c r="I238" s="478">
        <f>+F238/E238</f>
        <v>1.0000039987204095</v>
      </c>
      <c r="J238" s="477"/>
    </row>
    <row r="239" spans="1:10" hidden="1" x14ac:dyDescent="0.25">
      <c r="A239" s="497">
        <v>382</v>
      </c>
      <c r="B239" s="501" t="s">
        <v>515</v>
      </c>
      <c r="C239" s="479">
        <v>0</v>
      </c>
      <c r="D239" s="479">
        <v>0</v>
      </c>
      <c r="E239" s="479">
        <f>+C239+D239</f>
        <v>0</v>
      </c>
      <c r="F239" s="479">
        <v>0</v>
      </c>
      <c r="G239" s="479">
        <v>0</v>
      </c>
      <c r="H239" s="479">
        <f>+E239-F239</f>
        <v>0</v>
      </c>
      <c r="I239" s="478"/>
      <c r="J239" s="477"/>
    </row>
    <row r="240" spans="1:10" hidden="1" x14ac:dyDescent="0.25">
      <c r="A240" s="494">
        <v>38201</v>
      </c>
      <c r="B240" s="493" t="s">
        <v>515</v>
      </c>
      <c r="C240" s="480">
        <v>0</v>
      </c>
      <c r="D240" s="480">
        <v>0</v>
      </c>
      <c r="E240" s="479">
        <f>+C240+D240</f>
        <v>0</v>
      </c>
      <c r="F240" s="480">
        <v>0</v>
      </c>
      <c r="G240" s="480">
        <v>0</v>
      </c>
      <c r="H240" s="479">
        <f>+E240-F240</f>
        <v>0</v>
      </c>
      <c r="I240" s="478"/>
      <c r="J240" s="477"/>
    </row>
    <row r="241" spans="1:10" x14ac:dyDescent="0.25">
      <c r="A241" s="497">
        <v>383</v>
      </c>
      <c r="B241" s="501" t="s">
        <v>514</v>
      </c>
      <c r="C241" s="479">
        <f>C242</f>
        <v>70389</v>
      </c>
      <c r="D241" s="479">
        <f>D242</f>
        <v>163272</v>
      </c>
      <c r="E241" s="479">
        <f>+C241+D241</f>
        <v>233661</v>
      </c>
      <c r="F241" s="479">
        <v>233404.30000000002</v>
      </c>
      <c r="G241" s="479">
        <v>233404.30000000002</v>
      </c>
      <c r="H241" s="479">
        <f>+E241-F241</f>
        <v>256.69999999998254</v>
      </c>
      <c r="I241" s="478">
        <f>+F241/E241</f>
        <v>0.99890139989129556</v>
      </c>
      <c r="J241" s="477"/>
    </row>
    <row r="242" spans="1:10" x14ac:dyDescent="0.25">
      <c r="A242" s="494">
        <v>38301</v>
      </c>
      <c r="B242" s="493" t="s">
        <v>514</v>
      </c>
      <c r="C242" s="480">
        <v>70389</v>
      </c>
      <c r="D242" s="480">
        <v>163272</v>
      </c>
      <c r="E242" s="479">
        <f>+C242+D242</f>
        <v>233661</v>
      </c>
      <c r="F242" s="480">
        <v>233404.30000000002</v>
      </c>
      <c r="G242" s="480">
        <v>233404.30000000002</v>
      </c>
      <c r="H242" s="479">
        <f>+E242-F242</f>
        <v>256.69999999998254</v>
      </c>
      <c r="I242" s="478">
        <f>+F242/E242</f>
        <v>0.99890139989129556</v>
      </c>
      <c r="J242" s="477"/>
    </row>
    <row r="243" spans="1:10" hidden="1" x14ac:dyDescent="0.25">
      <c r="A243" s="497">
        <v>385</v>
      </c>
      <c r="B243" s="501" t="s">
        <v>513</v>
      </c>
      <c r="C243" s="479">
        <v>0</v>
      </c>
      <c r="D243" s="479">
        <v>0</v>
      </c>
      <c r="E243" s="479">
        <f>+C243+D243</f>
        <v>0</v>
      </c>
      <c r="F243" s="479">
        <v>0</v>
      </c>
      <c r="G243" s="479">
        <v>0</v>
      </c>
      <c r="H243" s="479">
        <f>+E243-F243</f>
        <v>0</v>
      </c>
      <c r="I243" s="478"/>
      <c r="J243" s="477"/>
    </row>
    <row r="244" spans="1:10" hidden="1" x14ac:dyDescent="0.25">
      <c r="A244" s="494">
        <v>38501</v>
      </c>
      <c r="B244" s="493" t="s">
        <v>512</v>
      </c>
      <c r="C244" s="480">
        <v>0</v>
      </c>
      <c r="D244" s="480">
        <v>0</v>
      </c>
      <c r="E244" s="479">
        <f>+C244+D244</f>
        <v>0</v>
      </c>
      <c r="F244" s="480">
        <v>0</v>
      </c>
      <c r="G244" s="480">
        <v>0</v>
      </c>
      <c r="H244" s="479">
        <f>+E244-F244</f>
        <v>0</v>
      </c>
      <c r="I244" s="478"/>
      <c r="J244" s="477"/>
    </row>
    <row r="245" spans="1:10" x14ac:dyDescent="0.25">
      <c r="A245" s="498">
        <v>3900</v>
      </c>
      <c r="B245" s="501" t="s">
        <v>511</v>
      </c>
      <c r="C245" s="479">
        <f>C246+C248+C250+C252</f>
        <v>7030524.5200000005</v>
      </c>
      <c r="D245" s="479">
        <f>D246+D248+D250+D252</f>
        <v>29993662</v>
      </c>
      <c r="E245" s="479">
        <f>+C245+D245</f>
        <v>37024186.520000003</v>
      </c>
      <c r="F245" s="479">
        <v>18863488.960000001</v>
      </c>
      <c r="G245" s="479">
        <v>4307555.91</v>
      </c>
      <c r="H245" s="479">
        <f>+E245-F245</f>
        <v>18160697.560000002</v>
      </c>
      <c r="I245" s="478">
        <f>+F245/E245</f>
        <v>0.50949097692693879</v>
      </c>
      <c r="J245" s="477"/>
    </row>
    <row r="246" spans="1:10" x14ac:dyDescent="0.25">
      <c r="A246" s="497">
        <v>392</v>
      </c>
      <c r="B246" s="501" t="s">
        <v>510</v>
      </c>
      <c r="C246" s="479">
        <f>C247</f>
        <v>4923769.57</v>
      </c>
      <c r="D246" s="479">
        <f>D247</f>
        <v>27004682</v>
      </c>
      <c r="E246" s="479">
        <f>+C246+D246</f>
        <v>31928451.57</v>
      </c>
      <c r="F246" s="479">
        <v>13868950.6</v>
      </c>
      <c r="G246" s="479">
        <v>332823.44</v>
      </c>
      <c r="H246" s="479">
        <f>+E246-F246</f>
        <v>18059500.969999999</v>
      </c>
      <c r="I246" s="478">
        <f>+F246/E246</f>
        <v>0.43437592235231592</v>
      </c>
      <c r="J246" s="477"/>
    </row>
    <row r="247" spans="1:10" x14ac:dyDescent="0.25">
      <c r="A247" s="494">
        <v>39201</v>
      </c>
      <c r="B247" s="493" t="s">
        <v>510</v>
      </c>
      <c r="C247" s="480">
        <v>4923769.57</v>
      </c>
      <c r="D247" s="480">
        <f>27387285-71566-311037</f>
        <v>27004682</v>
      </c>
      <c r="E247" s="479">
        <f>+C247+D247</f>
        <v>31928451.57</v>
      </c>
      <c r="F247" s="480">
        <v>13868950.6</v>
      </c>
      <c r="G247" s="480">
        <v>332823.44</v>
      </c>
      <c r="H247" s="479">
        <f>+E247-F247</f>
        <v>18059500.969999999</v>
      </c>
      <c r="I247" s="478">
        <f>+F247/E247</f>
        <v>0.43437592235231592</v>
      </c>
      <c r="J247" s="477"/>
    </row>
    <row r="248" spans="1:10" x14ac:dyDescent="0.25">
      <c r="A248" s="497">
        <v>395</v>
      </c>
      <c r="B248" s="501" t="s">
        <v>509</v>
      </c>
      <c r="C248" s="479">
        <f>C249</f>
        <v>2099254.9500000002</v>
      </c>
      <c r="D248" s="479">
        <f>D249</f>
        <v>-47422</v>
      </c>
      <c r="E248" s="479">
        <f>+C248+D248</f>
        <v>2051832.9500000002</v>
      </c>
      <c r="F248" s="479">
        <v>1963254.9100000001</v>
      </c>
      <c r="G248" s="479">
        <v>1046639.2999999999</v>
      </c>
      <c r="H248" s="479">
        <f>+E248-F248</f>
        <v>88578.040000000037</v>
      </c>
      <c r="I248" s="478">
        <f>+F248/E248</f>
        <v>0.95682979942397361</v>
      </c>
      <c r="J248" s="477"/>
    </row>
    <row r="249" spans="1:10" x14ac:dyDescent="0.25">
      <c r="A249" s="494">
        <v>39501</v>
      </c>
      <c r="B249" s="493" t="s">
        <v>509</v>
      </c>
      <c r="C249" s="480">
        <v>2099254.9500000002</v>
      </c>
      <c r="D249" s="480">
        <f>-310669+263247</f>
        <v>-47422</v>
      </c>
      <c r="E249" s="479">
        <f>+C249+D249</f>
        <v>2051832.9500000002</v>
      </c>
      <c r="F249" s="480">
        <v>1963254.9100000001</v>
      </c>
      <c r="G249" s="480">
        <v>1046639.2999999999</v>
      </c>
      <c r="H249" s="479">
        <f>+E249-F249</f>
        <v>88578.040000000037</v>
      </c>
      <c r="I249" s="478">
        <f>+F249/E249</f>
        <v>0.95682979942397361</v>
      </c>
      <c r="J249" s="477"/>
    </row>
    <row r="250" spans="1:10" x14ac:dyDescent="0.25">
      <c r="A250" s="497">
        <v>396</v>
      </c>
      <c r="B250" s="501" t="s">
        <v>508</v>
      </c>
      <c r="C250" s="479">
        <f>C251</f>
        <v>7500</v>
      </c>
      <c r="D250" s="479">
        <f>D251</f>
        <v>0</v>
      </c>
      <c r="E250" s="479">
        <f>+C250+D250</f>
        <v>7500</v>
      </c>
      <c r="F250" s="479">
        <v>1157.68</v>
      </c>
      <c r="G250" s="479">
        <v>1157.68</v>
      </c>
      <c r="H250" s="479">
        <f>+E250-F250</f>
        <v>6342.32</v>
      </c>
      <c r="I250" s="478">
        <f>+F250/E250</f>
        <v>0.15435733333333335</v>
      </c>
      <c r="J250" s="477"/>
    </row>
    <row r="251" spans="1:10" x14ac:dyDescent="0.25">
      <c r="A251" s="494">
        <v>39601</v>
      </c>
      <c r="B251" s="493" t="s">
        <v>507</v>
      </c>
      <c r="C251" s="480">
        <v>7500</v>
      </c>
      <c r="D251" s="480">
        <v>0</v>
      </c>
      <c r="E251" s="479">
        <f>+C251+D251</f>
        <v>7500</v>
      </c>
      <c r="F251" s="480">
        <v>1157.68</v>
      </c>
      <c r="G251" s="480">
        <v>1157.68</v>
      </c>
      <c r="H251" s="479">
        <f>+E251-F251</f>
        <v>6342.32</v>
      </c>
      <c r="I251" s="478">
        <f>+F251/E251</f>
        <v>0.15435733333333335</v>
      </c>
      <c r="J251" s="477"/>
    </row>
    <row r="252" spans="1:10" ht="22.5" x14ac:dyDescent="0.25">
      <c r="A252" s="500">
        <v>398</v>
      </c>
      <c r="B252" s="501" t="s">
        <v>506</v>
      </c>
      <c r="C252" s="480">
        <f>C253</f>
        <v>0</v>
      </c>
      <c r="D252" s="479">
        <f>D253</f>
        <v>3036402</v>
      </c>
      <c r="E252" s="479">
        <f>+C252+D252</f>
        <v>3036402</v>
      </c>
      <c r="F252" s="480">
        <v>3030125.77</v>
      </c>
      <c r="G252" s="480">
        <v>2926935.4899999998</v>
      </c>
      <c r="H252" s="479">
        <f>+E252-F252</f>
        <v>6276.2299999999814</v>
      </c>
      <c r="I252" s="478"/>
      <c r="J252" s="477"/>
    </row>
    <row r="253" spans="1:10" x14ac:dyDescent="0.25">
      <c r="A253" s="494">
        <v>39801</v>
      </c>
      <c r="B253" s="493" t="s">
        <v>505</v>
      </c>
      <c r="C253" s="480">
        <v>0</v>
      </c>
      <c r="D253" s="480">
        <f>2460272+71566+481136+23428</f>
        <v>3036402</v>
      </c>
      <c r="E253" s="479">
        <f>+C253+D253</f>
        <v>3036402</v>
      </c>
      <c r="F253" s="480">
        <v>3030125.77</v>
      </c>
      <c r="G253" s="480">
        <v>2926935.4899999998</v>
      </c>
      <c r="H253" s="479">
        <f>+E253-F253</f>
        <v>6276.2299999999814</v>
      </c>
      <c r="I253" s="478"/>
      <c r="J253" s="477"/>
    </row>
    <row r="254" spans="1:10" x14ac:dyDescent="0.25">
      <c r="A254" s="494"/>
      <c r="B254" s="493"/>
      <c r="C254" s="480"/>
      <c r="D254" s="480">
        <v>0</v>
      </c>
      <c r="E254" s="479"/>
      <c r="F254" s="480"/>
      <c r="G254" s="480"/>
      <c r="H254" s="479"/>
      <c r="I254" s="478"/>
      <c r="J254" s="477"/>
    </row>
    <row r="255" spans="1:10" ht="22.5" x14ac:dyDescent="0.25">
      <c r="A255" s="490">
        <v>4000</v>
      </c>
      <c r="B255" s="501" t="s">
        <v>504</v>
      </c>
      <c r="C255" s="479">
        <f>C261</f>
        <v>0</v>
      </c>
      <c r="D255" s="479">
        <f>D261</f>
        <v>19479304.920000002</v>
      </c>
      <c r="E255" s="479">
        <f>+C255+D255</f>
        <v>19479304.920000002</v>
      </c>
      <c r="F255" s="479">
        <v>19392117</v>
      </c>
      <c r="G255" s="479">
        <v>19081080</v>
      </c>
      <c r="H255" s="479">
        <f>+E255-F255</f>
        <v>87187.920000001788</v>
      </c>
      <c r="I255" s="478">
        <f>+F255/E255</f>
        <v>0.99552407437749568</v>
      </c>
      <c r="J255" s="477"/>
    </row>
    <row r="256" spans="1:10" ht="22.5" hidden="1" x14ac:dyDescent="0.25">
      <c r="A256" s="498">
        <v>4100</v>
      </c>
      <c r="B256" s="501" t="s">
        <v>503</v>
      </c>
      <c r="C256" s="479">
        <v>0</v>
      </c>
      <c r="D256" s="479">
        <v>0</v>
      </c>
      <c r="E256" s="479">
        <f>+C256+D256</f>
        <v>0</v>
      </c>
      <c r="F256" s="479">
        <v>0</v>
      </c>
      <c r="G256" s="479">
        <v>0</v>
      </c>
      <c r="H256" s="479">
        <f>+E256-F256</f>
        <v>0</v>
      </c>
      <c r="I256" s="478"/>
      <c r="J256" s="477"/>
    </row>
    <row r="257" spans="1:10" hidden="1" x14ac:dyDescent="0.25">
      <c r="A257" s="497">
        <v>411</v>
      </c>
      <c r="B257" s="501" t="s">
        <v>502</v>
      </c>
      <c r="C257" s="479">
        <v>0</v>
      </c>
      <c r="D257" s="479">
        <v>0</v>
      </c>
      <c r="E257" s="479">
        <f>+C257+D257</f>
        <v>0</v>
      </c>
      <c r="F257" s="479">
        <v>0</v>
      </c>
      <c r="G257" s="479">
        <v>0</v>
      </c>
      <c r="H257" s="479">
        <f>+E257-F257</f>
        <v>0</v>
      </c>
      <c r="I257" s="478"/>
      <c r="J257" s="477"/>
    </row>
    <row r="258" spans="1:10" hidden="1" x14ac:dyDescent="0.25">
      <c r="A258" s="494">
        <v>41104</v>
      </c>
      <c r="B258" s="501" t="s">
        <v>501</v>
      </c>
      <c r="C258" s="479">
        <v>0</v>
      </c>
      <c r="D258" s="479">
        <v>0</v>
      </c>
      <c r="E258" s="479">
        <f>+C258+D258</f>
        <v>0</v>
      </c>
      <c r="F258" s="479">
        <v>0</v>
      </c>
      <c r="G258" s="479">
        <v>0</v>
      </c>
      <c r="H258" s="479">
        <f>+E258-F258</f>
        <v>0</v>
      </c>
      <c r="I258" s="478"/>
      <c r="J258" s="477"/>
    </row>
    <row r="259" spans="1:10" ht="22.5" hidden="1" x14ac:dyDescent="0.25">
      <c r="A259" s="497">
        <v>415</v>
      </c>
      <c r="B259" s="501" t="s">
        <v>500</v>
      </c>
      <c r="C259" s="479">
        <v>0</v>
      </c>
      <c r="D259" s="479">
        <v>0</v>
      </c>
      <c r="E259" s="479">
        <f>+C259+D259</f>
        <v>0</v>
      </c>
      <c r="F259" s="479">
        <v>0</v>
      </c>
      <c r="G259" s="479">
        <v>0</v>
      </c>
      <c r="H259" s="479">
        <f>+E259-F259</f>
        <v>0</v>
      </c>
      <c r="I259" s="478"/>
      <c r="J259" s="477"/>
    </row>
    <row r="260" spans="1:10" hidden="1" x14ac:dyDescent="0.25">
      <c r="A260" s="494">
        <v>41502</v>
      </c>
      <c r="B260" s="493" t="s">
        <v>499</v>
      </c>
      <c r="C260" s="479">
        <v>0</v>
      </c>
      <c r="D260" s="479">
        <v>0</v>
      </c>
      <c r="E260" s="479">
        <f>+C260+D260</f>
        <v>0</v>
      </c>
      <c r="F260" s="479">
        <v>0</v>
      </c>
      <c r="G260" s="479">
        <v>0</v>
      </c>
      <c r="H260" s="479">
        <f>+E260-F260</f>
        <v>0</v>
      </c>
      <c r="I260" s="478"/>
      <c r="J260" s="477"/>
    </row>
    <row r="261" spans="1:10" x14ac:dyDescent="0.25">
      <c r="A261" s="498">
        <v>4200</v>
      </c>
      <c r="B261" s="501" t="s">
        <v>498</v>
      </c>
      <c r="C261" s="479">
        <f>C262</f>
        <v>0</v>
      </c>
      <c r="D261" s="479">
        <f>D262</f>
        <v>19479304.920000002</v>
      </c>
      <c r="E261" s="479">
        <f>+C261+D261</f>
        <v>19479304.920000002</v>
      </c>
      <c r="F261" s="479">
        <v>19392117</v>
      </c>
      <c r="G261" s="479">
        <v>19081080</v>
      </c>
      <c r="H261" s="479">
        <f>+E261-F261</f>
        <v>87187.920000001788</v>
      </c>
      <c r="I261" s="478">
        <f>+F261/E261</f>
        <v>0.99552407437749568</v>
      </c>
      <c r="J261" s="477"/>
    </row>
    <row r="262" spans="1:10" ht="22.5" x14ac:dyDescent="0.25">
      <c r="A262" s="497">
        <v>424</v>
      </c>
      <c r="B262" s="501" t="s">
        <v>497</v>
      </c>
      <c r="C262" s="479">
        <f>C263</f>
        <v>0</v>
      </c>
      <c r="D262" s="479">
        <f>D263</f>
        <v>19479304.920000002</v>
      </c>
      <c r="E262" s="479">
        <f>+C262+D262</f>
        <v>19479304.920000002</v>
      </c>
      <c r="F262" s="479">
        <v>19392117</v>
      </c>
      <c r="G262" s="479">
        <v>19081080</v>
      </c>
      <c r="H262" s="479">
        <f>+E262-F262</f>
        <v>87187.920000001788</v>
      </c>
      <c r="I262" s="478">
        <f>+F262/E262</f>
        <v>0.99552407437749568</v>
      </c>
      <c r="J262" s="477"/>
    </row>
    <row r="263" spans="1:10" ht="22.5" x14ac:dyDescent="0.25">
      <c r="A263" s="494">
        <v>42401</v>
      </c>
      <c r="B263" s="493" t="s">
        <v>497</v>
      </c>
      <c r="C263" s="480">
        <v>0</v>
      </c>
      <c r="D263" s="480">
        <f>18868267.92+300000+311037</f>
        <v>19479304.920000002</v>
      </c>
      <c r="E263" s="480">
        <f>+C263+D263</f>
        <v>19479304.920000002</v>
      </c>
      <c r="F263" s="480">
        <v>19392117</v>
      </c>
      <c r="G263" s="480">
        <v>19081080</v>
      </c>
      <c r="H263" s="479">
        <f>+E263-F263</f>
        <v>87187.920000001788</v>
      </c>
      <c r="I263" s="478">
        <f>+F263/E263</f>
        <v>0.99552407437749568</v>
      </c>
      <c r="J263" s="477"/>
    </row>
    <row r="264" spans="1:10" hidden="1" x14ac:dyDescent="0.25">
      <c r="A264" s="498">
        <v>4300</v>
      </c>
      <c r="B264" s="501" t="s">
        <v>496</v>
      </c>
      <c r="C264" s="479">
        <v>0</v>
      </c>
      <c r="D264" s="479">
        <v>0</v>
      </c>
      <c r="E264" s="479">
        <f>+C264+D264</f>
        <v>0</v>
      </c>
      <c r="F264" s="479">
        <v>0</v>
      </c>
      <c r="G264" s="479">
        <v>0</v>
      </c>
      <c r="H264" s="479">
        <f>+E264-F264</f>
        <v>0</v>
      </c>
      <c r="I264" s="478" t="e">
        <f>+F264/E264</f>
        <v>#DIV/0!</v>
      </c>
      <c r="J264" s="477"/>
    </row>
    <row r="265" spans="1:10" hidden="1" x14ac:dyDescent="0.25">
      <c r="A265" s="494">
        <v>43401</v>
      </c>
      <c r="B265" s="493" t="s">
        <v>495</v>
      </c>
      <c r="C265" s="480">
        <v>0</v>
      </c>
      <c r="D265" s="480">
        <v>0</v>
      </c>
      <c r="E265" s="479">
        <f>+C265+D265</f>
        <v>0</v>
      </c>
      <c r="F265" s="480">
        <v>0</v>
      </c>
      <c r="G265" s="480">
        <v>0</v>
      </c>
      <c r="H265" s="479">
        <f>+E265-F265</f>
        <v>0</v>
      </c>
      <c r="I265" s="478" t="e">
        <f>+F265/E265</f>
        <v>#DIV/0!</v>
      </c>
      <c r="J265" s="477"/>
    </row>
    <row r="266" spans="1:10" hidden="1" x14ac:dyDescent="0.25">
      <c r="A266" s="498">
        <v>4400</v>
      </c>
      <c r="B266" s="501" t="s">
        <v>494</v>
      </c>
      <c r="C266" s="479">
        <v>0</v>
      </c>
      <c r="D266" s="479">
        <v>0</v>
      </c>
      <c r="E266" s="479">
        <f>+C266+D266</f>
        <v>0</v>
      </c>
      <c r="F266" s="479">
        <v>0</v>
      </c>
      <c r="G266" s="479">
        <v>0</v>
      </c>
      <c r="H266" s="479">
        <f>+E266-F266</f>
        <v>0</v>
      </c>
      <c r="I266" s="478" t="e">
        <f>+F266/E266</f>
        <v>#DIV/0!</v>
      </c>
      <c r="J266" s="477"/>
    </row>
    <row r="267" spans="1:10" hidden="1" x14ac:dyDescent="0.25">
      <c r="A267" s="497">
        <v>442</v>
      </c>
      <c r="B267" s="501" t="s">
        <v>493</v>
      </c>
      <c r="C267" s="479">
        <v>0</v>
      </c>
      <c r="D267" s="479">
        <v>0</v>
      </c>
      <c r="E267" s="479">
        <f>+C267+D267</f>
        <v>0</v>
      </c>
      <c r="F267" s="479">
        <v>0</v>
      </c>
      <c r="G267" s="479">
        <v>0</v>
      </c>
      <c r="H267" s="479">
        <f>+E267-F267</f>
        <v>0</v>
      </c>
      <c r="I267" s="478" t="e">
        <f>+F267/E267</f>
        <v>#DIV/0!</v>
      </c>
      <c r="J267" s="477"/>
    </row>
    <row r="268" spans="1:10" hidden="1" x14ac:dyDescent="0.25">
      <c r="A268" s="494">
        <v>44204</v>
      </c>
      <c r="B268" s="493" t="s">
        <v>492</v>
      </c>
      <c r="C268" s="479">
        <v>0</v>
      </c>
      <c r="D268" s="479">
        <v>0</v>
      </c>
      <c r="E268" s="479">
        <f>+C268+D268</f>
        <v>0</v>
      </c>
      <c r="F268" s="479">
        <v>0</v>
      </c>
      <c r="G268" s="479">
        <v>0</v>
      </c>
      <c r="H268" s="479">
        <f>+E268-F268</f>
        <v>0</v>
      </c>
      <c r="I268" s="478" t="e">
        <f>+F268/E268</f>
        <v>#DIV/0!</v>
      </c>
      <c r="J268" s="477"/>
    </row>
    <row r="269" spans="1:10" hidden="1" x14ac:dyDescent="0.25">
      <c r="A269" s="498">
        <v>4800</v>
      </c>
      <c r="B269" s="501" t="s">
        <v>491</v>
      </c>
      <c r="C269" s="479">
        <v>0</v>
      </c>
      <c r="D269" s="479">
        <v>0</v>
      </c>
      <c r="E269" s="479">
        <f>+C269+D269</f>
        <v>0</v>
      </c>
      <c r="F269" s="479">
        <v>0</v>
      </c>
      <c r="G269" s="479">
        <v>0</v>
      </c>
      <c r="H269" s="479">
        <f>+E269-F269</f>
        <v>0</v>
      </c>
      <c r="I269" s="478" t="e">
        <f>+F269/E269</f>
        <v>#DIV/0!</v>
      </c>
      <c r="J269" s="477"/>
    </row>
    <row r="270" spans="1:10" hidden="1" x14ac:dyDescent="0.25">
      <c r="A270" s="497">
        <v>481</v>
      </c>
      <c r="B270" s="501" t="s">
        <v>490</v>
      </c>
      <c r="C270" s="479">
        <v>0</v>
      </c>
      <c r="D270" s="479">
        <v>0</v>
      </c>
      <c r="E270" s="479">
        <f>+C270+D270</f>
        <v>0</v>
      </c>
      <c r="F270" s="479">
        <v>0</v>
      </c>
      <c r="G270" s="479">
        <v>0</v>
      </c>
      <c r="H270" s="479">
        <f>+E270-F270</f>
        <v>0</v>
      </c>
      <c r="I270" s="478" t="e">
        <f>+F270/E270</f>
        <v>#DIV/0!</v>
      </c>
      <c r="J270" s="477"/>
    </row>
    <row r="271" spans="1:10" hidden="1" x14ac:dyDescent="0.25">
      <c r="A271" s="494">
        <v>48101</v>
      </c>
      <c r="B271" s="493" t="s">
        <v>490</v>
      </c>
      <c r="C271" s="480">
        <v>0</v>
      </c>
      <c r="D271" s="480">
        <v>0</v>
      </c>
      <c r="E271" s="479">
        <f>+C271+D271</f>
        <v>0</v>
      </c>
      <c r="F271" s="480">
        <v>0</v>
      </c>
      <c r="G271" s="480">
        <v>0</v>
      </c>
      <c r="H271" s="479">
        <f>+E271-F271</f>
        <v>0</v>
      </c>
      <c r="I271" s="478" t="e">
        <f>+F271/E271</f>
        <v>#DIV/0!</v>
      </c>
      <c r="J271" s="477"/>
    </row>
    <row r="272" spans="1:10" x14ac:dyDescent="0.25">
      <c r="A272" s="494"/>
      <c r="B272" s="493"/>
      <c r="C272" s="480">
        <v>0</v>
      </c>
      <c r="D272" s="480">
        <v>0</v>
      </c>
      <c r="E272" s="479">
        <f>+C272+D272</f>
        <v>0</v>
      </c>
      <c r="F272" s="480"/>
      <c r="G272" s="480"/>
      <c r="H272" s="479">
        <f>+E272-F272</f>
        <v>0</v>
      </c>
      <c r="I272" s="478"/>
      <c r="J272" s="477"/>
    </row>
    <row r="273" spans="1:10" x14ac:dyDescent="0.25">
      <c r="A273" s="490">
        <v>5000</v>
      </c>
      <c r="B273" s="501" t="s">
        <v>489</v>
      </c>
      <c r="C273" s="479">
        <f>C274+C291+C296</f>
        <v>5311212</v>
      </c>
      <c r="D273" s="479">
        <f>D274+D291+D296</f>
        <v>1023746.5600000002</v>
      </c>
      <c r="E273" s="479">
        <f>+C273+D273</f>
        <v>6334958.5600000005</v>
      </c>
      <c r="F273" s="479">
        <v>2524509.23</v>
      </c>
      <c r="G273" s="479">
        <v>903273.03</v>
      </c>
      <c r="H273" s="479">
        <f>+E273-F273</f>
        <v>3810449.3300000005</v>
      </c>
      <c r="I273" s="478">
        <f>+F273/E273</f>
        <v>0.39850445840959059</v>
      </c>
      <c r="J273" s="477"/>
    </row>
    <row r="274" spans="1:10" x14ac:dyDescent="0.25">
      <c r="A274" s="498">
        <v>5100</v>
      </c>
      <c r="B274" s="501" t="s">
        <v>488</v>
      </c>
      <c r="C274" s="479">
        <f>C275+C279+C281</f>
        <v>1029997</v>
      </c>
      <c r="D274" s="479">
        <f>D275+D279+D281</f>
        <v>1909640.2400000002</v>
      </c>
      <c r="E274" s="479">
        <f>+C274+D274</f>
        <v>2939637.24</v>
      </c>
      <c r="F274" s="479">
        <v>1252687.6000000001</v>
      </c>
      <c r="G274" s="479">
        <v>202180</v>
      </c>
      <c r="H274" s="479">
        <f>+E274-F274</f>
        <v>1686949.6400000001</v>
      </c>
      <c r="I274" s="478">
        <f>+F274/E274</f>
        <v>0.42613679774991559</v>
      </c>
      <c r="J274" s="477"/>
    </row>
    <row r="275" spans="1:10" x14ac:dyDescent="0.25">
      <c r="A275" s="497">
        <v>511</v>
      </c>
      <c r="B275" s="501" t="s">
        <v>487</v>
      </c>
      <c r="C275" s="479">
        <f>C276</f>
        <v>500000</v>
      </c>
      <c r="D275" s="479">
        <f>D276</f>
        <v>-500000</v>
      </c>
      <c r="E275" s="479">
        <f>+C275+D275</f>
        <v>0</v>
      </c>
      <c r="F275" s="479">
        <v>0</v>
      </c>
      <c r="G275" s="479">
        <v>0</v>
      </c>
      <c r="H275" s="479">
        <f>+E275-F275</f>
        <v>0</v>
      </c>
      <c r="I275" s="478">
        <v>0</v>
      </c>
      <c r="J275" s="477"/>
    </row>
    <row r="276" spans="1:10" x14ac:dyDescent="0.25">
      <c r="A276" s="494">
        <v>51101</v>
      </c>
      <c r="B276" s="493" t="s">
        <v>486</v>
      </c>
      <c r="C276" s="480">
        <v>500000</v>
      </c>
      <c r="D276" s="480">
        <v>-500000</v>
      </c>
      <c r="E276" s="480">
        <f>+C276+D276</f>
        <v>0</v>
      </c>
      <c r="F276" s="480">
        <v>0</v>
      </c>
      <c r="G276" s="480">
        <v>0</v>
      </c>
      <c r="H276" s="479">
        <f>+E276-F276</f>
        <v>0</v>
      </c>
      <c r="I276" s="478">
        <v>0</v>
      </c>
      <c r="J276" s="477"/>
    </row>
    <row r="277" spans="1:10" hidden="1" x14ac:dyDescent="0.25">
      <c r="A277" s="497">
        <v>512</v>
      </c>
      <c r="B277" s="501" t="s">
        <v>485</v>
      </c>
      <c r="C277" s="479">
        <v>0</v>
      </c>
      <c r="D277" s="479">
        <v>0</v>
      </c>
      <c r="E277" s="479">
        <f>+C277+D277</f>
        <v>0</v>
      </c>
      <c r="F277" s="479">
        <v>0</v>
      </c>
      <c r="G277" s="479">
        <v>0</v>
      </c>
      <c r="H277" s="479">
        <f>+E277-F277</f>
        <v>0</v>
      </c>
      <c r="I277" s="478" t="e">
        <f>+F277/E277</f>
        <v>#DIV/0!</v>
      </c>
      <c r="J277" s="477"/>
    </row>
    <row r="278" spans="1:10" hidden="1" x14ac:dyDescent="0.25">
      <c r="A278" s="494">
        <v>51201</v>
      </c>
      <c r="B278" s="493" t="s">
        <v>485</v>
      </c>
      <c r="C278" s="480">
        <v>0</v>
      </c>
      <c r="D278" s="480">
        <v>0</v>
      </c>
      <c r="E278" s="479">
        <f>+C278+D278</f>
        <v>0</v>
      </c>
      <c r="F278" s="480">
        <v>0</v>
      </c>
      <c r="G278" s="480">
        <v>0</v>
      </c>
      <c r="H278" s="479">
        <f>+E278-F278</f>
        <v>0</v>
      </c>
      <c r="I278" s="478" t="e">
        <f>+F278/E278</f>
        <v>#DIV/0!</v>
      </c>
      <c r="J278" s="477"/>
    </row>
    <row r="279" spans="1:10" x14ac:dyDescent="0.25">
      <c r="A279" s="497">
        <v>515</v>
      </c>
      <c r="B279" s="501" t="s">
        <v>484</v>
      </c>
      <c r="C279" s="479">
        <f>C280</f>
        <v>500000</v>
      </c>
      <c r="D279" s="479">
        <f>D280</f>
        <v>-294220</v>
      </c>
      <c r="E279" s="479">
        <f>+C279+D279</f>
        <v>205780</v>
      </c>
      <c r="F279" s="479">
        <v>202180</v>
      </c>
      <c r="G279" s="479">
        <v>202180</v>
      </c>
      <c r="H279" s="479">
        <f>+E279-F279</f>
        <v>3600</v>
      </c>
      <c r="I279" s="478">
        <f>+F279/E279</f>
        <v>0.98250558849256486</v>
      </c>
      <c r="J279" s="477"/>
    </row>
    <row r="280" spans="1:10" x14ac:dyDescent="0.25">
      <c r="A280" s="494">
        <v>51501</v>
      </c>
      <c r="B280" s="493" t="s">
        <v>483</v>
      </c>
      <c r="C280" s="480">
        <v>500000</v>
      </c>
      <c r="D280" s="480">
        <f>-489100+194880</f>
        <v>-294220</v>
      </c>
      <c r="E280" s="480">
        <f>+C280+D280</f>
        <v>205780</v>
      </c>
      <c r="F280" s="480">
        <v>202180</v>
      </c>
      <c r="G280" s="480">
        <v>202180</v>
      </c>
      <c r="H280" s="479">
        <f>+E280-F280</f>
        <v>3600</v>
      </c>
      <c r="I280" s="478">
        <f>+F280/E280</f>
        <v>0.98250558849256486</v>
      </c>
      <c r="J280" s="477"/>
    </row>
    <row r="281" spans="1:10" x14ac:dyDescent="0.25">
      <c r="A281" s="497">
        <v>519</v>
      </c>
      <c r="B281" s="501" t="s">
        <v>482</v>
      </c>
      <c r="C281" s="479">
        <f>C282</f>
        <v>29997</v>
      </c>
      <c r="D281" s="479">
        <f>D282</f>
        <v>2703860.24</v>
      </c>
      <c r="E281" s="479">
        <f>+C281+D281</f>
        <v>2733857.24</v>
      </c>
      <c r="F281" s="479">
        <v>1050507.6000000001</v>
      </c>
      <c r="G281" s="479">
        <v>0</v>
      </c>
      <c r="H281" s="479">
        <f>+E281-F281</f>
        <v>1683349.6400000001</v>
      </c>
      <c r="I281" s="478">
        <f>+F281/E281</f>
        <v>0.38425839675520146</v>
      </c>
      <c r="J281" s="477"/>
    </row>
    <row r="282" spans="1:10" x14ac:dyDescent="0.25">
      <c r="A282" s="494">
        <v>51901</v>
      </c>
      <c r="B282" s="493" t="s">
        <v>481</v>
      </c>
      <c r="C282" s="480">
        <v>29997</v>
      </c>
      <c r="D282" s="480">
        <f>2898740.24-194880</f>
        <v>2703860.24</v>
      </c>
      <c r="E282" s="480">
        <f>+C282+D282</f>
        <v>2733857.24</v>
      </c>
      <c r="F282" s="480">
        <v>1050507.6000000001</v>
      </c>
      <c r="G282" s="480">
        <v>0</v>
      </c>
      <c r="H282" s="479">
        <f>+E282-F282</f>
        <v>1683349.6400000001</v>
      </c>
      <c r="I282" s="478">
        <f>+F282/E282</f>
        <v>0.38425839675520146</v>
      </c>
      <c r="J282" s="477"/>
    </row>
    <row r="283" spans="1:10" hidden="1" x14ac:dyDescent="0.25">
      <c r="A283" s="498">
        <v>5200</v>
      </c>
      <c r="B283" s="501" t="s">
        <v>480</v>
      </c>
      <c r="C283" s="479">
        <v>0</v>
      </c>
      <c r="D283" s="479">
        <v>0</v>
      </c>
      <c r="E283" s="479">
        <f>+C283+D283</f>
        <v>0</v>
      </c>
      <c r="F283" s="479">
        <v>0</v>
      </c>
      <c r="G283" s="479">
        <v>0</v>
      </c>
      <c r="H283" s="479">
        <f>+E283-F283</f>
        <v>0</v>
      </c>
      <c r="I283" s="478"/>
      <c r="J283" s="477"/>
    </row>
    <row r="284" spans="1:10" hidden="1" x14ac:dyDescent="0.25">
      <c r="A284" s="497">
        <v>521</v>
      </c>
      <c r="B284" s="501" t="s">
        <v>479</v>
      </c>
      <c r="C284" s="479">
        <v>0</v>
      </c>
      <c r="D284" s="479">
        <v>0</v>
      </c>
      <c r="E284" s="479">
        <f>+C284+D284</f>
        <v>0</v>
      </c>
      <c r="F284" s="479">
        <v>0</v>
      </c>
      <c r="G284" s="479">
        <v>0</v>
      </c>
      <c r="H284" s="479">
        <f>+E284-F284</f>
        <v>0</v>
      </c>
      <c r="I284" s="478"/>
      <c r="J284" s="477"/>
    </row>
    <row r="285" spans="1:10" hidden="1" x14ac:dyDescent="0.25">
      <c r="A285" s="494">
        <v>52101</v>
      </c>
      <c r="B285" s="493" t="s">
        <v>479</v>
      </c>
      <c r="C285" s="480">
        <v>0</v>
      </c>
      <c r="D285" s="480">
        <v>0</v>
      </c>
      <c r="E285" s="479">
        <f>+C285+D285</f>
        <v>0</v>
      </c>
      <c r="F285" s="480">
        <v>0</v>
      </c>
      <c r="G285" s="480">
        <v>0</v>
      </c>
      <c r="H285" s="479">
        <f>+E285-F285</f>
        <v>0</v>
      </c>
      <c r="I285" s="478"/>
      <c r="J285" s="477"/>
    </row>
    <row r="286" spans="1:10" hidden="1" x14ac:dyDescent="0.25">
      <c r="A286" s="497">
        <v>523</v>
      </c>
      <c r="B286" s="501" t="s">
        <v>478</v>
      </c>
      <c r="C286" s="479">
        <v>0</v>
      </c>
      <c r="D286" s="479">
        <v>0</v>
      </c>
      <c r="E286" s="479">
        <f>+C286+D286</f>
        <v>0</v>
      </c>
      <c r="F286" s="479">
        <v>0</v>
      </c>
      <c r="G286" s="479">
        <v>0</v>
      </c>
      <c r="H286" s="479">
        <f>+E286-F286</f>
        <v>0</v>
      </c>
      <c r="I286" s="478"/>
      <c r="J286" s="477"/>
    </row>
    <row r="287" spans="1:10" hidden="1" x14ac:dyDescent="0.25">
      <c r="A287" s="494">
        <v>52301</v>
      </c>
      <c r="B287" s="493" t="s">
        <v>478</v>
      </c>
      <c r="C287" s="480">
        <v>0</v>
      </c>
      <c r="D287" s="480">
        <v>0</v>
      </c>
      <c r="E287" s="479">
        <f>+C287+D287</f>
        <v>0</v>
      </c>
      <c r="F287" s="480">
        <v>0</v>
      </c>
      <c r="G287" s="480">
        <v>0</v>
      </c>
      <c r="H287" s="479">
        <f>+E287-F287</f>
        <v>0</v>
      </c>
      <c r="I287" s="478"/>
      <c r="J287" s="477"/>
    </row>
    <row r="288" spans="1:10" hidden="1" x14ac:dyDescent="0.25">
      <c r="A288" s="498">
        <v>5300</v>
      </c>
      <c r="B288" s="501" t="s">
        <v>477</v>
      </c>
      <c r="C288" s="480">
        <v>0</v>
      </c>
      <c r="D288" s="480">
        <v>0</v>
      </c>
      <c r="E288" s="479">
        <f>+C288+D288</f>
        <v>0</v>
      </c>
      <c r="F288" s="480">
        <v>0</v>
      </c>
      <c r="G288" s="480">
        <v>0</v>
      </c>
      <c r="H288" s="479">
        <f>+E288-F288</f>
        <v>0</v>
      </c>
      <c r="I288" s="478"/>
      <c r="J288" s="477"/>
    </row>
    <row r="289" spans="1:10" hidden="1" x14ac:dyDescent="0.25">
      <c r="A289" s="497">
        <v>532</v>
      </c>
      <c r="B289" s="493" t="s">
        <v>476</v>
      </c>
      <c r="C289" s="480">
        <v>0</v>
      </c>
      <c r="D289" s="480">
        <v>0</v>
      </c>
      <c r="E289" s="479">
        <f>+C289+D289</f>
        <v>0</v>
      </c>
      <c r="F289" s="480">
        <v>0</v>
      </c>
      <c r="G289" s="480">
        <v>0</v>
      </c>
      <c r="H289" s="479">
        <f>+E289-F289</f>
        <v>0</v>
      </c>
      <c r="I289" s="478"/>
      <c r="J289" s="477"/>
    </row>
    <row r="290" spans="1:10" hidden="1" x14ac:dyDescent="0.25">
      <c r="A290" s="494">
        <v>53201</v>
      </c>
      <c r="B290" s="493" t="s">
        <v>476</v>
      </c>
      <c r="C290" s="480">
        <v>0</v>
      </c>
      <c r="D290" s="480">
        <v>0</v>
      </c>
      <c r="E290" s="479">
        <f>+C290+D290</f>
        <v>0</v>
      </c>
      <c r="F290" s="480">
        <v>0</v>
      </c>
      <c r="G290" s="480">
        <v>0</v>
      </c>
      <c r="H290" s="479">
        <f>+E290-F290</f>
        <v>0</v>
      </c>
      <c r="I290" s="478"/>
      <c r="J290" s="477"/>
    </row>
    <row r="291" spans="1:10" x14ac:dyDescent="0.25">
      <c r="A291" s="498">
        <v>5400</v>
      </c>
      <c r="B291" s="501" t="s">
        <v>475</v>
      </c>
      <c r="C291" s="479">
        <f>C292</f>
        <v>500000</v>
      </c>
      <c r="D291" s="479">
        <f>D292</f>
        <v>-500000</v>
      </c>
      <c r="E291" s="479">
        <f>+C291+D291</f>
        <v>0</v>
      </c>
      <c r="F291" s="479">
        <v>0</v>
      </c>
      <c r="G291" s="479">
        <v>0</v>
      </c>
      <c r="H291" s="479">
        <f>+E291-F291</f>
        <v>0</v>
      </c>
      <c r="I291" s="478">
        <v>0</v>
      </c>
      <c r="J291" s="477"/>
    </row>
    <row r="292" spans="1:10" x14ac:dyDescent="0.25">
      <c r="A292" s="497">
        <v>541</v>
      </c>
      <c r="B292" s="501" t="s">
        <v>475</v>
      </c>
      <c r="C292" s="479">
        <f>C293</f>
        <v>500000</v>
      </c>
      <c r="D292" s="479">
        <f>D293</f>
        <v>-500000</v>
      </c>
      <c r="E292" s="479">
        <f>+C292+D292</f>
        <v>0</v>
      </c>
      <c r="F292" s="479">
        <v>0</v>
      </c>
      <c r="G292" s="479">
        <v>0</v>
      </c>
      <c r="H292" s="479">
        <f>+E292-F292</f>
        <v>0</v>
      </c>
      <c r="I292" s="478">
        <v>0</v>
      </c>
      <c r="J292" s="477"/>
    </row>
    <row r="293" spans="1:10" x14ac:dyDescent="0.25">
      <c r="A293" s="494">
        <v>54101</v>
      </c>
      <c r="B293" s="493" t="s">
        <v>474</v>
      </c>
      <c r="C293" s="480">
        <v>500000</v>
      </c>
      <c r="D293" s="480">
        <v>-500000</v>
      </c>
      <c r="E293" s="480">
        <f>+C293+D293</f>
        <v>0</v>
      </c>
      <c r="F293" s="480">
        <v>0</v>
      </c>
      <c r="G293" s="480">
        <v>0</v>
      </c>
      <c r="H293" s="479">
        <f>+E293-F293</f>
        <v>0</v>
      </c>
      <c r="I293" s="478">
        <v>0</v>
      </c>
      <c r="J293" s="477"/>
    </row>
    <row r="294" spans="1:10" x14ac:dyDescent="0.25">
      <c r="A294" s="497">
        <v>549</v>
      </c>
      <c r="B294" s="501" t="s">
        <v>473</v>
      </c>
      <c r="C294" s="479">
        <v>0</v>
      </c>
      <c r="D294" s="479">
        <v>0</v>
      </c>
      <c r="E294" s="479">
        <f>+C294+D294</f>
        <v>0</v>
      </c>
      <c r="F294" s="479">
        <v>0</v>
      </c>
      <c r="G294" s="479">
        <v>0</v>
      </c>
      <c r="H294" s="479">
        <f>+E294-F294</f>
        <v>0</v>
      </c>
      <c r="I294" s="478">
        <v>0</v>
      </c>
      <c r="J294" s="477"/>
    </row>
    <row r="295" spans="1:10" x14ac:dyDescent="0.25">
      <c r="A295" s="494">
        <v>54901</v>
      </c>
      <c r="B295" s="493" t="s">
        <v>473</v>
      </c>
      <c r="C295" s="480">
        <v>0</v>
      </c>
      <c r="D295" s="480">
        <v>0</v>
      </c>
      <c r="E295" s="479">
        <f>+C295+D295</f>
        <v>0</v>
      </c>
      <c r="F295" s="480">
        <v>0</v>
      </c>
      <c r="G295" s="480">
        <v>0</v>
      </c>
      <c r="H295" s="479">
        <f>+E295-F295</f>
        <v>0</v>
      </c>
      <c r="I295" s="478">
        <v>0</v>
      </c>
      <c r="J295" s="477"/>
    </row>
    <row r="296" spans="1:10" x14ac:dyDescent="0.25">
      <c r="A296" s="498">
        <v>5600</v>
      </c>
      <c r="B296" s="501" t="s">
        <v>472</v>
      </c>
      <c r="C296" s="479">
        <f>C297+C300+C302</f>
        <v>3781215</v>
      </c>
      <c r="D296" s="479">
        <f>D297+D300+D302</f>
        <v>-385893.68000000005</v>
      </c>
      <c r="E296" s="479">
        <f>+C296+D296</f>
        <v>3395321.32</v>
      </c>
      <c r="F296" s="479">
        <v>1271821.6299999999</v>
      </c>
      <c r="G296" s="479">
        <v>701093.03</v>
      </c>
      <c r="H296" s="479">
        <f>+E296-F296</f>
        <v>2123499.69</v>
      </c>
      <c r="I296" s="478">
        <f>+F296/E296</f>
        <v>0.37458063910133843</v>
      </c>
      <c r="J296" s="477"/>
    </row>
    <row r="297" spans="1:10" x14ac:dyDescent="0.25">
      <c r="A297" s="497">
        <v>562</v>
      </c>
      <c r="B297" s="501" t="s">
        <v>471</v>
      </c>
      <c r="C297" s="479">
        <f>C298+C299</f>
        <v>3781215</v>
      </c>
      <c r="D297" s="479">
        <f>D298+D299</f>
        <v>-471371.84</v>
      </c>
      <c r="E297" s="479">
        <f>+C297+D297</f>
        <v>3309843.16</v>
      </c>
      <c r="F297" s="479">
        <v>1186435.46</v>
      </c>
      <c r="G297" s="479">
        <v>658657.0199999999</v>
      </c>
      <c r="H297" s="479">
        <f>+E297-F297</f>
        <v>2123407.7000000002</v>
      </c>
      <c r="I297" s="478">
        <f>+F297/E297</f>
        <v>0.3584567010117784</v>
      </c>
      <c r="J297" s="477"/>
    </row>
    <row r="298" spans="1:10" x14ac:dyDescent="0.25">
      <c r="A298" s="494">
        <v>56201</v>
      </c>
      <c r="B298" s="493" t="s">
        <v>471</v>
      </c>
      <c r="C298" s="480">
        <v>2241215</v>
      </c>
      <c r="D298" s="480">
        <v>-471371.84</v>
      </c>
      <c r="E298" s="480">
        <f>+C298+D298</f>
        <v>1769843.16</v>
      </c>
      <c r="F298" s="480">
        <v>1186435.46</v>
      </c>
      <c r="G298" s="480">
        <v>658657.0199999999</v>
      </c>
      <c r="H298" s="479">
        <f>+E298-F298</f>
        <v>583407.69999999995</v>
      </c>
      <c r="I298" s="478">
        <f>+F298/E298</f>
        <v>0.6703619206574214</v>
      </c>
      <c r="J298" s="477"/>
    </row>
    <row r="299" spans="1:10" x14ac:dyDescent="0.25">
      <c r="A299" s="494">
        <v>56301</v>
      </c>
      <c r="B299" s="493" t="s">
        <v>470</v>
      </c>
      <c r="C299" s="480">
        <v>1540000</v>
      </c>
      <c r="D299" s="480">
        <v>0</v>
      </c>
      <c r="E299" s="480">
        <f>+C299+D299</f>
        <v>1540000</v>
      </c>
      <c r="F299" s="480">
        <v>0</v>
      </c>
      <c r="G299" s="480"/>
      <c r="H299" s="479">
        <f>+E299-F299</f>
        <v>1540000</v>
      </c>
      <c r="I299" s="478">
        <f>+F299/E299</f>
        <v>0</v>
      </c>
      <c r="J299" s="477"/>
    </row>
    <row r="300" spans="1:10" ht="22.5" x14ac:dyDescent="0.25">
      <c r="A300" s="497">
        <v>564</v>
      </c>
      <c r="B300" s="501" t="s">
        <v>469</v>
      </c>
      <c r="C300" s="479">
        <f>C301</f>
        <v>0</v>
      </c>
      <c r="D300" s="479">
        <f>D301</f>
        <v>71350.16</v>
      </c>
      <c r="E300" s="479">
        <f>+C300+D300</f>
        <v>71350.16</v>
      </c>
      <c r="F300" s="479">
        <v>71350.17</v>
      </c>
      <c r="G300" s="479">
        <v>28400.01</v>
      </c>
      <c r="H300" s="479">
        <f>+E300-F300</f>
        <v>-9.9999999947613105E-3</v>
      </c>
      <c r="I300" s="478">
        <f>+F300/E300</f>
        <v>1.0000001401538552</v>
      </c>
      <c r="J300" s="477"/>
    </row>
    <row r="301" spans="1:10" ht="22.5" x14ac:dyDescent="0.25">
      <c r="A301" s="494">
        <v>56401</v>
      </c>
      <c r="B301" s="493" t="s">
        <v>469</v>
      </c>
      <c r="C301" s="480">
        <v>0</v>
      </c>
      <c r="D301" s="480">
        <f>42950.16+20900+7500</f>
        <v>71350.16</v>
      </c>
      <c r="E301" s="479">
        <f>+C301+D301</f>
        <v>71350.16</v>
      </c>
      <c r="F301" s="480">
        <v>71350.17</v>
      </c>
      <c r="G301" s="480">
        <v>28400.01</v>
      </c>
      <c r="H301" s="479">
        <f>+E301-F301</f>
        <v>-9.9999999947613105E-3</v>
      </c>
      <c r="I301" s="478">
        <f>+F301/E301</f>
        <v>1.0000001401538552</v>
      </c>
      <c r="J301" s="477"/>
    </row>
    <row r="302" spans="1:10" ht="21.75" customHeight="1" x14ac:dyDescent="0.25">
      <c r="A302" s="500">
        <v>565</v>
      </c>
      <c r="B302" s="496" t="s">
        <v>468</v>
      </c>
      <c r="C302" s="479">
        <f>C303</f>
        <v>0</v>
      </c>
      <c r="D302" s="479">
        <f>D303</f>
        <v>14128</v>
      </c>
      <c r="E302" s="479">
        <f>+C302+D302</f>
        <v>14128</v>
      </c>
      <c r="F302" s="479">
        <v>14036</v>
      </c>
      <c r="G302" s="479">
        <v>14036</v>
      </c>
      <c r="H302" s="479">
        <f>+E302-F302</f>
        <v>92</v>
      </c>
      <c r="I302" s="478">
        <f>+F302/E302</f>
        <v>0.99348810872027182</v>
      </c>
      <c r="J302" s="477"/>
    </row>
    <row r="303" spans="1:10" x14ac:dyDescent="0.25">
      <c r="A303" s="499">
        <v>56501</v>
      </c>
      <c r="B303" s="495" t="s">
        <v>468</v>
      </c>
      <c r="C303" s="480">
        <v>0</v>
      </c>
      <c r="D303" s="480">
        <v>14128</v>
      </c>
      <c r="E303" s="479">
        <f>+C303+D303</f>
        <v>14128</v>
      </c>
      <c r="F303" s="480">
        <v>14036</v>
      </c>
      <c r="G303" s="480">
        <v>14036</v>
      </c>
      <c r="H303" s="479">
        <f>+E303-F303</f>
        <v>92</v>
      </c>
      <c r="I303" s="478">
        <f>+F303/E303</f>
        <v>0.99348810872027182</v>
      </c>
      <c r="J303" s="477"/>
    </row>
    <row r="304" spans="1:10" ht="22.5" hidden="1" x14ac:dyDescent="0.25">
      <c r="A304" s="500">
        <v>566</v>
      </c>
      <c r="B304" s="496" t="s">
        <v>467</v>
      </c>
      <c r="C304" s="479">
        <v>0</v>
      </c>
      <c r="D304" s="479">
        <v>0</v>
      </c>
      <c r="E304" s="479">
        <f>+C304+D304</f>
        <v>0</v>
      </c>
      <c r="F304" s="479">
        <v>0</v>
      </c>
      <c r="G304" s="479">
        <v>0</v>
      </c>
      <c r="H304" s="479">
        <f>+E304-F304</f>
        <v>0</v>
      </c>
      <c r="I304" s="478"/>
      <c r="J304" s="477"/>
    </row>
    <row r="305" spans="1:10" hidden="1" x14ac:dyDescent="0.25">
      <c r="A305" s="499">
        <v>56601</v>
      </c>
      <c r="B305" s="495" t="s">
        <v>466</v>
      </c>
      <c r="C305" s="480">
        <v>0</v>
      </c>
      <c r="D305" s="480">
        <v>0</v>
      </c>
      <c r="E305" s="479">
        <f>+C305+D305</f>
        <v>0</v>
      </c>
      <c r="F305" s="480">
        <v>0</v>
      </c>
      <c r="G305" s="480">
        <v>0</v>
      </c>
      <c r="H305" s="479">
        <f>+E305-F305</f>
        <v>0</v>
      </c>
      <c r="I305" s="478"/>
      <c r="J305" s="477"/>
    </row>
    <row r="306" spans="1:10" hidden="1" x14ac:dyDescent="0.25">
      <c r="A306" s="500">
        <v>567</v>
      </c>
      <c r="B306" s="496" t="s">
        <v>465</v>
      </c>
      <c r="C306" s="479">
        <v>0</v>
      </c>
      <c r="D306" s="479">
        <v>0</v>
      </c>
      <c r="E306" s="479">
        <f>+C306+D306</f>
        <v>0</v>
      </c>
      <c r="F306" s="479">
        <v>0</v>
      </c>
      <c r="G306" s="479">
        <v>0</v>
      </c>
      <c r="H306" s="479">
        <f>+E306-F306</f>
        <v>0</v>
      </c>
      <c r="I306" s="478"/>
      <c r="J306" s="477"/>
    </row>
    <row r="307" spans="1:10" hidden="1" x14ac:dyDescent="0.25">
      <c r="A307" s="499">
        <v>56701</v>
      </c>
      <c r="B307" s="495" t="s">
        <v>464</v>
      </c>
      <c r="C307" s="480">
        <v>0</v>
      </c>
      <c r="D307" s="480">
        <v>0</v>
      </c>
      <c r="E307" s="479">
        <f>+C307+D307</f>
        <v>0</v>
      </c>
      <c r="F307" s="480">
        <v>0</v>
      </c>
      <c r="G307" s="480">
        <v>0</v>
      </c>
      <c r="H307" s="479">
        <f>+E307-F307</f>
        <v>0</v>
      </c>
      <c r="I307" s="478"/>
      <c r="J307" s="477"/>
    </row>
    <row r="308" spans="1:10" hidden="1" x14ac:dyDescent="0.25">
      <c r="A308" s="500">
        <v>569</v>
      </c>
      <c r="B308" s="496" t="s">
        <v>463</v>
      </c>
      <c r="C308" s="479">
        <v>0</v>
      </c>
      <c r="D308" s="479">
        <v>0</v>
      </c>
      <c r="E308" s="479">
        <f>+C308+D308</f>
        <v>0</v>
      </c>
      <c r="F308" s="479">
        <v>0</v>
      </c>
      <c r="G308" s="479">
        <v>0</v>
      </c>
      <c r="H308" s="479">
        <f>+E308-F308</f>
        <v>0</v>
      </c>
      <c r="I308" s="478"/>
      <c r="J308" s="477"/>
    </row>
    <row r="309" spans="1:10" hidden="1" x14ac:dyDescent="0.25">
      <c r="A309" s="499">
        <v>56901</v>
      </c>
      <c r="B309" s="495" t="s">
        <v>462</v>
      </c>
      <c r="C309" s="480">
        <v>0</v>
      </c>
      <c r="D309" s="480">
        <v>0</v>
      </c>
      <c r="E309" s="479">
        <f>+C309+D309</f>
        <v>0</v>
      </c>
      <c r="F309" s="480">
        <v>0</v>
      </c>
      <c r="G309" s="480">
        <v>0</v>
      </c>
      <c r="H309" s="479">
        <f>+E309-F309</f>
        <v>0</v>
      </c>
      <c r="I309" s="478"/>
      <c r="J309" s="477"/>
    </row>
    <row r="310" spans="1:10" hidden="1" x14ac:dyDescent="0.25">
      <c r="A310" s="499">
        <v>56902</v>
      </c>
      <c r="B310" s="495" t="s">
        <v>461</v>
      </c>
      <c r="C310" s="480">
        <v>0</v>
      </c>
      <c r="D310" s="480">
        <v>0</v>
      </c>
      <c r="E310" s="479">
        <f>+C310+D310</f>
        <v>0</v>
      </c>
      <c r="F310" s="480">
        <v>0</v>
      </c>
      <c r="G310" s="480">
        <v>0</v>
      </c>
      <c r="H310" s="479">
        <f>+E310-F310</f>
        <v>0</v>
      </c>
      <c r="I310" s="478"/>
      <c r="J310" s="477"/>
    </row>
    <row r="311" spans="1:10" hidden="1" x14ac:dyDescent="0.25">
      <c r="A311" s="498">
        <v>5800</v>
      </c>
      <c r="B311" s="496" t="s">
        <v>158</v>
      </c>
      <c r="C311" s="480">
        <v>0</v>
      </c>
      <c r="D311" s="480">
        <v>0</v>
      </c>
      <c r="E311" s="479">
        <f>+C311+D311</f>
        <v>0</v>
      </c>
      <c r="F311" s="480">
        <v>0</v>
      </c>
      <c r="G311" s="480">
        <v>0</v>
      </c>
      <c r="H311" s="479">
        <f>+E311-F311</f>
        <v>0</v>
      </c>
      <c r="I311" s="478"/>
      <c r="J311" s="477"/>
    </row>
    <row r="312" spans="1:10" hidden="1" x14ac:dyDescent="0.25">
      <c r="A312" s="497">
        <v>581</v>
      </c>
      <c r="B312" s="496" t="s">
        <v>460</v>
      </c>
      <c r="C312" s="480">
        <v>0</v>
      </c>
      <c r="D312" s="480">
        <v>0</v>
      </c>
      <c r="E312" s="479">
        <f>+C312+D312</f>
        <v>0</v>
      </c>
      <c r="F312" s="480">
        <v>0</v>
      </c>
      <c r="G312" s="480">
        <v>0</v>
      </c>
      <c r="H312" s="479">
        <f>+E312-F312</f>
        <v>0</v>
      </c>
      <c r="I312" s="478"/>
      <c r="J312" s="477"/>
    </row>
    <row r="313" spans="1:10" hidden="1" x14ac:dyDescent="0.25">
      <c r="A313" s="494">
        <v>58101</v>
      </c>
      <c r="B313" s="495" t="s">
        <v>460</v>
      </c>
      <c r="C313" s="480">
        <v>0</v>
      </c>
      <c r="D313" s="480">
        <v>0</v>
      </c>
      <c r="E313" s="479">
        <f>+C313+D313</f>
        <v>0</v>
      </c>
      <c r="F313" s="480">
        <v>0</v>
      </c>
      <c r="G313" s="480">
        <v>0</v>
      </c>
      <c r="H313" s="479">
        <f>+E313-F313</f>
        <v>0</v>
      </c>
      <c r="I313" s="478"/>
      <c r="J313" s="477"/>
    </row>
    <row r="314" spans="1:10" hidden="1" x14ac:dyDescent="0.25">
      <c r="A314" s="498">
        <v>5900</v>
      </c>
      <c r="B314" s="496" t="s">
        <v>459</v>
      </c>
      <c r="C314" s="479">
        <v>0</v>
      </c>
      <c r="D314" s="479">
        <v>0</v>
      </c>
      <c r="E314" s="479">
        <f>+C314+D314</f>
        <v>0</v>
      </c>
      <c r="F314" s="479">
        <v>0</v>
      </c>
      <c r="G314" s="479">
        <v>0</v>
      </c>
      <c r="H314" s="479">
        <f>+E314-F314</f>
        <v>0</v>
      </c>
      <c r="I314" s="478"/>
      <c r="J314" s="477"/>
    </row>
    <row r="315" spans="1:10" hidden="1" x14ac:dyDescent="0.25">
      <c r="A315" s="497">
        <v>591</v>
      </c>
      <c r="B315" s="496" t="s">
        <v>458</v>
      </c>
      <c r="C315" s="479">
        <v>0</v>
      </c>
      <c r="D315" s="479">
        <v>0</v>
      </c>
      <c r="E315" s="479">
        <f>+C315+D315</f>
        <v>0</v>
      </c>
      <c r="F315" s="479">
        <v>0</v>
      </c>
      <c r="G315" s="479">
        <v>0</v>
      </c>
      <c r="H315" s="479">
        <f>+E315-F315</f>
        <v>0</v>
      </c>
      <c r="I315" s="478"/>
      <c r="J315" s="477"/>
    </row>
    <row r="316" spans="1:10" hidden="1" x14ac:dyDescent="0.25">
      <c r="A316" s="494">
        <v>59101</v>
      </c>
      <c r="B316" s="495" t="s">
        <v>458</v>
      </c>
      <c r="C316" s="480">
        <v>0</v>
      </c>
      <c r="D316" s="480">
        <v>0</v>
      </c>
      <c r="E316" s="479">
        <f>+C316+D316</f>
        <v>0</v>
      </c>
      <c r="F316" s="480">
        <v>0</v>
      </c>
      <c r="G316" s="480">
        <v>0</v>
      </c>
      <c r="H316" s="479">
        <f>+E316-F316</f>
        <v>0</v>
      </c>
      <c r="I316" s="478"/>
      <c r="J316" s="477"/>
    </row>
    <row r="317" spans="1:10" x14ac:dyDescent="0.25">
      <c r="A317" s="494"/>
      <c r="B317" s="493"/>
      <c r="C317" s="480">
        <v>0</v>
      </c>
      <c r="D317" s="480">
        <v>0</v>
      </c>
      <c r="E317" s="479">
        <f>+C317+D317</f>
        <v>0</v>
      </c>
      <c r="F317" s="480"/>
      <c r="G317" s="480"/>
      <c r="H317" s="479">
        <f>+E317-F317</f>
        <v>0</v>
      </c>
      <c r="I317" s="478"/>
      <c r="J317" s="477"/>
    </row>
    <row r="318" spans="1:10" x14ac:dyDescent="0.25">
      <c r="A318" s="485">
        <v>6000</v>
      </c>
      <c r="B318" s="490" t="s">
        <v>156</v>
      </c>
      <c r="C318" s="479">
        <f>C319+C340</f>
        <v>117900000</v>
      </c>
      <c r="D318" s="479">
        <f>D319+D340</f>
        <v>196696718.15000004</v>
      </c>
      <c r="E318" s="479">
        <f>+C318+D318</f>
        <v>314596718.15000004</v>
      </c>
      <c r="F318" s="479">
        <v>185697020.53</v>
      </c>
      <c r="G318" s="479">
        <v>184488454.38000003</v>
      </c>
      <c r="H318" s="479">
        <f>+E318-F318</f>
        <v>128899697.62000003</v>
      </c>
      <c r="I318" s="478">
        <f>+F318/E318</f>
        <v>0.59027004992931764</v>
      </c>
      <c r="J318" s="477"/>
    </row>
    <row r="319" spans="1:10" x14ac:dyDescent="0.25">
      <c r="A319" s="487"/>
      <c r="B319" s="490" t="s">
        <v>457</v>
      </c>
      <c r="C319" s="479">
        <f>C320</f>
        <v>51600000</v>
      </c>
      <c r="D319" s="479">
        <f>D320</f>
        <v>40923230.450000003</v>
      </c>
      <c r="E319" s="479">
        <f>+C319+D319</f>
        <v>92523230.450000003</v>
      </c>
      <c r="F319" s="479">
        <v>66563802.730000004</v>
      </c>
      <c r="G319" s="479">
        <v>65390377.400000013</v>
      </c>
      <c r="H319" s="479">
        <f>+E319-F319</f>
        <v>25959427.719999999</v>
      </c>
      <c r="I319" s="478">
        <f>+F319/E319</f>
        <v>0.71942800101398752</v>
      </c>
      <c r="J319" s="477"/>
    </row>
    <row r="320" spans="1:10" x14ac:dyDescent="0.25">
      <c r="A320" s="485">
        <v>6100</v>
      </c>
      <c r="B320" s="490" t="s">
        <v>450</v>
      </c>
      <c r="C320" s="479">
        <f>C321+C326</f>
        <v>51600000</v>
      </c>
      <c r="D320" s="479">
        <f>D321+D326</f>
        <v>40923230.450000003</v>
      </c>
      <c r="E320" s="479">
        <f>+C320+D320</f>
        <v>92523230.450000003</v>
      </c>
      <c r="F320" s="479">
        <v>66563802.730000004</v>
      </c>
      <c r="G320" s="479">
        <v>65390377.400000013</v>
      </c>
      <c r="H320" s="479">
        <f>+E320-F320</f>
        <v>25959427.719999999</v>
      </c>
      <c r="I320" s="478">
        <f>+F320/E320</f>
        <v>0.71942800101398752</v>
      </c>
      <c r="J320" s="477"/>
    </row>
    <row r="321" spans="1:10" ht="22.5" x14ac:dyDescent="0.25">
      <c r="A321" s="487">
        <v>613</v>
      </c>
      <c r="B321" s="490" t="s">
        <v>449</v>
      </c>
      <c r="C321" s="479">
        <f>C322+C323+C324+C325</f>
        <v>3029354.2074363991</v>
      </c>
      <c r="D321" s="479">
        <f>D322+D323+D324+D325</f>
        <v>9075308.5</v>
      </c>
      <c r="E321" s="479">
        <f>+C321+D321</f>
        <v>12104662.7074364</v>
      </c>
      <c r="F321" s="479">
        <v>8023211.9499999993</v>
      </c>
      <c r="G321" s="479">
        <v>7988071.1500000004</v>
      </c>
      <c r="H321" s="479">
        <f>+E321-F321</f>
        <v>4081450.7574364003</v>
      </c>
      <c r="I321" s="478">
        <f>+F321/E321</f>
        <v>0.66281995161013496</v>
      </c>
      <c r="J321" s="477"/>
    </row>
    <row r="322" spans="1:10" ht="22.5" x14ac:dyDescent="0.25">
      <c r="A322" s="486">
        <v>61305</v>
      </c>
      <c r="B322" s="489" t="s">
        <v>448</v>
      </c>
      <c r="C322" s="480">
        <v>1009784.7358121331</v>
      </c>
      <c r="D322" s="480">
        <v>9075308.5</v>
      </c>
      <c r="E322" s="479">
        <f>+C322+D322</f>
        <v>10085093.235812133</v>
      </c>
      <c r="F322" s="480">
        <v>8023211.9499999993</v>
      </c>
      <c r="G322" s="480">
        <v>7988071.1500000004</v>
      </c>
      <c r="H322" s="479">
        <f>+E322-F322</f>
        <v>2061881.2858121339</v>
      </c>
      <c r="I322" s="478">
        <f>+F322/E322</f>
        <v>0.7955515891027759</v>
      </c>
      <c r="J322" s="477"/>
    </row>
    <row r="323" spans="1:10" ht="22.5" x14ac:dyDescent="0.25">
      <c r="A323" s="486">
        <v>61309</v>
      </c>
      <c r="B323" s="489" t="s">
        <v>456</v>
      </c>
      <c r="C323" s="480">
        <v>0</v>
      </c>
      <c r="D323" s="480">
        <v>0</v>
      </c>
      <c r="E323" s="479">
        <f>+C323+D323</f>
        <v>0</v>
      </c>
      <c r="F323" s="480">
        <v>0</v>
      </c>
      <c r="G323" s="480">
        <v>0</v>
      </c>
      <c r="H323" s="479">
        <f>+E323-F323</f>
        <v>0</v>
      </c>
      <c r="I323" s="478"/>
      <c r="J323" s="477"/>
    </row>
    <row r="324" spans="1:10" x14ac:dyDescent="0.25">
      <c r="A324" s="486">
        <v>61310</v>
      </c>
      <c r="B324" s="489" t="s">
        <v>447</v>
      </c>
      <c r="C324" s="480">
        <v>2019569.4716242661</v>
      </c>
      <c r="D324" s="480">
        <v>0</v>
      </c>
      <c r="E324" s="479">
        <f>+C324+D324</f>
        <v>2019569.4716242661</v>
      </c>
      <c r="F324" s="480">
        <v>0</v>
      </c>
      <c r="G324" s="480">
        <v>0</v>
      </c>
      <c r="H324" s="479">
        <f>+E324-F324</f>
        <v>2019569.4716242661</v>
      </c>
      <c r="I324" s="478">
        <f>+F324/E324</f>
        <v>0</v>
      </c>
      <c r="J324" s="477"/>
    </row>
    <row r="325" spans="1:10" x14ac:dyDescent="0.25">
      <c r="A325" s="486">
        <v>61315</v>
      </c>
      <c r="B325" s="489" t="s">
        <v>440</v>
      </c>
      <c r="C325" s="480">
        <v>0</v>
      </c>
      <c r="D325" s="480">
        <v>0</v>
      </c>
      <c r="E325" s="479">
        <f>+C325+D325</f>
        <v>0</v>
      </c>
      <c r="F325" s="480">
        <v>0</v>
      </c>
      <c r="G325" s="480">
        <v>0</v>
      </c>
      <c r="H325" s="479">
        <f>+E325-F325</f>
        <v>0</v>
      </c>
      <c r="I325" s="478"/>
      <c r="J325" s="477"/>
    </row>
    <row r="326" spans="1:10" ht="22.5" x14ac:dyDescent="0.25">
      <c r="A326" s="487">
        <v>614</v>
      </c>
      <c r="B326" s="490" t="s">
        <v>445</v>
      </c>
      <c r="C326" s="479">
        <f>C327+C328+C329+C331+C330+C332+C333+C334</f>
        <v>48570645.792563602</v>
      </c>
      <c r="D326" s="479">
        <f>D327+D328+D329+D331+D330+D332+D333+D334</f>
        <v>31847921.949999999</v>
      </c>
      <c r="E326" s="479">
        <f>+C326+D326</f>
        <v>80418567.742563605</v>
      </c>
      <c r="F326" s="479">
        <v>58540590.780000001</v>
      </c>
      <c r="G326" s="479">
        <v>57402306.250000007</v>
      </c>
      <c r="H326" s="479">
        <f>+E326-F326</f>
        <v>21877976.962563604</v>
      </c>
      <c r="I326" s="478">
        <f>+F326/E326</f>
        <v>0.7279486867684648</v>
      </c>
      <c r="J326" s="477"/>
    </row>
    <row r="327" spans="1:10" x14ac:dyDescent="0.25">
      <c r="A327" s="486">
        <v>61404</v>
      </c>
      <c r="B327" s="489" t="s">
        <v>453</v>
      </c>
      <c r="C327" s="480">
        <v>0</v>
      </c>
      <c r="D327" s="480">
        <v>374489</v>
      </c>
      <c r="E327" s="479">
        <f>+C327+D327</f>
        <v>374489</v>
      </c>
      <c r="F327" s="480">
        <v>374489.05</v>
      </c>
      <c r="G327" s="480">
        <v>374489.05</v>
      </c>
      <c r="H327" s="479">
        <f>+E327-F327</f>
        <v>-4.9999999988358468E-2</v>
      </c>
      <c r="I327" s="478"/>
      <c r="J327" s="477"/>
    </row>
    <row r="328" spans="1:10" x14ac:dyDescent="0.25">
      <c r="A328" s="486">
        <v>61405</v>
      </c>
      <c r="B328" s="489" t="s">
        <v>455</v>
      </c>
      <c r="C328" s="480">
        <v>0</v>
      </c>
      <c r="D328" s="480">
        <v>1339957.76</v>
      </c>
      <c r="E328" s="479">
        <f>+C328+D328</f>
        <v>1339957.76</v>
      </c>
      <c r="F328" s="480">
        <v>0</v>
      </c>
      <c r="G328" s="480">
        <v>0</v>
      </c>
      <c r="H328" s="479">
        <f>+E328-F328</f>
        <v>1339957.76</v>
      </c>
      <c r="I328" s="478">
        <f>+F328/E328</f>
        <v>0</v>
      </c>
      <c r="J328" s="477"/>
    </row>
    <row r="329" spans="1:10" x14ac:dyDescent="0.25">
      <c r="A329" s="486">
        <v>61406</v>
      </c>
      <c r="B329" s="489" t="s">
        <v>443</v>
      </c>
      <c r="C329" s="480">
        <v>4175459.8825831702</v>
      </c>
      <c r="D329" s="480">
        <v>6009200</v>
      </c>
      <c r="E329" s="479">
        <f>+C329+D329</f>
        <v>10184659.882583171</v>
      </c>
      <c r="F329" s="480">
        <v>3929713.46</v>
      </c>
      <c r="G329" s="480">
        <v>2791428.93</v>
      </c>
      <c r="H329" s="479">
        <f>+E329-F329</f>
        <v>6254946.4225831712</v>
      </c>
      <c r="I329" s="478">
        <f>+F329/E329</f>
        <v>0.38584631252342744</v>
      </c>
      <c r="J329" s="477"/>
    </row>
    <row r="330" spans="1:10" x14ac:dyDescent="0.25">
      <c r="A330" s="486">
        <v>61408</v>
      </c>
      <c r="B330" s="489" t="s">
        <v>442</v>
      </c>
      <c r="C330" s="480">
        <v>43363053.628180042</v>
      </c>
      <c r="D330" s="480">
        <f>-1370632.46-374489-96964</f>
        <v>-1842085.46</v>
      </c>
      <c r="E330" s="479">
        <f>+C330+D330</f>
        <v>41520968.168180041</v>
      </c>
      <c r="F330" s="480">
        <v>30322015.390000001</v>
      </c>
      <c r="G330" s="480">
        <v>30322015.390000001</v>
      </c>
      <c r="H330" s="479">
        <f>+E330-F330</f>
        <v>11198952.77818004</v>
      </c>
      <c r="I330" s="478">
        <f>+F330/E330</f>
        <v>0.73028199311685471</v>
      </c>
      <c r="J330" s="477"/>
    </row>
    <row r="331" spans="1:10" x14ac:dyDescent="0.25">
      <c r="A331" s="486">
        <v>61409</v>
      </c>
      <c r="B331" s="489" t="s">
        <v>441</v>
      </c>
      <c r="C331" s="480">
        <v>1032132.2818003914</v>
      </c>
      <c r="D331" s="480">
        <v>25522378.34</v>
      </c>
      <c r="E331" s="479">
        <f>+C331+D331</f>
        <v>26554510.621800393</v>
      </c>
      <c r="F331" s="480">
        <v>23477315.670000002</v>
      </c>
      <c r="G331" s="480">
        <v>23477315.670000002</v>
      </c>
      <c r="H331" s="479">
        <f>+E331-F331</f>
        <v>3077194.9518003911</v>
      </c>
      <c r="I331" s="478">
        <f>+F331/E331</f>
        <v>0.88411780598682499</v>
      </c>
      <c r="J331" s="477"/>
    </row>
    <row r="332" spans="1:10" x14ac:dyDescent="0.25">
      <c r="A332" s="486">
        <v>61415</v>
      </c>
      <c r="B332" s="489" t="s">
        <v>440</v>
      </c>
      <c r="C332" s="480">
        <v>0</v>
      </c>
      <c r="D332" s="480">
        <v>0</v>
      </c>
      <c r="E332" s="479">
        <f>+C332+D332</f>
        <v>0</v>
      </c>
      <c r="F332" s="480">
        <v>0</v>
      </c>
      <c r="G332" s="480">
        <v>0</v>
      </c>
      <c r="H332" s="479">
        <f>+E332-F332</f>
        <v>0</v>
      </c>
      <c r="I332" s="478">
        <v>0</v>
      </c>
      <c r="J332" s="477"/>
    </row>
    <row r="333" spans="1:10" ht="22.5" x14ac:dyDescent="0.25">
      <c r="A333" s="482">
        <v>61424</v>
      </c>
      <c r="B333" s="481" t="s">
        <v>439</v>
      </c>
      <c r="C333" s="480">
        <v>0</v>
      </c>
      <c r="D333" s="480">
        <v>53598.32</v>
      </c>
      <c r="E333" s="479">
        <f>+C333+D333</f>
        <v>53598.32</v>
      </c>
      <c r="F333" s="480">
        <v>46673.2</v>
      </c>
      <c r="G333" s="480">
        <v>46673.2</v>
      </c>
      <c r="H333" s="479">
        <f>+E333-F333</f>
        <v>6925.1200000000026</v>
      </c>
      <c r="I333" s="478">
        <f>+F333/E333</f>
        <v>0.8707959503208309</v>
      </c>
      <c r="J333" s="477"/>
    </row>
    <row r="334" spans="1:10" x14ac:dyDescent="0.25">
      <c r="A334" s="482">
        <v>61425</v>
      </c>
      <c r="B334" s="481" t="s">
        <v>438</v>
      </c>
      <c r="C334" s="480">
        <v>0</v>
      </c>
      <c r="D334" s="480">
        <f>293419.99+96964</f>
        <v>390383.99</v>
      </c>
      <c r="E334" s="479">
        <f>+C334+D334</f>
        <v>390383.99</v>
      </c>
      <c r="F334" s="480">
        <v>390384.01</v>
      </c>
      <c r="G334" s="480">
        <v>390384.01</v>
      </c>
      <c r="H334" s="479">
        <f>+E334-F334</f>
        <v>-2.0000000018626451E-2</v>
      </c>
      <c r="I334" s="478">
        <f>+F334/E334</f>
        <v>1.0000000512316092</v>
      </c>
      <c r="J334" s="477"/>
    </row>
    <row r="335" spans="1:10" hidden="1" x14ac:dyDescent="0.25">
      <c r="A335" s="492">
        <v>6200</v>
      </c>
      <c r="B335" s="483" t="s">
        <v>454</v>
      </c>
      <c r="C335" s="479">
        <v>0</v>
      </c>
      <c r="D335" s="479">
        <v>0</v>
      </c>
      <c r="E335" s="479">
        <f>+C335+D335</f>
        <v>0</v>
      </c>
      <c r="F335" s="479">
        <v>0</v>
      </c>
      <c r="G335" s="479">
        <v>0</v>
      </c>
      <c r="H335" s="479">
        <f>+E335-F335</f>
        <v>0</v>
      </c>
      <c r="I335" s="478">
        <v>0</v>
      </c>
      <c r="J335" s="477"/>
    </row>
    <row r="336" spans="1:10" ht="22.5" hidden="1" x14ac:dyDescent="0.25">
      <c r="A336" s="487">
        <v>624</v>
      </c>
      <c r="B336" s="483" t="s">
        <v>445</v>
      </c>
      <c r="C336" s="479">
        <v>0</v>
      </c>
      <c r="D336" s="479">
        <v>0</v>
      </c>
      <c r="E336" s="479">
        <f>+C336+D336</f>
        <v>0</v>
      </c>
      <c r="F336" s="479">
        <v>0</v>
      </c>
      <c r="G336" s="479">
        <v>0</v>
      </c>
      <c r="H336" s="479">
        <f>+E336-F336</f>
        <v>0</v>
      </c>
      <c r="I336" s="478">
        <v>0</v>
      </c>
      <c r="J336" s="477"/>
    </row>
    <row r="337" spans="1:10" hidden="1" x14ac:dyDescent="0.25">
      <c r="A337" s="482">
        <v>62404</v>
      </c>
      <c r="B337" s="481" t="s">
        <v>453</v>
      </c>
      <c r="C337" s="480">
        <v>0</v>
      </c>
      <c r="D337" s="480">
        <v>0</v>
      </c>
      <c r="E337" s="479">
        <f>+C337+D337</f>
        <v>0</v>
      </c>
      <c r="F337" s="480">
        <v>0</v>
      </c>
      <c r="G337" s="480">
        <v>0</v>
      </c>
      <c r="H337" s="479">
        <f>+E337-F337</f>
        <v>0</v>
      </c>
      <c r="I337" s="478">
        <v>0</v>
      </c>
      <c r="J337" s="477"/>
    </row>
    <row r="338" spans="1:10" hidden="1" x14ac:dyDescent="0.25">
      <c r="A338" s="482">
        <v>61406</v>
      </c>
      <c r="B338" s="481" t="s">
        <v>452</v>
      </c>
      <c r="C338" s="480">
        <v>0</v>
      </c>
      <c r="D338" s="480">
        <v>0</v>
      </c>
      <c r="E338" s="479">
        <f>+C338+D338</f>
        <v>0</v>
      </c>
      <c r="F338" s="480">
        <v>0</v>
      </c>
      <c r="G338" s="480">
        <v>0</v>
      </c>
      <c r="H338" s="479">
        <f>+E338-F338</f>
        <v>0</v>
      </c>
      <c r="I338" s="478">
        <v>0</v>
      </c>
      <c r="J338" s="477"/>
    </row>
    <row r="339" spans="1:10" x14ac:dyDescent="0.25">
      <c r="A339" s="482"/>
      <c r="B339" s="481"/>
      <c r="C339" s="480">
        <v>0</v>
      </c>
      <c r="D339" s="480">
        <v>0</v>
      </c>
      <c r="E339" s="479">
        <f>+C339+D339</f>
        <v>0</v>
      </c>
      <c r="F339" s="480"/>
      <c r="G339" s="480"/>
      <c r="H339" s="479">
        <f>+E339-F339</f>
        <v>0</v>
      </c>
      <c r="I339" s="478"/>
      <c r="J339" s="477"/>
    </row>
    <row r="340" spans="1:10" x14ac:dyDescent="0.25">
      <c r="A340" s="491"/>
      <c r="B340" s="492" t="s">
        <v>451</v>
      </c>
      <c r="C340" s="479">
        <f>C341</f>
        <v>66300000</v>
      </c>
      <c r="D340" s="479">
        <f>D341</f>
        <v>155773487.70000002</v>
      </c>
      <c r="E340" s="479">
        <f>+C340+D340</f>
        <v>222073487.70000002</v>
      </c>
      <c r="F340" s="479">
        <v>119133217.8</v>
      </c>
      <c r="G340" s="479">
        <v>119098076.98</v>
      </c>
      <c r="H340" s="479">
        <f>+E340-F340</f>
        <v>102940269.90000002</v>
      </c>
      <c r="I340" s="478">
        <f>+F340/E340</f>
        <v>0.53645853466730598</v>
      </c>
      <c r="J340" s="477"/>
    </row>
    <row r="341" spans="1:10" x14ac:dyDescent="0.25">
      <c r="A341" s="492">
        <v>6100</v>
      </c>
      <c r="B341" s="483" t="s">
        <v>450</v>
      </c>
      <c r="C341" s="479">
        <f>C342+C347</f>
        <v>66300000</v>
      </c>
      <c r="D341" s="479">
        <f>D342+D347</f>
        <v>155773487.70000002</v>
      </c>
      <c r="E341" s="479">
        <f>+C341+D341</f>
        <v>222073487.70000002</v>
      </c>
      <c r="F341" s="479">
        <v>119133217.8</v>
      </c>
      <c r="G341" s="479">
        <v>119098076.98</v>
      </c>
      <c r="H341" s="479">
        <f>+E341-F341</f>
        <v>102940269.90000002</v>
      </c>
      <c r="I341" s="478">
        <f>+F341/E341</f>
        <v>0.53645853466730598</v>
      </c>
      <c r="J341" s="477"/>
    </row>
    <row r="342" spans="1:10" ht="22.5" x14ac:dyDescent="0.25">
      <c r="A342" s="491">
        <v>613</v>
      </c>
      <c r="B342" s="490" t="s">
        <v>449</v>
      </c>
      <c r="C342" s="479">
        <f>C343+C344+C345+C346</f>
        <v>0</v>
      </c>
      <c r="D342" s="479">
        <f>D343+D344+D345+D346</f>
        <v>8934150.5</v>
      </c>
      <c r="E342" s="479">
        <f>+C342+D342</f>
        <v>8934150.5</v>
      </c>
      <c r="F342" s="479">
        <v>7885308.5</v>
      </c>
      <c r="G342" s="479">
        <v>7850167.6899999995</v>
      </c>
      <c r="H342" s="479">
        <f>+E342-F342</f>
        <v>1048842</v>
      </c>
      <c r="I342" s="478">
        <f>+F342/E342</f>
        <v>0.88260305218722246</v>
      </c>
      <c r="J342" s="477"/>
    </row>
    <row r="343" spans="1:10" ht="22.5" x14ac:dyDescent="0.25">
      <c r="A343" s="482">
        <v>61305</v>
      </c>
      <c r="B343" s="489" t="s">
        <v>448</v>
      </c>
      <c r="C343" s="480">
        <v>0</v>
      </c>
      <c r="D343" s="480">
        <v>8934150.5</v>
      </c>
      <c r="E343" s="479">
        <f>+C343+D343</f>
        <v>8934150.5</v>
      </c>
      <c r="F343" s="480">
        <v>7885308.5</v>
      </c>
      <c r="G343" s="480">
        <v>7850167.6899999995</v>
      </c>
      <c r="H343" s="479">
        <f>+E343-F343</f>
        <v>1048842</v>
      </c>
      <c r="I343" s="478">
        <f>+F343/E343</f>
        <v>0.88260305218722246</v>
      </c>
      <c r="J343" s="477"/>
    </row>
    <row r="344" spans="1:10" hidden="1" x14ac:dyDescent="0.25">
      <c r="A344" s="482">
        <v>61310</v>
      </c>
      <c r="B344" s="489" t="s">
        <v>447</v>
      </c>
      <c r="C344" s="480">
        <v>0</v>
      </c>
      <c r="D344" s="480">
        <v>0</v>
      </c>
      <c r="E344" s="479">
        <f>+C344+D344</f>
        <v>0</v>
      </c>
      <c r="F344" s="480">
        <v>0</v>
      </c>
      <c r="G344" s="480">
        <v>0</v>
      </c>
      <c r="H344" s="479">
        <f>+E344-F344</f>
        <v>0</v>
      </c>
      <c r="I344" s="478"/>
      <c r="J344" s="477"/>
    </row>
    <row r="345" spans="1:10" ht="22.5" hidden="1" x14ac:dyDescent="0.25">
      <c r="A345" s="482">
        <v>61313</v>
      </c>
      <c r="B345" s="489" t="s">
        <v>446</v>
      </c>
      <c r="C345" s="480">
        <v>0</v>
      </c>
      <c r="D345" s="480">
        <v>0</v>
      </c>
      <c r="E345" s="479">
        <f>+C345+D345</f>
        <v>0</v>
      </c>
      <c r="F345" s="480">
        <v>0</v>
      </c>
      <c r="G345" s="480">
        <v>0</v>
      </c>
      <c r="H345" s="479">
        <f>+E345-F345</f>
        <v>0</v>
      </c>
      <c r="I345" s="478"/>
      <c r="J345" s="477"/>
    </row>
    <row r="346" spans="1:10" hidden="1" x14ac:dyDescent="0.25">
      <c r="A346" s="482">
        <v>61315</v>
      </c>
      <c r="B346" s="489" t="s">
        <v>440</v>
      </c>
      <c r="C346" s="480">
        <v>0</v>
      </c>
      <c r="D346" s="480">
        <v>0</v>
      </c>
      <c r="E346" s="479">
        <f>+C346+D346</f>
        <v>0</v>
      </c>
      <c r="F346" s="480">
        <v>0</v>
      </c>
      <c r="G346" s="480">
        <v>0</v>
      </c>
      <c r="H346" s="479">
        <f>+E346-F346</f>
        <v>0</v>
      </c>
      <c r="I346" s="478"/>
      <c r="J346" s="477"/>
    </row>
    <row r="347" spans="1:10" ht="22.5" x14ac:dyDescent="0.25">
      <c r="A347" s="487">
        <v>614</v>
      </c>
      <c r="B347" s="490" t="s">
        <v>445</v>
      </c>
      <c r="C347" s="479">
        <f>SUM(C348:C354)</f>
        <v>66300000</v>
      </c>
      <c r="D347" s="479">
        <f>SUM(D348:D354)</f>
        <v>146839337.20000002</v>
      </c>
      <c r="E347" s="479">
        <f>+C347+D347</f>
        <v>213139337.20000002</v>
      </c>
      <c r="F347" s="479">
        <v>111247909.3</v>
      </c>
      <c r="G347" s="479">
        <v>111247909.28999999</v>
      </c>
      <c r="H347" s="479">
        <f>+E347-F347</f>
        <v>101891427.90000002</v>
      </c>
      <c r="I347" s="478">
        <f>+F347/E347</f>
        <v>0.52194921294894592</v>
      </c>
      <c r="J347" s="477"/>
    </row>
    <row r="348" spans="1:10" x14ac:dyDescent="0.25">
      <c r="A348" s="486">
        <v>61404</v>
      </c>
      <c r="B348" s="489" t="s">
        <v>444</v>
      </c>
      <c r="C348" s="479"/>
      <c r="D348" s="479"/>
      <c r="E348" s="479">
        <f>+C348+D348</f>
        <v>0</v>
      </c>
      <c r="F348" s="479">
        <v>374489.05</v>
      </c>
      <c r="G348" s="479">
        <v>374489.05</v>
      </c>
      <c r="H348" s="479"/>
      <c r="I348" s="478"/>
      <c r="J348" s="477"/>
    </row>
    <row r="349" spans="1:10" x14ac:dyDescent="0.25">
      <c r="A349" s="486">
        <v>61406</v>
      </c>
      <c r="B349" s="489" t="s">
        <v>443</v>
      </c>
      <c r="C349" s="479">
        <v>0</v>
      </c>
      <c r="D349" s="480">
        <v>5227435</v>
      </c>
      <c r="E349" s="479">
        <f>+C349+D349</f>
        <v>5227435</v>
      </c>
      <c r="F349" s="479">
        <v>2211321.61</v>
      </c>
      <c r="G349" s="479">
        <v>2211321.61</v>
      </c>
      <c r="H349" s="479">
        <f>+E349-F349</f>
        <v>3016113.39</v>
      </c>
      <c r="I349" s="478"/>
      <c r="J349" s="477"/>
    </row>
    <row r="350" spans="1:10" x14ac:dyDescent="0.25">
      <c r="A350" s="486">
        <v>61408</v>
      </c>
      <c r="B350" s="489" t="s">
        <v>442</v>
      </c>
      <c r="C350" s="480">
        <v>66300000</v>
      </c>
      <c r="D350" s="480">
        <v>83589857.74000001</v>
      </c>
      <c r="E350" s="479">
        <f>+C350+D350</f>
        <v>149889857.74000001</v>
      </c>
      <c r="F350" s="480">
        <v>83151932.390000001</v>
      </c>
      <c r="G350" s="480">
        <v>83151932.379999995</v>
      </c>
      <c r="H350" s="479">
        <f>+E350-F350</f>
        <v>66737925.350000009</v>
      </c>
      <c r="I350" s="478">
        <f>+F350/E350</f>
        <v>0.55475356133992682</v>
      </c>
      <c r="J350" s="477"/>
    </row>
    <row r="351" spans="1:10" x14ac:dyDescent="0.25">
      <c r="A351" s="486">
        <v>61409</v>
      </c>
      <c r="B351" s="489" t="s">
        <v>441</v>
      </c>
      <c r="C351" s="480">
        <v>0</v>
      </c>
      <c r="D351" s="480">
        <v>54030644.18</v>
      </c>
      <c r="E351" s="479">
        <f>+C351+D351</f>
        <v>54030644.18</v>
      </c>
      <c r="F351" s="480">
        <v>25031410.559999999</v>
      </c>
      <c r="G351" s="480">
        <v>25031410.559999999</v>
      </c>
      <c r="H351" s="479">
        <f>+E351-F351</f>
        <v>28999233.620000001</v>
      </c>
      <c r="I351" s="478"/>
      <c r="J351" s="477"/>
    </row>
    <row r="352" spans="1:10" x14ac:dyDescent="0.25">
      <c r="A352" s="486">
        <v>61415</v>
      </c>
      <c r="B352" s="489" t="s">
        <v>440</v>
      </c>
      <c r="C352" s="480">
        <v>0</v>
      </c>
      <c r="D352" s="480">
        <v>0</v>
      </c>
      <c r="E352" s="479">
        <f>+C352+D352</f>
        <v>0</v>
      </c>
      <c r="F352" s="480">
        <v>0</v>
      </c>
      <c r="G352" s="480">
        <v>0</v>
      </c>
      <c r="H352" s="479">
        <f>+E352-F352</f>
        <v>0</v>
      </c>
      <c r="I352" s="478"/>
      <c r="J352" s="477"/>
    </row>
    <row r="353" spans="1:12" ht="22.5" x14ac:dyDescent="0.25">
      <c r="A353" s="486">
        <v>61424</v>
      </c>
      <c r="B353" s="489" t="s">
        <v>439</v>
      </c>
      <c r="C353" s="480">
        <v>0</v>
      </c>
      <c r="D353" s="480">
        <v>577938.27</v>
      </c>
      <c r="E353" s="479">
        <f>+C353+D353</f>
        <v>577938.27</v>
      </c>
      <c r="F353" s="480">
        <v>81328.28</v>
      </c>
      <c r="G353" s="480">
        <v>81328.28</v>
      </c>
      <c r="H353" s="479">
        <f>+E353-F353</f>
        <v>496609.99</v>
      </c>
      <c r="I353" s="478">
        <f>+F353/E353</f>
        <v>0.14072139572968578</v>
      </c>
      <c r="J353" s="477"/>
    </row>
    <row r="354" spans="1:12" x14ac:dyDescent="0.25">
      <c r="A354" s="486">
        <v>61425</v>
      </c>
      <c r="B354" s="489" t="s">
        <v>438</v>
      </c>
      <c r="C354" s="480">
        <v>0</v>
      </c>
      <c r="D354" s="480">
        <v>3413462.01</v>
      </c>
      <c r="E354" s="479">
        <f>+C354+D354</f>
        <v>3413462.01</v>
      </c>
      <c r="F354" s="480">
        <v>397427.41</v>
      </c>
      <c r="G354" s="480">
        <v>397427.41</v>
      </c>
      <c r="H354" s="479">
        <f>+E354-F354</f>
        <v>3016034.5999999996</v>
      </c>
      <c r="I354" s="478"/>
      <c r="J354" s="477"/>
    </row>
    <row r="355" spans="1:12" x14ac:dyDescent="0.25">
      <c r="A355" s="486"/>
      <c r="B355" s="489"/>
      <c r="C355" s="480"/>
      <c r="D355" s="480">
        <v>0</v>
      </c>
      <c r="E355" s="479">
        <f>+C355+D355</f>
        <v>0</v>
      </c>
      <c r="F355" s="480">
        <v>0</v>
      </c>
      <c r="G355" s="480"/>
      <c r="H355" s="479">
        <f>+E355-F355</f>
        <v>0</v>
      </c>
      <c r="I355" s="478"/>
      <c r="J355" s="477"/>
    </row>
    <row r="356" spans="1:12" x14ac:dyDescent="0.25">
      <c r="A356" s="485">
        <v>7000</v>
      </c>
      <c r="B356" s="490" t="s">
        <v>437</v>
      </c>
      <c r="C356" s="479">
        <f>C357</f>
        <v>68632616.799999997</v>
      </c>
      <c r="D356" s="479">
        <f>D357</f>
        <v>0</v>
      </c>
      <c r="E356" s="479">
        <f>+C356+D356</f>
        <v>68632616.799999997</v>
      </c>
      <c r="F356" s="479">
        <v>0</v>
      </c>
      <c r="G356" s="479">
        <v>0</v>
      </c>
      <c r="H356" s="479">
        <f>+E356-F356</f>
        <v>68632616.799999997</v>
      </c>
      <c r="I356" s="478">
        <f>+F356/E356</f>
        <v>0</v>
      </c>
      <c r="J356" s="477"/>
    </row>
    <row r="357" spans="1:12" ht="22.5" x14ac:dyDescent="0.25">
      <c r="A357" s="485">
        <v>7900</v>
      </c>
      <c r="B357" s="490" t="s">
        <v>436</v>
      </c>
      <c r="C357" s="479">
        <f>C358</f>
        <v>68632616.799999997</v>
      </c>
      <c r="D357" s="479">
        <f>D358</f>
        <v>0</v>
      </c>
      <c r="E357" s="479">
        <f>+C357+D357</f>
        <v>68632616.799999997</v>
      </c>
      <c r="F357" s="479">
        <v>0</v>
      </c>
      <c r="G357" s="479">
        <v>0</v>
      </c>
      <c r="H357" s="479">
        <f>+E357-F357</f>
        <v>68632616.799999997</v>
      </c>
      <c r="I357" s="478">
        <f>+F357/E357</f>
        <v>0</v>
      </c>
      <c r="J357" s="477"/>
    </row>
    <row r="358" spans="1:12" x14ac:dyDescent="0.25">
      <c r="A358" s="487">
        <v>799</v>
      </c>
      <c r="B358" s="490" t="s">
        <v>435</v>
      </c>
      <c r="C358" s="479">
        <f>C359</f>
        <v>68632616.799999997</v>
      </c>
      <c r="D358" s="479">
        <f>D359</f>
        <v>0</v>
      </c>
      <c r="E358" s="479">
        <f>+C358+D358</f>
        <v>68632616.799999997</v>
      </c>
      <c r="F358" s="479">
        <v>0</v>
      </c>
      <c r="G358" s="479">
        <v>0</v>
      </c>
      <c r="H358" s="479">
        <f>+E358-F358</f>
        <v>68632616.799999997</v>
      </c>
      <c r="I358" s="478">
        <f>+F358/E358</f>
        <v>0</v>
      </c>
      <c r="J358" s="477"/>
    </row>
    <row r="359" spans="1:12" x14ac:dyDescent="0.25">
      <c r="A359" s="486">
        <v>79901</v>
      </c>
      <c r="B359" s="489" t="s">
        <v>435</v>
      </c>
      <c r="C359" s="480">
        <v>68632616.799999997</v>
      </c>
      <c r="D359" s="480">
        <v>0</v>
      </c>
      <c r="E359" s="479">
        <f>+C359+D359</f>
        <v>68632616.799999997</v>
      </c>
      <c r="F359" s="480">
        <v>0</v>
      </c>
      <c r="G359" s="480">
        <v>0</v>
      </c>
      <c r="H359" s="479">
        <f>+E359-F359</f>
        <v>68632616.799999997</v>
      </c>
      <c r="I359" s="478">
        <f>+F359/E359</f>
        <v>0</v>
      </c>
      <c r="J359" s="477"/>
    </row>
    <row r="360" spans="1:12" x14ac:dyDescent="0.25">
      <c r="A360" s="482"/>
      <c r="B360" s="481"/>
      <c r="C360" s="480"/>
      <c r="D360" s="480">
        <v>0</v>
      </c>
      <c r="E360" s="479">
        <f>+C360+D360</f>
        <v>0</v>
      </c>
      <c r="F360" s="480">
        <v>0</v>
      </c>
      <c r="G360" s="480"/>
      <c r="H360" s="479">
        <f>+E360-F360</f>
        <v>0</v>
      </c>
      <c r="I360" s="478"/>
      <c r="J360" s="477"/>
    </row>
    <row r="361" spans="1:12" x14ac:dyDescent="0.25">
      <c r="A361" s="485">
        <v>9000</v>
      </c>
      <c r="B361" s="483" t="s">
        <v>434</v>
      </c>
      <c r="C361" s="479">
        <f>C362+C366+C370</f>
        <v>6754608</v>
      </c>
      <c r="D361" s="479">
        <f>D362+D366+D370</f>
        <v>87042948.590000004</v>
      </c>
      <c r="E361" s="479">
        <f>+C361+D361</f>
        <v>93797556.590000004</v>
      </c>
      <c r="F361" s="479">
        <v>83605358.01000002</v>
      </c>
      <c r="G361" s="479">
        <v>81040394.300000012</v>
      </c>
      <c r="H361" s="479">
        <f>+E361-F361</f>
        <v>10192198.579999983</v>
      </c>
      <c r="I361" s="478">
        <f>+F361/E361</f>
        <v>0.89133833598084788</v>
      </c>
      <c r="J361" s="477"/>
    </row>
    <row r="362" spans="1:12" x14ac:dyDescent="0.25">
      <c r="A362" s="485">
        <v>9100</v>
      </c>
      <c r="B362" s="483" t="s">
        <v>433</v>
      </c>
      <c r="C362" s="479">
        <f>C363</f>
        <v>0</v>
      </c>
      <c r="D362" s="479">
        <f>D363</f>
        <v>16983455.920000002</v>
      </c>
      <c r="E362" s="479">
        <f>+C362+D362</f>
        <v>16983455.920000002</v>
      </c>
      <c r="F362" s="479">
        <v>16983455.920000002</v>
      </c>
      <c r="G362" s="479">
        <v>16983455.920000002</v>
      </c>
      <c r="H362" s="479">
        <f>+E362-F362</f>
        <v>0</v>
      </c>
      <c r="I362" s="478">
        <f>+F362/E362</f>
        <v>1</v>
      </c>
      <c r="J362" s="477"/>
      <c r="L362" s="488"/>
    </row>
    <row r="363" spans="1:12" ht="22.5" x14ac:dyDescent="0.25">
      <c r="A363" s="487">
        <v>911</v>
      </c>
      <c r="B363" s="483" t="s">
        <v>432</v>
      </c>
      <c r="C363" s="479">
        <f>C364+C365</f>
        <v>0</v>
      </c>
      <c r="D363" s="479">
        <f>D364+D365</f>
        <v>16983455.920000002</v>
      </c>
      <c r="E363" s="479">
        <f>+C363+D363</f>
        <v>16983455.920000002</v>
      </c>
      <c r="F363" s="479">
        <v>16983455.920000002</v>
      </c>
      <c r="G363" s="479">
        <v>16983455.920000002</v>
      </c>
      <c r="H363" s="479">
        <f>+E363-F363</f>
        <v>0</v>
      </c>
      <c r="I363" s="478">
        <f>+F363/E363</f>
        <v>1</v>
      </c>
      <c r="J363" s="477"/>
    </row>
    <row r="364" spans="1:12" x14ac:dyDescent="0.25">
      <c r="A364" s="486">
        <v>91101</v>
      </c>
      <c r="B364" s="481" t="s">
        <v>431</v>
      </c>
      <c r="C364" s="480"/>
      <c r="D364" s="480">
        <v>0</v>
      </c>
      <c r="E364" s="479">
        <f>+C364+D364</f>
        <v>0</v>
      </c>
      <c r="F364" s="480">
        <v>0</v>
      </c>
      <c r="G364" s="480">
        <v>0</v>
      </c>
      <c r="H364" s="479">
        <f>+E364-F364</f>
        <v>0</v>
      </c>
      <c r="I364" s="478"/>
      <c r="J364" s="477"/>
    </row>
    <row r="365" spans="1:12" x14ac:dyDescent="0.25">
      <c r="A365" s="486">
        <v>91102</v>
      </c>
      <c r="B365" s="481" t="s">
        <v>430</v>
      </c>
      <c r="C365" s="480"/>
      <c r="D365" s="480">
        <v>16983455.920000002</v>
      </c>
      <c r="E365" s="479">
        <f>+C365+D365</f>
        <v>16983455.920000002</v>
      </c>
      <c r="F365" s="480">
        <v>16983455.920000002</v>
      </c>
      <c r="G365" s="480">
        <v>16983455.920000002</v>
      </c>
      <c r="H365" s="479">
        <f>+E365-F365</f>
        <v>0</v>
      </c>
      <c r="I365" s="478">
        <f>+F365/E365</f>
        <v>1</v>
      </c>
      <c r="J365" s="477"/>
    </row>
    <row r="366" spans="1:12" x14ac:dyDescent="0.25">
      <c r="A366" s="485">
        <v>9200</v>
      </c>
      <c r="B366" s="483" t="s">
        <v>429</v>
      </c>
      <c r="C366" s="479">
        <f>C367</f>
        <v>0</v>
      </c>
      <c r="D366" s="479">
        <f>D367</f>
        <v>30101895.920000002</v>
      </c>
      <c r="E366" s="479">
        <f>+C366+D366</f>
        <v>30101895.920000002</v>
      </c>
      <c r="F366" s="479">
        <v>30070597.329999998</v>
      </c>
      <c r="G366" s="479">
        <v>30070597.329999998</v>
      </c>
      <c r="H366" s="479">
        <f>+E366-F366</f>
        <v>31298.590000003576</v>
      </c>
      <c r="I366" s="478">
        <f>+F366/E366</f>
        <v>0.99896024522564342</v>
      </c>
      <c r="J366" s="477"/>
    </row>
    <row r="367" spans="1:12" ht="22.5" x14ac:dyDescent="0.25">
      <c r="A367" s="487">
        <v>921</v>
      </c>
      <c r="B367" s="483" t="s">
        <v>428</v>
      </c>
      <c r="C367" s="479">
        <f>C368+C369</f>
        <v>0</v>
      </c>
      <c r="D367" s="479">
        <f>D368+D369</f>
        <v>30101895.920000002</v>
      </c>
      <c r="E367" s="479">
        <f>+C367+D367</f>
        <v>30101895.920000002</v>
      </c>
      <c r="F367" s="479">
        <v>30070597.329999998</v>
      </c>
      <c r="G367" s="479">
        <v>30070597.329999998</v>
      </c>
      <c r="H367" s="479">
        <f>+E367-F367</f>
        <v>31298.590000003576</v>
      </c>
      <c r="I367" s="478">
        <f>+F367/E367</f>
        <v>0.99896024522564342</v>
      </c>
      <c r="J367" s="477"/>
    </row>
    <row r="368" spans="1:12" x14ac:dyDescent="0.25">
      <c r="A368" s="486">
        <v>92101</v>
      </c>
      <c r="B368" s="481" t="s">
        <v>427</v>
      </c>
      <c r="C368" s="480">
        <v>0</v>
      </c>
      <c r="D368" s="480">
        <v>0</v>
      </c>
      <c r="E368" s="479">
        <f>+C368+D368</f>
        <v>0</v>
      </c>
      <c r="F368" s="480">
        <v>0</v>
      </c>
      <c r="G368" s="480">
        <v>0</v>
      </c>
      <c r="H368" s="479">
        <f>+E368-F368</f>
        <v>0</v>
      </c>
      <c r="I368" s="478"/>
      <c r="J368" s="477"/>
    </row>
    <row r="369" spans="1:10" x14ac:dyDescent="0.25">
      <c r="A369" s="486">
        <v>92102</v>
      </c>
      <c r="B369" s="481" t="s">
        <v>426</v>
      </c>
      <c r="C369" s="480"/>
      <c r="D369" s="480">
        <v>30101895.920000002</v>
      </c>
      <c r="E369" s="479">
        <f>+C369+D369</f>
        <v>30101895.920000002</v>
      </c>
      <c r="F369" s="480">
        <v>30070597.329999998</v>
      </c>
      <c r="G369" s="480">
        <v>30070597.329999998</v>
      </c>
      <c r="H369" s="479">
        <f>+E369-F369</f>
        <v>31298.590000003576</v>
      </c>
      <c r="I369" s="478">
        <f>+F369/E369</f>
        <v>0.99896024522564342</v>
      </c>
      <c r="J369" s="477"/>
    </row>
    <row r="370" spans="1:10" x14ac:dyDescent="0.25">
      <c r="A370" s="485">
        <v>9900</v>
      </c>
      <c r="B370" s="483" t="s">
        <v>425</v>
      </c>
      <c r="C370" s="479">
        <f>C371</f>
        <v>6754608</v>
      </c>
      <c r="D370" s="479">
        <f>D371</f>
        <v>39957596.75</v>
      </c>
      <c r="E370" s="479">
        <f>+C370+D370</f>
        <v>46712204.75</v>
      </c>
      <c r="F370" s="479">
        <v>36551304.760000005</v>
      </c>
      <c r="G370" s="479">
        <v>33986341.049999997</v>
      </c>
      <c r="H370" s="479">
        <f>+E370-F370</f>
        <v>10160899.989999995</v>
      </c>
      <c r="I370" s="478">
        <f>+F370/E370</f>
        <v>0.78247868957630407</v>
      </c>
      <c r="J370" s="477"/>
    </row>
    <row r="371" spans="1:10" x14ac:dyDescent="0.25">
      <c r="A371" s="484">
        <v>991</v>
      </c>
      <c r="B371" s="483" t="s">
        <v>424</v>
      </c>
      <c r="C371" s="479">
        <f>C372+C373</f>
        <v>6754608</v>
      </c>
      <c r="D371" s="479">
        <f>D372+D373</f>
        <v>39957596.75</v>
      </c>
      <c r="E371" s="479">
        <f>+C371+D371</f>
        <v>46712204.75</v>
      </c>
      <c r="F371" s="479">
        <v>36551304.760000005</v>
      </c>
      <c r="G371" s="479">
        <v>33986341.049999997</v>
      </c>
      <c r="H371" s="479">
        <f>+E371-F371</f>
        <v>10160899.989999995</v>
      </c>
      <c r="I371" s="478">
        <f>+F371/E371</f>
        <v>0.78247868957630407</v>
      </c>
      <c r="J371" s="477"/>
    </row>
    <row r="372" spans="1:10" x14ac:dyDescent="0.25">
      <c r="A372" s="482">
        <v>99101</v>
      </c>
      <c r="B372" s="481" t="s">
        <v>423</v>
      </c>
      <c r="C372" s="480">
        <v>6754608</v>
      </c>
      <c r="D372" s="480">
        <f>36031057.29+322738</f>
        <v>36353795.289999999</v>
      </c>
      <c r="E372" s="480">
        <f>+C372+D372</f>
        <v>43108403.289999999</v>
      </c>
      <c r="F372" s="480">
        <v>32947503.690000001</v>
      </c>
      <c r="G372" s="480">
        <v>30343341.130000006</v>
      </c>
      <c r="H372" s="479">
        <f>+E372-F372</f>
        <v>10160899.599999998</v>
      </c>
      <c r="I372" s="478">
        <f>+F372/E372</f>
        <v>0.76429422515036516</v>
      </c>
      <c r="J372" s="477"/>
    </row>
    <row r="373" spans="1:10" x14ac:dyDescent="0.25">
      <c r="A373" s="482">
        <v>99101</v>
      </c>
      <c r="B373" s="481" t="s">
        <v>422</v>
      </c>
      <c r="C373" s="480"/>
      <c r="D373" s="480">
        <f>3187959.46+415842</f>
        <v>3603801.46</v>
      </c>
      <c r="E373" s="480">
        <f>+C373+D373</f>
        <v>3603801.46</v>
      </c>
      <c r="F373" s="480">
        <v>3603801.0700000003</v>
      </c>
      <c r="G373" s="480">
        <v>3642999.92</v>
      </c>
      <c r="H373" s="479">
        <f>+E373-F373</f>
        <v>0.38999999966472387</v>
      </c>
      <c r="I373" s="478">
        <f>+F373/E373</f>
        <v>0.99999989178094184</v>
      </c>
      <c r="J373" s="477"/>
    </row>
    <row r="374" spans="1:10" hidden="1" x14ac:dyDescent="0.25">
      <c r="A374" s="482"/>
      <c r="B374" s="481"/>
      <c r="C374" s="480">
        <v>0</v>
      </c>
      <c r="D374" s="480">
        <v>0</v>
      </c>
      <c r="E374" s="479">
        <f>+C374+D374</f>
        <v>0</v>
      </c>
      <c r="F374" s="480">
        <v>0</v>
      </c>
      <c r="G374" s="480">
        <v>0</v>
      </c>
      <c r="H374" s="479">
        <f>+E374-F374</f>
        <v>0</v>
      </c>
      <c r="I374" s="478"/>
      <c r="J374" s="477"/>
    </row>
    <row r="375" spans="1:10" x14ac:dyDescent="0.25">
      <c r="C375" s="476">
        <f>+C361+C318+C273+C255+C135+C61+C9+C356</f>
        <v>578850855.75</v>
      </c>
      <c r="D375" s="476">
        <f>+D361+D318+D273+D255+D135+D61+D9+D356</f>
        <v>370631441.71000004</v>
      </c>
      <c r="E375" s="476">
        <f>+E361+E318+E273+E255+E135+E61+E9+E356</f>
        <v>949482297.46000004</v>
      </c>
      <c r="F375" s="476">
        <f>+F361+F318+F273+F255+F135+F61+F9+F356</f>
        <v>693922767.47000003</v>
      </c>
      <c r="G375" s="476">
        <f>+G361+G318+G273+G255+G135+G61+G9+G356</f>
        <v>646587490.44000006</v>
      </c>
      <c r="H375" s="336">
        <f>+H361+H318+H273+H255+H135+H61+H9+H356</f>
        <v>255559529.99000001</v>
      </c>
    </row>
    <row r="376" spans="1:10" ht="16.5" x14ac:dyDescent="0.25">
      <c r="B376" s="79"/>
      <c r="C376" s="474"/>
      <c r="D376" s="475"/>
      <c r="E376" s="475"/>
      <c r="F376" s="475"/>
      <c r="G376" s="475"/>
      <c r="H376" s="474"/>
      <c r="I376" s="468"/>
      <c r="J376" s="468"/>
    </row>
    <row r="377" spans="1:10" ht="16.5" x14ac:dyDescent="0.25">
      <c r="C377" s="473"/>
      <c r="D377" s="473"/>
      <c r="E377" s="473"/>
      <c r="F377" s="473"/>
      <c r="G377" s="473"/>
      <c r="H377" s="473"/>
      <c r="J377" s="468"/>
    </row>
    <row r="378" spans="1:10" ht="16.5" x14ac:dyDescent="0.25">
      <c r="C378" s="79"/>
      <c r="D378" s="470"/>
      <c r="E378" s="470"/>
      <c r="J378" s="472"/>
    </row>
    <row r="379" spans="1:10" ht="16.5" x14ac:dyDescent="0.25">
      <c r="B379" s="467" t="s">
        <v>421</v>
      </c>
      <c r="C379" s="79"/>
      <c r="D379" s="471"/>
      <c r="E379" s="470"/>
      <c r="F379" s="469"/>
      <c r="G379" s="469" t="s">
        <v>420</v>
      </c>
      <c r="H379" s="467"/>
      <c r="I379" s="468"/>
      <c r="J379" s="468"/>
    </row>
    <row r="380" spans="1:10" ht="16.5" x14ac:dyDescent="0.25">
      <c r="B380" s="467" t="s">
        <v>419</v>
      </c>
      <c r="F380" s="466" t="s">
        <v>418</v>
      </c>
      <c r="G380" s="465"/>
      <c r="H380" s="465"/>
      <c r="I380" s="465"/>
    </row>
    <row r="383" spans="1:10" x14ac:dyDescent="0.25">
      <c r="D383" s="354"/>
      <c r="E383" s="354"/>
      <c r="F383" s="354"/>
      <c r="G383" s="354"/>
      <c r="H383" s="354"/>
    </row>
    <row r="386" spans="4:8" x14ac:dyDescent="0.25">
      <c r="D386" s="354"/>
      <c r="E386" s="354"/>
      <c r="H386"/>
    </row>
    <row r="389" spans="4:8" x14ac:dyDescent="0.25">
      <c r="D389" s="354"/>
      <c r="E389" s="354"/>
      <c r="F389" s="354"/>
      <c r="G389" s="354"/>
    </row>
  </sheetData>
  <mergeCells count="16">
    <mergeCell ref="H6:I6"/>
    <mergeCell ref="A1:I1"/>
    <mergeCell ref="A2:I2"/>
    <mergeCell ref="A3:I3"/>
    <mergeCell ref="A4:I4"/>
    <mergeCell ref="A5:I5"/>
    <mergeCell ref="G7:G8"/>
    <mergeCell ref="H7:H8"/>
    <mergeCell ref="I7:I8"/>
    <mergeCell ref="F380:I380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86DF-1E6A-4AB7-8679-5B2A656DDA56}">
  <dimension ref="A1:I33"/>
  <sheetViews>
    <sheetView view="pageBreakPreview" topLeftCell="A4" zoomScaleNormal="100" zoomScaleSheetLayoutView="100" workbookViewId="0">
      <selection activeCell="J40" sqref="J40"/>
    </sheetView>
  </sheetViews>
  <sheetFormatPr baseColWidth="10" defaultColWidth="11.42578125" defaultRowHeight="15" x14ac:dyDescent="0.25"/>
  <cols>
    <col min="1" max="1" width="24.85546875" customWidth="1"/>
    <col min="2" max="2" width="12.42578125" customWidth="1"/>
    <col min="3" max="3" width="14.42578125" customWidth="1"/>
    <col min="4" max="4" width="12.85546875" bestFit="1" customWidth="1"/>
    <col min="5" max="5" width="13.5703125" customWidth="1"/>
    <col min="6" max="6" width="14.5703125" customWidth="1"/>
    <col min="7" max="7" width="12" bestFit="1" customWidth="1"/>
  </cols>
  <sheetData>
    <row r="1" spans="1:9" ht="15.75" x14ac:dyDescent="0.25">
      <c r="A1" s="178" t="s">
        <v>42</v>
      </c>
      <c r="B1" s="178"/>
      <c r="C1" s="178"/>
      <c r="D1" s="178"/>
      <c r="E1" s="178"/>
      <c r="F1" s="178"/>
      <c r="G1" s="178"/>
      <c r="H1" s="554"/>
      <c r="I1" s="554"/>
    </row>
    <row r="2" spans="1:9" ht="15.75" customHeight="1" x14ac:dyDescent="0.25">
      <c r="A2" s="177" t="s">
        <v>715</v>
      </c>
      <c r="B2" s="177"/>
      <c r="C2" s="177"/>
      <c r="D2" s="177"/>
      <c r="E2" s="177"/>
      <c r="F2" s="177"/>
      <c r="G2" s="177"/>
      <c r="H2" s="7"/>
      <c r="I2" s="7"/>
    </row>
    <row r="3" spans="1:9" ht="15.75" customHeight="1" x14ac:dyDescent="0.25">
      <c r="A3" s="177" t="s">
        <v>714</v>
      </c>
      <c r="B3" s="177"/>
      <c r="C3" s="177"/>
      <c r="D3" s="177"/>
      <c r="E3" s="177"/>
      <c r="F3" s="177"/>
      <c r="G3" s="177"/>
      <c r="H3" s="7"/>
      <c r="I3" s="7"/>
    </row>
    <row r="4" spans="1:9" ht="16.5" customHeight="1" x14ac:dyDescent="0.25">
      <c r="A4" s="177" t="str">
        <f>'[1]ETCA-I-01'!A3:G3</f>
        <v>Comision Estatal del Agua</v>
      </c>
      <c r="B4" s="177"/>
      <c r="C4" s="177"/>
      <c r="D4" s="177"/>
      <c r="E4" s="177"/>
      <c r="F4" s="177"/>
      <c r="G4" s="177"/>
      <c r="H4" s="7"/>
      <c r="I4" s="7"/>
    </row>
    <row r="5" spans="1:9" ht="15.75" customHeight="1" x14ac:dyDescent="0.25">
      <c r="A5" s="553" t="str">
        <f>'[1]ETCA-I-03'!A4:D4</f>
        <v>Del 01 de Enero al 31 de Diciembre de 2019</v>
      </c>
      <c r="B5" s="553"/>
      <c r="C5" s="553"/>
      <c r="D5" s="553"/>
      <c r="E5" s="553"/>
      <c r="F5" s="553"/>
      <c r="G5" s="553"/>
      <c r="H5" s="552"/>
      <c r="I5" s="552"/>
    </row>
    <row r="6" spans="1:9" ht="15.75" customHeight="1" thickBot="1" x14ac:dyDescent="0.3">
      <c r="A6" s="175" t="s">
        <v>40</v>
      </c>
      <c r="B6" s="175"/>
      <c r="C6" s="175"/>
      <c r="D6" s="175"/>
      <c r="E6" s="175"/>
      <c r="F6" s="175"/>
      <c r="G6" s="175"/>
      <c r="H6" s="551"/>
      <c r="I6" s="551"/>
    </row>
    <row r="7" spans="1:9" ht="15.75" thickBot="1" x14ac:dyDescent="0.3">
      <c r="A7" s="550" t="s">
        <v>298</v>
      </c>
      <c r="B7" s="549" t="s">
        <v>297</v>
      </c>
      <c r="C7" s="548"/>
      <c r="D7" s="548"/>
      <c r="E7" s="548"/>
      <c r="F7" s="547"/>
      <c r="G7" s="546" t="s">
        <v>296</v>
      </c>
    </row>
    <row r="8" spans="1:9" ht="20.25" thickBot="1" x14ac:dyDescent="0.3">
      <c r="A8" s="545"/>
      <c r="B8" s="544" t="s">
        <v>295</v>
      </c>
      <c r="C8" s="544" t="s">
        <v>294</v>
      </c>
      <c r="D8" s="544" t="s">
        <v>293</v>
      </c>
      <c r="E8" s="544" t="s">
        <v>29</v>
      </c>
      <c r="F8" s="544" t="s">
        <v>335</v>
      </c>
      <c r="G8" s="543"/>
    </row>
    <row r="9" spans="1:9" ht="19.5" x14ac:dyDescent="0.25">
      <c r="A9" s="533" t="s">
        <v>713</v>
      </c>
      <c r="B9" s="532">
        <f>B10+B11+B12+B13+B14+B15+B16+B19</f>
        <v>205993811.70999998</v>
      </c>
      <c r="C9" s="532">
        <f>C10+C11+C12+C13+C14+C15+C16+C19</f>
        <v>11605204.49</v>
      </c>
      <c r="D9" s="532">
        <f>D10+D11+D12+D13+D14+D15+D16+D19</f>
        <v>217599016.19999999</v>
      </c>
      <c r="E9" s="532">
        <f>E10+E11+E12+E13+E14+E15+E16+E19</f>
        <v>209735800.21999997</v>
      </c>
      <c r="F9" s="532">
        <f>F10+F11+F12+F13+F14+F15+F16+F19</f>
        <v>201718401.25999999</v>
      </c>
      <c r="G9" s="532">
        <f>G10+G11+G12+G13+G14+G15+G16+G19</f>
        <v>7863215.9800000191</v>
      </c>
    </row>
    <row r="10" spans="1:9" ht="19.5" x14ac:dyDescent="0.25">
      <c r="A10" s="537" t="s">
        <v>711</v>
      </c>
      <c r="B10" s="542">
        <v>205993811.70999998</v>
      </c>
      <c r="C10" s="541">
        <v>11605204.49</v>
      </c>
      <c r="D10" s="540">
        <f>B10+C10</f>
        <v>217599016.19999999</v>
      </c>
      <c r="E10" s="541">
        <v>209735800.21999997</v>
      </c>
      <c r="F10" s="541">
        <v>201718401.25999999</v>
      </c>
      <c r="G10" s="540">
        <f>D10-E10</f>
        <v>7863215.9800000191</v>
      </c>
    </row>
    <row r="11" spans="1:9" x14ac:dyDescent="0.25">
      <c r="A11" s="537" t="s">
        <v>710</v>
      </c>
      <c r="B11" s="536"/>
      <c r="C11" s="535"/>
      <c r="D11" s="534">
        <f>B11+C11</f>
        <v>0</v>
      </c>
      <c r="E11" s="535"/>
      <c r="F11" s="535"/>
      <c r="G11" s="534">
        <f>D11-E11</f>
        <v>0</v>
      </c>
    </row>
    <row r="12" spans="1:9" x14ac:dyDescent="0.25">
      <c r="A12" s="537" t="s">
        <v>709</v>
      </c>
      <c r="B12" s="536"/>
      <c r="C12" s="535"/>
      <c r="D12" s="534">
        <f>B12+C12</f>
        <v>0</v>
      </c>
      <c r="E12" s="535"/>
      <c r="F12" s="535"/>
      <c r="G12" s="534">
        <f>D12-E12</f>
        <v>0</v>
      </c>
    </row>
    <row r="13" spans="1:9" x14ac:dyDescent="0.25">
      <c r="A13" s="537" t="s">
        <v>708</v>
      </c>
      <c r="B13" s="536"/>
      <c r="C13" s="535"/>
      <c r="D13" s="534">
        <f>B13+C13</f>
        <v>0</v>
      </c>
      <c r="E13" s="535"/>
      <c r="F13" s="535"/>
      <c r="G13" s="534">
        <f>D13-E13</f>
        <v>0</v>
      </c>
    </row>
    <row r="14" spans="1:9" ht="19.5" x14ac:dyDescent="0.25">
      <c r="A14" s="537" t="s">
        <v>707</v>
      </c>
      <c r="B14" s="536"/>
      <c r="C14" s="535"/>
      <c r="D14" s="534">
        <f>B14+C14</f>
        <v>0</v>
      </c>
      <c r="E14" s="535"/>
      <c r="F14" s="535"/>
      <c r="G14" s="534">
        <f>D14-E14</f>
        <v>0</v>
      </c>
    </row>
    <row r="15" spans="1:9" x14ac:dyDescent="0.25">
      <c r="A15" s="537" t="s">
        <v>706</v>
      </c>
      <c r="B15" s="536"/>
      <c r="C15" s="535"/>
      <c r="D15" s="534">
        <f>B15+C15</f>
        <v>0</v>
      </c>
      <c r="E15" s="535"/>
      <c r="F15" s="535"/>
      <c r="G15" s="534">
        <f>D15-E15</f>
        <v>0</v>
      </c>
    </row>
    <row r="16" spans="1:9" ht="39" x14ac:dyDescent="0.25">
      <c r="A16" s="537" t="s">
        <v>705</v>
      </c>
      <c r="B16" s="539">
        <f>B17+B18</f>
        <v>0</v>
      </c>
      <c r="C16" s="539">
        <f>C17+C18</f>
        <v>0</v>
      </c>
      <c r="D16" s="539">
        <f>D17+D18</f>
        <v>0</v>
      </c>
      <c r="E16" s="539">
        <f>E17+E18</f>
        <v>0</v>
      </c>
      <c r="F16" s="539">
        <f>F17+F18</f>
        <v>0</v>
      </c>
      <c r="G16" s="539">
        <f>G17+G18</f>
        <v>0</v>
      </c>
    </row>
    <row r="17" spans="1:7" x14ac:dyDescent="0.25">
      <c r="A17" s="538" t="s">
        <v>704</v>
      </c>
      <c r="B17" s="536"/>
      <c r="C17" s="535"/>
      <c r="D17" s="534">
        <f>B17+C17</f>
        <v>0</v>
      </c>
      <c r="E17" s="535"/>
      <c r="F17" s="535"/>
      <c r="G17" s="534">
        <f>D17-E17</f>
        <v>0</v>
      </c>
    </row>
    <row r="18" spans="1:7" x14ac:dyDescent="0.25">
      <c r="A18" s="538" t="s">
        <v>703</v>
      </c>
      <c r="B18" s="536"/>
      <c r="C18" s="535"/>
      <c r="D18" s="534">
        <f>B18+C18</f>
        <v>0</v>
      </c>
      <c r="E18" s="535"/>
      <c r="F18" s="535"/>
      <c r="G18" s="534">
        <f>D18-E18</f>
        <v>0</v>
      </c>
    </row>
    <row r="19" spans="1:7" x14ac:dyDescent="0.25">
      <c r="A19" s="537" t="s">
        <v>702</v>
      </c>
      <c r="B19" s="536"/>
      <c r="C19" s="535"/>
      <c r="D19" s="534">
        <f>B19+C19</f>
        <v>0</v>
      </c>
      <c r="E19" s="535"/>
      <c r="F19" s="535"/>
      <c r="G19" s="534">
        <f>D19-E19</f>
        <v>0</v>
      </c>
    </row>
    <row r="20" spans="1:7" x14ac:dyDescent="0.25">
      <c r="A20" s="537"/>
      <c r="B20" s="539"/>
      <c r="C20" s="534"/>
      <c r="D20" s="534"/>
      <c r="E20" s="534"/>
      <c r="F20" s="534"/>
      <c r="G20" s="534"/>
    </row>
    <row r="21" spans="1:7" ht="19.5" x14ac:dyDescent="0.25">
      <c r="A21" s="533" t="s">
        <v>712</v>
      </c>
      <c r="B21" s="539">
        <f>B22+B23+B24+B25+B26+B27+B28+B31</f>
        <v>0</v>
      </c>
      <c r="C21" s="539">
        <f>C22+C23+C24+C25+C26+C27+C28+C31</f>
        <v>0</v>
      </c>
      <c r="D21" s="539">
        <f>D22+D23+D24+D25+D26+D27+D28+D31</f>
        <v>0</v>
      </c>
      <c r="E21" s="539">
        <f>E22+E23+E24+E25+E26+E27+E28+E31</f>
        <v>0</v>
      </c>
      <c r="F21" s="539">
        <f>F22+F23+F24+F25+F26+F27+F28+F31</f>
        <v>0</v>
      </c>
      <c r="G21" s="539">
        <f>G22+G23+G24+G25+G26+G27+G28+G31</f>
        <v>0</v>
      </c>
    </row>
    <row r="22" spans="1:7" ht="19.5" x14ac:dyDescent="0.25">
      <c r="A22" s="537" t="s">
        <v>711</v>
      </c>
      <c r="B22" s="536"/>
      <c r="C22" s="535"/>
      <c r="D22" s="534">
        <f>B22+C22</f>
        <v>0</v>
      </c>
      <c r="E22" s="535"/>
      <c r="F22" s="535"/>
      <c r="G22" s="534">
        <f>D22-E22</f>
        <v>0</v>
      </c>
    </row>
    <row r="23" spans="1:7" x14ac:dyDescent="0.25">
      <c r="A23" s="537" t="s">
        <v>710</v>
      </c>
      <c r="B23" s="536"/>
      <c r="C23" s="535"/>
      <c r="D23" s="534">
        <f>B23+C23</f>
        <v>0</v>
      </c>
      <c r="E23" s="535"/>
      <c r="F23" s="535"/>
      <c r="G23" s="534">
        <f>D23-E23</f>
        <v>0</v>
      </c>
    </row>
    <row r="24" spans="1:7" x14ac:dyDescent="0.25">
      <c r="A24" s="537" t="s">
        <v>709</v>
      </c>
      <c r="B24" s="536"/>
      <c r="C24" s="535"/>
      <c r="D24" s="534">
        <f>B24+C24</f>
        <v>0</v>
      </c>
      <c r="E24" s="535"/>
      <c r="F24" s="535"/>
      <c r="G24" s="534">
        <f>D24-E24</f>
        <v>0</v>
      </c>
    </row>
    <row r="25" spans="1:7" x14ac:dyDescent="0.25">
      <c r="A25" s="537" t="s">
        <v>708</v>
      </c>
      <c r="B25" s="536"/>
      <c r="C25" s="535"/>
      <c r="D25" s="534">
        <f>B25+C25</f>
        <v>0</v>
      </c>
      <c r="E25" s="535"/>
      <c r="F25" s="535"/>
      <c r="G25" s="534">
        <f>D25-E25</f>
        <v>0</v>
      </c>
    </row>
    <row r="26" spans="1:7" ht="19.5" x14ac:dyDescent="0.25">
      <c r="A26" s="537" t="s">
        <v>707</v>
      </c>
      <c r="B26" s="536"/>
      <c r="C26" s="535"/>
      <c r="D26" s="534">
        <f>B26+C26</f>
        <v>0</v>
      </c>
      <c r="E26" s="535"/>
      <c r="F26" s="535"/>
      <c r="G26" s="534">
        <f>D26-E26</f>
        <v>0</v>
      </c>
    </row>
    <row r="27" spans="1:7" x14ac:dyDescent="0.25">
      <c r="A27" s="537" t="s">
        <v>706</v>
      </c>
      <c r="B27" s="536"/>
      <c r="C27" s="535"/>
      <c r="D27" s="534">
        <f>B27+C27</f>
        <v>0</v>
      </c>
      <c r="E27" s="535"/>
      <c r="F27" s="535"/>
      <c r="G27" s="534">
        <f>D27-E27</f>
        <v>0</v>
      </c>
    </row>
    <row r="28" spans="1:7" ht="39" x14ac:dyDescent="0.25">
      <c r="A28" s="537" t="s">
        <v>705</v>
      </c>
      <c r="B28" s="539">
        <f>B29+B30</f>
        <v>0</v>
      </c>
      <c r="C28" s="539">
        <f>C29+C30</f>
        <v>0</v>
      </c>
      <c r="D28" s="539">
        <f>D29+D30</f>
        <v>0</v>
      </c>
      <c r="E28" s="539">
        <f>E29+E30</f>
        <v>0</v>
      </c>
      <c r="F28" s="539">
        <f>F29+F30</f>
        <v>0</v>
      </c>
      <c r="G28" s="539">
        <f>G29+G30</f>
        <v>0</v>
      </c>
    </row>
    <row r="29" spans="1:7" x14ac:dyDescent="0.25">
      <c r="A29" s="538" t="s">
        <v>704</v>
      </c>
      <c r="B29" s="536"/>
      <c r="C29" s="535"/>
      <c r="D29" s="534">
        <f>B29+C29</f>
        <v>0</v>
      </c>
      <c r="E29" s="535"/>
      <c r="F29" s="535"/>
      <c r="G29" s="534">
        <f>D29-E29</f>
        <v>0</v>
      </c>
    </row>
    <row r="30" spans="1:7" x14ac:dyDescent="0.25">
      <c r="A30" s="538" t="s">
        <v>703</v>
      </c>
      <c r="B30" s="536"/>
      <c r="C30" s="535"/>
      <c r="D30" s="534">
        <f>B30+C30</f>
        <v>0</v>
      </c>
      <c r="E30" s="535"/>
      <c r="F30" s="535"/>
      <c r="G30" s="534">
        <f>D30-E30</f>
        <v>0</v>
      </c>
    </row>
    <row r="31" spans="1:7" x14ac:dyDescent="0.25">
      <c r="A31" s="537" t="s">
        <v>702</v>
      </c>
      <c r="B31" s="536"/>
      <c r="C31" s="535"/>
      <c r="D31" s="534">
        <f>B31+C31</f>
        <v>0</v>
      </c>
      <c r="E31" s="535"/>
      <c r="F31" s="535"/>
      <c r="G31" s="534">
        <f>D31-E31</f>
        <v>0</v>
      </c>
    </row>
    <row r="32" spans="1:7" ht="29.25" x14ac:dyDescent="0.25">
      <c r="A32" s="533" t="s">
        <v>701</v>
      </c>
      <c r="B32" s="532">
        <f>B9+B21</f>
        <v>205993811.70999998</v>
      </c>
      <c r="C32" s="532">
        <f>C9+C21</f>
        <v>11605204.49</v>
      </c>
      <c r="D32" s="532">
        <f>D9+D21</f>
        <v>217599016.19999999</v>
      </c>
      <c r="E32" s="532">
        <f>E9+E21</f>
        <v>209735800.21999997</v>
      </c>
      <c r="F32" s="532">
        <f>F9+F21</f>
        <v>201718401.25999999</v>
      </c>
      <c r="G32" s="532">
        <f>G9+G21</f>
        <v>7863215.9800000191</v>
      </c>
    </row>
    <row r="33" spans="1:7" ht="15.75" thickBot="1" x14ac:dyDescent="0.3">
      <c r="A33" s="531"/>
      <c r="B33" s="530"/>
      <c r="C33" s="529"/>
      <c r="D33" s="529"/>
      <c r="E33" s="529"/>
      <c r="F33" s="529"/>
      <c r="G33" s="529"/>
    </row>
  </sheetData>
  <sheetProtection insertHyperlinks="0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1A8A-9C64-4C79-A1E4-25756DD7D182}">
  <sheetPr>
    <pageSetUpPr fitToPage="1"/>
  </sheetPr>
  <dimension ref="A1:D49"/>
  <sheetViews>
    <sheetView view="pageBreakPreview" topLeftCell="A22" zoomScaleNormal="100" zoomScaleSheetLayoutView="100" workbookViewId="0">
      <selection activeCell="J40" sqref="J40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55" customWidth="1"/>
    <col min="4" max="4" width="89.140625" style="1" customWidth="1"/>
    <col min="5" max="16384" width="11.28515625" style="1"/>
  </cols>
  <sheetData>
    <row r="1" spans="1:4" x14ac:dyDescent="0.25">
      <c r="A1" s="107" t="s">
        <v>42</v>
      </c>
      <c r="B1" s="107"/>
      <c r="C1" s="107"/>
      <c r="D1" s="587"/>
    </row>
    <row r="2" spans="1:4" s="104" customFormat="1" ht="15.75" x14ac:dyDescent="0.25">
      <c r="A2" s="107" t="s">
        <v>733</v>
      </c>
      <c r="B2" s="107"/>
      <c r="C2" s="107"/>
    </row>
    <row r="3" spans="1:4" s="104" customFormat="1" ht="15.75" x14ac:dyDescent="0.25">
      <c r="A3" s="106" t="str">
        <f>'[1]ETCA-I-01'!A3:G3</f>
        <v>Comision Estatal del Agua</v>
      </c>
      <c r="B3" s="106"/>
      <c r="C3" s="106"/>
    </row>
    <row r="4" spans="1:4" s="104" customFormat="1" x14ac:dyDescent="0.25">
      <c r="A4" s="105" t="str">
        <f>'[1]ETCA-I-01'!A4:G4</f>
        <v>Al 31 de Diciembre de 2019</v>
      </c>
      <c r="B4" s="105"/>
      <c r="C4" s="105"/>
    </row>
    <row r="5" spans="1:4" s="26" customFormat="1" ht="17.25" thickBot="1" x14ac:dyDescent="0.3">
      <c r="A5" s="586"/>
      <c r="B5" s="585"/>
      <c r="C5" s="584"/>
    </row>
    <row r="6" spans="1:4" s="225" customFormat="1" ht="27" customHeight="1" thickBot="1" x14ac:dyDescent="0.3">
      <c r="A6" s="583" t="s">
        <v>732</v>
      </c>
      <c r="B6" s="582"/>
      <c r="C6" s="183">
        <f>'ETCA II-04'!E81</f>
        <v>693922767.47000003</v>
      </c>
      <c r="D6" s="577" t="str">
        <f>IF((C6-'ETCA II-04'!E81)&gt;0.9,"ERROR!!!!! EL MONTO NO COINCIDE CON LO REPORTADO EN EL FORMATO ETCA-II-04, EN EL TOTAL DE EGRESOS DEVENGADO ANUAL","")</f>
        <v/>
      </c>
    </row>
    <row r="7" spans="1:4" s="225" customFormat="1" ht="9.75" customHeight="1" x14ac:dyDescent="0.25">
      <c r="A7" s="581"/>
      <c r="B7" s="206"/>
      <c r="C7" s="580"/>
      <c r="D7" s="577"/>
    </row>
    <row r="8" spans="1:4" s="225" customFormat="1" ht="17.25" customHeight="1" thickBot="1" x14ac:dyDescent="0.3">
      <c r="A8" s="579"/>
      <c r="B8" s="202"/>
      <c r="C8" s="578"/>
      <c r="D8" s="577"/>
    </row>
    <row r="9" spans="1:4" ht="20.100000000000001" customHeight="1" x14ac:dyDescent="0.25">
      <c r="A9" s="570" t="s">
        <v>731</v>
      </c>
      <c r="B9" s="576"/>
      <c r="C9" s="568">
        <f>SUM(B10:B30)</f>
        <v>246243158.65999997</v>
      </c>
      <c r="D9" s="79"/>
    </row>
    <row r="10" spans="1:4" ht="20.100000000000001" customHeight="1" x14ac:dyDescent="0.25">
      <c r="A10" s="567" t="s">
        <v>730</v>
      </c>
      <c r="B10" s="566"/>
      <c r="C10" s="565"/>
      <c r="D10" s="79"/>
    </row>
    <row r="11" spans="1:4" ht="20.100000000000001" customHeight="1" x14ac:dyDescent="0.25">
      <c r="A11" s="567" t="s">
        <v>729</v>
      </c>
      <c r="B11" s="566"/>
      <c r="C11" s="565"/>
      <c r="D11" s="79"/>
    </row>
    <row r="12" spans="1:4" ht="20.100000000000001" customHeight="1" x14ac:dyDescent="0.25">
      <c r="A12" s="567" t="s">
        <v>165</v>
      </c>
      <c r="B12" s="566">
        <v>1252687.6000000001</v>
      </c>
      <c r="C12" s="565"/>
      <c r="D12" s="79"/>
    </row>
    <row r="13" spans="1:4" x14ac:dyDescent="0.25">
      <c r="A13" s="567" t="s">
        <v>164</v>
      </c>
      <c r="B13" s="566"/>
      <c r="C13" s="565"/>
      <c r="D13" s="79"/>
    </row>
    <row r="14" spans="1:4" ht="20.100000000000001" customHeight="1" x14ac:dyDescent="0.25">
      <c r="A14" s="567" t="s">
        <v>163</v>
      </c>
      <c r="B14" s="566"/>
      <c r="C14" s="565"/>
      <c r="D14" s="79"/>
    </row>
    <row r="15" spans="1:4" ht="20.100000000000001" customHeight="1" x14ac:dyDescent="0.25">
      <c r="A15" s="567" t="s">
        <v>162</v>
      </c>
      <c r="B15" s="566"/>
      <c r="C15" s="565"/>
      <c r="D15" s="79"/>
    </row>
    <row r="16" spans="1:4" ht="20.100000000000001" customHeight="1" x14ac:dyDescent="0.25">
      <c r="A16" s="567" t="s">
        <v>161</v>
      </c>
      <c r="B16" s="566"/>
      <c r="C16" s="565"/>
      <c r="D16" s="79"/>
    </row>
    <row r="17" spans="1:4" ht="20.100000000000001" customHeight="1" x14ac:dyDescent="0.25">
      <c r="A17" s="567" t="s">
        <v>160</v>
      </c>
      <c r="B17" s="566">
        <v>1271821.6299999999</v>
      </c>
      <c r="C17" s="565"/>
      <c r="D17" s="79"/>
    </row>
    <row r="18" spans="1:4" ht="20.100000000000001" customHeight="1" x14ac:dyDescent="0.25">
      <c r="A18" s="567" t="s">
        <v>728</v>
      </c>
      <c r="B18" s="566"/>
      <c r="C18" s="565"/>
      <c r="D18" s="79"/>
    </row>
    <row r="19" spans="1:4" ht="20.100000000000001" customHeight="1" x14ac:dyDescent="0.25">
      <c r="A19" s="567" t="s">
        <v>158</v>
      </c>
      <c r="B19" s="566"/>
      <c r="C19" s="565"/>
      <c r="D19" s="79"/>
    </row>
    <row r="20" spans="1:4" ht="20.100000000000001" customHeight="1" x14ac:dyDescent="0.25">
      <c r="A20" s="567" t="s">
        <v>157</v>
      </c>
      <c r="B20" s="566"/>
      <c r="C20" s="565"/>
      <c r="D20" s="79"/>
    </row>
    <row r="21" spans="1:4" ht="20.100000000000001" customHeight="1" x14ac:dyDescent="0.25">
      <c r="A21" s="567" t="s">
        <v>155</v>
      </c>
      <c r="B21" s="566">
        <v>168433392.44</v>
      </c>
      <c r="C21" s="565"/>
      <c r="D21" s="79"/>
    </row>
    <row r="22" spans="1:4" ht="20.100000000000001" customHeight="1" x14ac:dyDescent="0.25">
      <c r="A22" s="567" t="s">
        <v>154</v>
      </c>
      <c r="B22" s="566"/>
      <c r="C22" s="565"/>
      <c r="D22" s="79"/>
    </row>
    <row r="23" spans="1:4" ht="20.100000000000001" customHeight="1" x14ac:dyDescent="0.25">
      <c r="A23" s="567" t="s">
        <v>150</v>
      </c>
      <c r="B23" s="566"/>
      <c r="C23" s="565"/>
      <c r="D23" s="79"/>
    </row>
    <row r="24" spans="1:4" ht="20.100000000000001" customHeight="1" x14ac:dyDescent="0.25">
      <c r="A24" s="567" t="s">
        <v>149</v>
      </c>
      <c r="B24" s="566"/>
      <c r="C24" s="565"/>
      <c r="D24" s="79"/>
    </row>
    <row r="25" spans="1:4" ht="20.100000000000001" customHeight="1" x14ac:dyDescent="0.25">
      <c r="A25" s="567" t="s">
        <v>148</v>
      </c>
      <c r="B25" s="566"/>
      <c r="C25" s="565"/>
      <c r="D25" s="79"/>
    </row>
    <row r="26" spans="1:4" ht="20.100000000000001" customHeight="1" x14ac:dyDescent="0.25">
      <c r="A26" s="567" t="s">
        <v>147</v>
      </c>
      <c r="B26" s="566"/>
      <c r="C26" s="565"/>
      <c r="D26" s="79"/>
    </row>
    <row r="27" spans="1:4" ht="20.100000000000001" customHeight="1" x14ac:dyDescent="0.25">
      <c r="A27" s="567" t="s">
        <v>145</v>
      </c>
      <c r="B27" s="566"/>
      <c r="C27" s="565"/>
      <c r="D27" s="79"/>
    </row>
    <row r="28" spans="1:4" ht="20.100000000000001" customHeight="1" x14ac:dyDescent="0.25">
      <c r="A28" s="567" t="s">
        <v>727</v>
      </c>
      <c r="B28" s="566">
        <v>16983455.920000002</v>
      </c>
      <c r="C28" s="565"/>
      <c r="D28" s="79"/>
    </row>
    <row r="29" spans="1:4" ht="20.100000000000001" customHeight="1" x14ac:dyDescent="0.25">
      <c r="A29" s="567" t="s">
        <v>726</v>
      </c>
      <c r="B29" s="566">
        <v>36551304.760000005</v>
      </c>
      <c r="C29" s="565"/>
      <c r="D29" s="79"/>
    </row>
    <row r="30" spans="1:4" ht="20.100000000000001" customHeight="1" thickBot="1" x14ac:dyDescent="0.3">
      <c r="A30" s="567" t="s">
        <v>725</v>
      </c>
      <c r="B30" s="575">
        <v>21750496.309999991</v>
      </c>
      <c r="C30" s="562"/>
      <c r="D30" s="79"/>
    </row>
    <row r="31" spans="1:4" ht="7.5" customHeight="1" x14ac:dyDescent="0.25">
      <c r="A31" s="574"/>
      <c r="B31" s="206"/>
      <c r="C31" s="573"/>
      <c r="D31" s="79"/>
    </row>
    <row r="32" spans="1:4" ht="20.100000000000001" customHeight="1" thickBot="1" x14ac:dyDescent="0.3">
      <c r="A32" s="572"/>
      <c r="B32" s="202"/>
      <c r="C32" s="571"/>
      <c r="D32" s="79"/>
    </row>
    <row r="33" spans="1:4" ht="20.100000000000001" customHeight="1" x14ac:dyDescent="0.25">
      <c r="A33" s="570" t="s">
        <v>724</v>
      </c>
      <c r="B33" s="569"/>
      <c r="C33" s="568">
        <f>SUM(B34:B40)</f>
        <v>51266971.080000006</v>
      </c>
      <c r="D33" s="79"/>
    </row>
    <row r="34" spans="1:4" x14ac:dyDescent="0.25">
      <c r="A34" s="567" t="s">
        <v>723</v>
      </c>
      <c r="B34" s="566">
        <v>7252318.9900000002</v>
      </c>
      <c r="C34" s="565"/>
      <c r="D34" s="79"/>
    </row>
    <row r="35" spans="1:4" ht="20.100000000000001" customHeight="1" x14ac:dyDescent="0.25">
      <c r="A35" s="567" t="s">
        <v>722</v>
      </c>
      <c r="B35" s="566"/>
      <c r="C35" s="565"/>
      <c r="D35" s="182"/>
    </row>
    <row r="36" spans="1:4" ht="20.100000000000001" customHeight="1" x14ac:dyDescent="0.25">
      <c r="A36" s="567" t="s">
        <v>721</v>
      </c>
      <c r="B36" s="566"/>
      <c r="C36" s="565"/>
      <c r="D36" s="79"/>
    </row>
    <row r="37" spans="1:4" ht="25.5" customHeight="1" x14ac:dyDescent="0.25">
      <c r="A37" s="567" t="s">
        <v>720</v>
      </c>
      <c r="B37" s="566">
        <v>43257755.530000001</v>
      </c>
      <c r="C37" s="565"/>
      <c r="D37" s="79"/>
    </row>
    <row r="38" spans="1:4" ht="20.100000000000001" customHeight="1" x14ac:dyDescent="0.25">
      <c r="A38" s="567" t="s">
        <v>719</v>
      </c>
      <c r="B38" s="566"/>
      <c r="C38" s="565"/>
      <c r="D38" s="79"/>
    </row>
    <row r="39" spans="1:4" ht="20.100000000000001" customHeight="1" x14ac:dyDescent="0.25">
      <c r="A39" s="567" t="s">
        <v>718</v>
      </c>
      <c r="B39" s="566"/>
      <c r="C39" s="565"/>
      <c r="D39" s="79"/>
    </row>
    <row r="40" spans="1:4" ht="20.100000000000001" customHeight="1" x14ac:dyDescent="0.25">
      <c r="A40" s="567" t="s">
        <v>717</v>
      </c>
      <c r="B40" s="566">
        <v>756896.56</v>
      </c>
      <c r="C40" s="565"/>
      <c r="D40" s="79"/>
    </row>
    <row r="41" spans="1:4" ht="20.100000000000001" customHeight="1" thickBot="1" x14ac:dyDescent="0.3">
      <c r="A41" s="564"/>
      <c r="B41" s="563"/>
      <c r="C41" s="562"/>
      <c r="D41" s="79"/>
    </row>
    <row r="42" spans="1:4" ht="20.100000000000001" customHeight="1" thickBot="1" x14ac:dyDescent="0.3">
      <c r="A42" s="561" t="s">
        <v>716</v>
      </c>
      <c r="B42" s="560"/>
      <c r="C42" s="183">
        <f>C6-C9+C33</f>
        <v>498946579.89000005</v>
      </c>
      <c r="D42" s="79"/>
    </row>
    <row r="43" spans="1:4" ht="20.100000000000001" customHeight="1" x14ac:dyDescent="0.25">
      <c r="A43" s="558"/>
      <c r="B43" s="557"/>
      <c r="C43" s="556"/>
      <c r="D43" s="79"/>
    </row>
    <row r="44" spans="1:4" ht="20.100000000000001" customHeight="1" x14ac:dyDescent="0.25">
      <c r="A44" s="559"/>
      <c r="B44" s="557"/>
      <c r="C44" s="556"/>
      <c r="D44" s="79"/>
    </row>
    <row r="45" spans="1:4" ht="20.100000000000001" customHeight="1" x14ac:dyDescent="0.25">
      <c r="A45" s="559"/>
      <c r="B45" s="557"/>
      <c r="C45" s="556"/>
      <c r="D45" s="79"/>
    </row>
    <row r="46" spans="1:4" ht="20.100000000000001" customHeight="1" x14ac:dyDescent="0.25">
      <c r="A46" s="559"/>
      <c r="B46" s="557"/>
      <c r="C46" s="556"/>
      <c r="D46" s="79"/>
    </row>
    <row r="47" spans="1:4" ht="20.100000000000001" customHeight="1" x14ac:dyDescent="0.25">
      <c r="A47" s="559"/>
      <c r="B47" s="557"/>
      <c r="C47" s="556"/>
      <c r="D47" s="79"/>
    </row>
    <row r="48" spans="1:4" ht="26.25" customHeight="1" x14ac:dyDescent="0.25">
      <c r="A48" s="558"/>
      <c r="B48" s="557"/>
      <c r="C48" s="556"/>
      <c r="D48" s="79"/>
    </row>
    <row r="49" spans="4:4" x14ac:dyDescent="0.25">
      <c r="D49" s="79"/>
    </row>
  </sheetData>
  <sheetProtection formatColumns="0" formatRows="0" insertHyperlink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74803149606299213" header="0.31496062992125984" footer="0.31496062992125984"/>
  <pageSetup scale="78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DFD8-A5DB-4D47-88A5-8344E3717515}">
  <dimension ref="A1:J38"/>
  <sheetViews>
    <sheetView view="pageBreakPreview" zoomScaleNormal="100" zoomScaleSheetLayoutView="100" workbookViewId="0">
      <selection activeCell="J40" sqref="J40"/>
    </sheetView>
  </sheetViews>
  <sheetFormatPr baseColWidth="10" defaultColWidth="11.28515625" defaultRowHeight="16.5" x14ac:dyDescent="0.3"/>
  <cols>
    <col min="1" max="1" width="4.28515625" style="588" customWidth="1"/>
    <col min="2" max="2" width="41.7109375" style="588" customWidth="1"/>
    <col min="3" max="5" width="16.7109375" style="588" customWidth="1"/>
    <col min="6" max="16384" width="11.28515625" style="588"/>
  </cols>
  <sheetData>
    <row r="1" spans="1:7" x14ac:dyDescent="0.3">
      <c r="A1" s="178" t="s">
        <v>42</v>
      </c>
      <c r="B1" s="178"/>
      <c r="C1" s="178"/>
      <c r="D1" s="178"/>
      <c r="E1" s="178"/>
    </row>
    <row r="2" spans="1:7" x14ac:dyDescent="0.3">
      <c r="A2" s="624" t="s">
        <v>744</v>
      </c>
      <c r="B2" s="624"/>
      <c r="C2" s="624"/>
      <c r="D2" s="624"/>
      <c r="E2" s="624"/>
    </row>
    <row r="3" spans="1:7" x14ac:dyDescent="0.3">
      <c r="A3" s="626" t="str">
        <f>'[1]ETCA-I-01'!A3:G3</f>
        <v>Comision Estatal del Agua</v>
      </c>
      <c r="B3" s="626"/>
      <c r="C3" s="626"/>
      <c r="D3" s="626"/>
      <c r="E3" s="626"/>
      <c r="G3" s="625"/>
    </row>
    <row r="4" spans="1:7" x14ac:dyDescent="0.3">
      <c r="A4" s="524" t="str">
        <f>'[1]ETCA-I-03'!A4:D4</f>
        <v>Del 01 de Enero al 31 de Diciembre de 2019</v>
      </c>
      <c r="B4" s="524"/>
      <c r="C4" s="524"/>
      <c r="D4" s="524"/>
      <c r="E4" s="524"/>
    </row>
    <row r="5" spans="1:7" ht="17.25" thickBot="1" x14ac:dyDescent="0.35">
      <c r="A5" s="623"/>
      <c r="B5" s="624" t="s">
        <v>748</v>
      </c>
      <c r="C5" s="624"/>
      <c r="D5" s="100"/>
      <c r="E5" s="623"/>
    </row>
    <row r="6" spans="1:7" s="55" customFormat="1" ht="30" customHeight="1" x14ac:dyDescent="0.25">
      <c r="A6" s="622" t="s">
        <v>747</v>
      </c>
      <c r="B6" s="621"/>
      <c r="C6" s="620" t="s">
        <v>746</v>
      </c>
      <c r="D6" s="619" t="s">
        <v>745</v>
      </c>
      <c r="E6" s="618" t="s">
        <v>744</v>
      </c>
    </row>
    <row r="7" spans="1:7" s="55" customFormat="1" ht="30" customHeight="1" thickBot="1" x14ac:dyDescent="0.3">
      <c r="A7" s="617"/>
      <c r="B7" s="616"/>
      <c r="C7" s="615" t="s">
        <v>743</v>
      </c>
      <c r="D7" s="615" t="s">
        <v>742</v>
      </c>
      <c r="E7" s="614" t="s">
        <v>741</v>
      </c>
    </row>
    <row r="8" spans="1:7" s="55" customFormat="1" ht="21" customHeight="1" x14ac:dyDescent="0.25">
      <c r="A8" s="613" t="s">
        <v>740</v>
      </c>
      <c r="B8" s="612"/>
      <c r="C8" s="612"/>
      <c r="D8" s="612"/>
      <c r="E8" s="611"/>
    </row>
    <row r="9" spans="1:7" s="55" customFormat="1" ht="20.25" customHeight="1" x14ac:dyDescent="0.25">
      <c r="A9" s="603">
        <v>1</v>
      </c>
      <c r="B9" s="606" t="s">
        <v>739</v>
      </c>
      <c r="C9" s="605">
        <v>446913961</v>
      </c>
      <c r="D9" s="604">
        <f>115913072.36+4010257+4163392.68+0.01+4322375.99+4487430.24</f>
        <v>132896528.28</v>
      </c>
      <c r="E9" s="599">
        <f>IF(B9="","",C9-D9)</f>
        <v>314017432.72000003</v>
      </c>
    </row>
    <row r="10" spans="1:7" s="55" customFormat="1" ht="20.25" customHeight="1" x14ac:dyDescent="0.25">
      <c r="A10" s="603">
        <v>2</v>
      </c>
      <c r="B10" s="606"/>
      <c r="C10" s="605"/>
      <c r="D10" s="604"/>
      <c r="E10" s="599" t="str">
        <f>IF(B10="","",C10-D10)</f>
        <v/>
      </c>
    </row>
    <row r="11" spans="1:7" s="55" customFormat="1" ht="20.25" customHeight="1" x14ac:dyDescent="0.25">
      <c r="A11" s="603">
        <v>3</v>
      </c>
      <c r="B11" s="606"/>
      <c r="C11" s="605"/>
      <c r="D11" s="604"/>
      <c r="E11" s="599" t="str">
        <f>IF(B11="","",C11-D11)</f>
        <v/>
      </c>
    </row>
    <row r="12" spans="1:7" s="55" customFormat="1" ht="20.25" customHeight="1" x14ac:dyDescent="0.25">
      <c r="A12" s="603">
        <v>4</v>
      </c>
      <c r="B12" s="606"/>
      <c r="C12" s="605"/>
      <c r="D12" s="604"/>
      <c r="E12" s="599" t="str">
        <f>IF(B12="","",C12-D12)</f>
        <v/>
      </c>
    </row>
    <row r="13" spans="1:7" s="55" customFormat="1" ht="20.25" customHeight="1" x14ac:dyDescent="0.25">
      <c r="A13" s="603">
        <v>5</v>
      </c>
      <c r="B13" s="606"/>
      <c r="C13" s="605"/>
      <c r="D13" s="604"/>
      <c r="E13" s="599" t="str">
        <f>IF(B13="","",C13-D13)</f>
        <v/>
      </c>
    </row>
    <row r="14" spans="1:7" s="55" customFormat="1" ht="20.25" customHeight="1" x14ac:dyDescent="0.25">
      <c r="A14" s="603">
        <v>6</v>
      </c>
      <c r="B14" s="606"/>
      <c r="C14" s="605"/>
      <c r="D14" s="604"/>
      <c r="E14" s="599" t="str">
        <f>IF(B14="","",C14-D14)</f>
        <v/>
      </c>
    </row>
    <row r="15" spans="1:7" s="55" customFormat="1" ht="20.25" customHeight="1" x14ac:dyDescent="0.25">
      <c r="A15" s="603">
        <v>7</v>
      </c>
      <c r="B15" s="606"/>
      <c r="C15" s="605"/>
      <c r="D15" s="604"/>
      <c r="E15" s="599" t="str">
        <f>IF(B15="","",C15-D15)</f>
        <v/>
      </c>
    </row>
    <row r="16" spans="1:7" s="55" customFormat="1" ht="20.25" customHeight="1" x14ac:dyDescent="0.25">
      <c r="A16" s="603">
        <v>8</v>
      </c>
      <c r="B16" s="606"/>
      <c r="C16" s="605"/>
      <c r="D16" s="604"/>
      <c r="E16" s="599" t="str">
        <f>IF(B16="","",C16-D16)</f>
        <v/>
      </c>
    </row>
    <row r="17" spans="1:5" s="55" customFormat="1" ht="20.25" customHeight="1" x14ac:dyDescent="0.25">
      <c r="A17" s="603">
        <v>9</v>
      </c>
      <c r="B17" s="606"/>
      <c r="C17" s="605"/>
      <c r="D17" s="604"/>
      <c r="E17" s="599" t="str">
        <f>IF(B17="","",C17-D17)</f>
        <v/>
      </c>
    </row>
    <row r="18" spans="1:5" s="55" customFormat="1" ht="20.25" customHeight="1" x14ac:dyDescent="0.25">
      <c r="A18" s="603">
        <v>10</v>
      </c>
      <c r="B18" s="606"/>
      <c r="C18" s="605"/>
      <c r="D18" s="604"/>
      <c r="E18" s="599" t="str">
        <f>IF(B18="","",C18-D18)</f>
        <v/>
      </c>
    </row>
    <row r="19" spans="1:5" s="55" customFormat="1" ht="20.25" customHeight="1" x14ac:dyDescent="0.25">
      <c r="A19" s="603"/>
      <c r="B19" s="610" t="s">
        <v>738</v>
      </c>
      <c r="C19" s="601">
        <f>SUM(C9:C18)</f>
        <v>446913961</v>
      </c>
      <c r="D19" s="600">
        <f>SUM(D9:D18)</f>
        <v>132896528.28</v>
      </c>
      <c r="E19" s="599">
        <f>SUM(E9:E18)</f>
        <v>314017432.72000003</v>
      </c>
    </row>
    <row r="20" spans="1:5" s="55" customFormat="1" ht="21" customHeight="1" x14ac:dyDescent="0.25">
      <c r="A20" s="609" t="s">
        <v>737</v>
      </c>
      <c r="B20" s="608"/>
      <c r="C20" s="608"/>
      <c r="D20" s="608"/>
      <c r="E20" s="607"/>
    </row>
    <row r="21" spans="1:5" s="55" customFormat="1" ht="20.25" customHeight="1" x14ac:dyDescent="0.25">
      <c r="A21" s="603">
        <v>1</v>
      </c>
      <c r="B21" s="606"/>
      <c r="C21" s="605"/>
      <c r="D21" s="604"/>
      <c r="E21" s="599" t="str">
        <f>IF(B21="","",C21-D21)</f>
        <v/>
      </c>
    </row>
    <row r="22" spans="1:5" s="55" customFormat="1" ht="20.25" customHeight="1" x14ac:dyDescent="0.25">
      <c r="A22" s="603">
        <v>2</v>
      </c>
      <c r="B22" s="606"/>
      <c r="C22" s="605"/>
      <c r="D22" s="604"/>
      <c r="E22" s="599" t="str">
        <f>IF(B22="","",C22-D22)</f>
        <v/>
      </c>
    </row>
    <row r="23" spans="1:5" s="55" customFormat="1" ht="20.25" customHeight="1" x14ac:dyDescent="0.25">
      <c r="A23" s="603">
        <v>3</v>
      </c>
      <c r="B23" s="606"/>
      <c r="C23" s="605"/>
      <c r="D23" s="604"/>
      <c r="E23" s="599" t="str">
        <f>IF(B23="","",C23-D23)</f>
        <v/>
      </c>
    </row>
    <row r="24" spans="1:5" s="55" customFormat="1" ht="20.25" customHeight="1" x14ac:dyDescent="0.25">
      <c r="A24" s="603">
        <v>4</v>
      </c>
      <c r="B24" s="606"/>
      <c r="C24" s="605"/>
      <c r="D24" s="604"/>
      <c r="E24" s="599" t="str">
        <f>IF(B24="","",C24-D24)</f>
        <v/>
      </c>
    </row>
    <row r="25" spans="1:5" s="55" customFormat="1" ht="20.25" customHeight="1" x14ac:dyDescent="0.25">
      <c r="A25" s="603">
        <v>5</v>
      </c>
      <c r="B25" s="606"/>
      <c r="C25" s="605"/>
      <c r="D25" s="604"/>
      <c r="E25" s="599" t="str">
        <f>IF(B25="","",C25-D25)</f>
        <v/>
      </c>
    </row>
    <row r="26" spans="1:5" s="55" customFormat="1" ht="20.25" customHeight="1" x14ac:dyDescent="0.25">
      <c r="A26" s="603">
        <v>6</v>
      </c>
      <c r="B26" s="606"/>
      <c r="C26" s="605"/>
      <c r="D26" s="604"/>
      <c r="E26" s="599" t="str">
        <f>IF(B26="","",C26-D26)</f>
        <v/>
      </c>
    </row>
    <row r="27" spans="1:5" s="55" customFormat="1" ht="20.25" customHeight="1" x14ac:dyDescent="0.25">
      <c r="A27" s="603">
        <v>7</v>
      </c>
      <c r="B27" s="606"/>
      <c r="C27" s="605"/>
      <c r="D27" s="604"/>
      <c r="E27" s="599" t="str">
        <f>IF(B27="","",C27-D27)</f>
        <v/>
      </c>
    </row>
    <row r="28" spans="1:5" s="55" customFormat="1" ht="20.25" customHeight="1" x14ac:dyDescent="0.25">
      <c r="A28" s="603">
        <v>8</v>
      </c>
      <c r="B28" s="606"/>
      <c r="C28" s="605"/>
      <c r="D28" s="604"/>
      <c r="E28" s="599" t="str">
        <f>IF(B28="","",C28-D29)</f>
        <v/>
      </c>
    </row>
    <row r="29" spans="1:5" s="55" customFormat="1" ht="20.25" customHeight="1" x14ac:dyDescent="0.25">
      <c r="A29" s="603">
        <v>9</v>
      </c>
      <c r="B29" s="606"/>
      <c r="C29" s="605"/>
      <c r="D29" s="604"/>
      <c r="E29" s="599" t="str">
        <f>IF(B29="","",C29-#REF!)</f>
        <v/>
      </c>
    </row>
    <row r="30" spans="1:5" s="55" customFormat="1" ht="20.25" customHeight="1" x14ac:dyDescent="0.25">
      <c r="A30" s="603">
        <v>10</v>
      </c>
      <c r="B30" s="606"/>
      <c r="C30" s="605"/>
      <c r="D30" s="604"/>
      <c r="E30" s="599" t="str">
        <f>IF(B30="","",C30-D30)</f>
        <v/>
      </c>
    </row>
    <row r="31" spans="1:5" s="598" customFormat="1" ht="39.950000000000003" customHeight="1" thickBot="1" x14ac:dyDescent="0.35">
      <c r="A31" s="603"/>
      <c r="B31" s="602" t="s">
        <v>736</v>
      </c>
      <c r="C31" s="601">
        <f>SUM(C21:C30)</f>
        <v>0</v>
      </c>
      <c r="D31" s="600">
        <f>SUM(D21:D30)</f>
        <v>0</v>
      </c>
      <c r="E31" s="599">
        <f>SUM(E21:E30)</f>
        <v>0</v>
      </c>
    </row>
    <row r="32" spans="1:5" ht="30" customHeight="1" thickBot="1" x14ac:dyDescent="0.35">
      <c r="A32" s="597"/>
      <c r="B32" s="596" t="s">
        <v>735</v>
      </c>
      <c r="C32" s="595">
        <f>SUM(C19,C31)</f>
        <v>446913961</v>
      </c>
      <c r="D32" s="595">
        <f>SUM(D19,D31)</f>
        <v>132896528.28</v>
      </c>
      <c r="E32" s="594">
        <f>SUM(E19,E31)</f>
        <v>314017432.72000003</v>
      </c>
    </row>
    <row r="33" spans="1:10" ht="17.100000000000001" customHeight="1" x14ac:dyDescent="0.3">
      <c r="A33" s="593" t="s">
        <v>734</v>
      </c>
    </row>
    <row r="34" spans="1:10" ht="17.100000000000001" customHeight="1" x14ac:dyDescent="0.3">
      <c r="A34" s="592"/>
      <c r="B34" s="591"/>
      <c r="C34" s="590"/>
      <c r="D34" s="590"/>
      <c r="E34" s="590"/>
    </row>
    <row r="35" spans="1:10" ht="17.100000000000001" customHeight="1" x14ac:dyDescent="0.3">
      <c r="A35" s="592"/>
      <c r="B35" s="591"/>
      <c r="C35" s="590"/>
      <c r="D35" s="590"/>
      <c r="E35" s="590"/>
    </row>
    <row r="36" spans="1:10" ht="17.100000000000001" customHeight="1" x14ac:dyDescent="0.3">
      <c r="A36" s="592"/>
      <c r="B36" s="591"/>
      <c r="C36" s="590"/>
      <c r="D36" s="590"/>
      <c r="E36" s="590"/>
    </row>
    <row r="37" spans="1:10" ht="17.100000000000001" customHeight="1" x14ac:dyDescent="0.3">
      <c r="A37" s="592"/>
      <c r="B37" s="591"/>
      <c r="C37" s="590"/>
      <c r="D37" s="590"/>
      <c r="E37" s="590"/>
    </row>
    <row r="38" spans="1:10" ht="17.100000000000001" customHeight="1" x14ac:dyDescent="0.3">
      <c r="A38" s="588" t="s">
        <v>46</v>
      </c>
      <c r="J38" s="589"/>
    </row>
  </sheetData>
  <sheetProtection sheet="1" scenarios="1" insertHyperlinks="0"/>
  <mergeCells count="8">
    <mergeCell ref="A1:E1"/>
    <mergeCell ref="A3:E3"/>
    <mergeCell ref="A4:E4"/>
    <mergeCell ref="A20:E20"/>
    <mergeCell ref="A2:E2"/>
    <mergeCell ref="A6:B7"/>
    <mergeCell ref="A8:E8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D548-4E38-4F26-8B62-D46AD42B9F39}">
  <dimension ref="A1:I38"/>
  <sheetViews>
    <sheetView view="pageBreakPreview" zoomScale="90" zoomScaleNormal="100" zoomScaleSheetLayoutView="90" workbookViewId="0">
      <selection activeCell="J40" sqref="J40"/>
    </sheetView>
  </sheetViews>
  <sheetFormatPr baseColWidth="10" defaultColWidth="11.28515625" defaultRowHeight="16.5" x14ac:dyDescent="0.3"/>
  <cols>
    <col min="1" max="1" width="4.85546875" style="588" customWidth="1"/>
    <col min="2" max="2" width="41" style="588" customWidth="1"/>
    <col min="3" max="4" width="25.7109375" style="588" customWidth="1"/>
    <col min="5" max="16384" width="11.28515625" style="588"/>
  </cols>
  <sheetData>
    <row r="1" spans="1:6" x14ac:dyDescent="0.3">
      <c r="A1" s="636"/>
      <c r="B1" s="178" t="s">
        <v>42</v>
      </c>
      <c r="C1" s="178"/>
      <c r="D1" s="178"/>
    </row>
    <row r="2" spans="1:6" x14ac:dyDescent="0.3">
      <c r="B2" s="624" t="s">
        <v>753</v>
      </c>
      <c r="C2" s="624"/>
      <c r="D2" s="624"/>
      <c r="F2" s="625"/>
    </row>
    <row r="3" spans="1:6" x14ac:dyDescent="0.3">
      <c r="B3" s="626" t="str">
        <f>'[1]ETCA-I-01'!A3</f>
        <v>Comision Estatal del Agua</v>
      </c>
      <c r="C3" s="626"/>
      <c r="D3" s="626"/>
    </row>
    <row r="4" spans="1:6" x14ac:dyDescent="0.3">
      <c r="B4" s="524" t="str">
        <f>'[1]ETCA-I-03'!A4</f>
        <v>Del 01 de Enero al 31 de Diciembre de 2019</v>
      </c>
      <c r="C4" s="524"/>
      <c r="D4" s="524"/>
    </row>
    <row r="5" spans="1:6" x14ac:dyDescent="0.3">
      <c r="A5" s="635"/>
      <c r="B5" s="634" t="s">
        <v>752</v>
      </c>
      <c r="C5" s="634"/>
      <c r="D5" s="230"/>
    </row>
    <row r="6" spans="1:6" ht="6.75" customHeight="1" thickBot="1" x14ac:dyDescent="0.35"/>
    <row r="7" spans="1:6" s="55" customFormat="1" ht="27.95" customHeight="1" x14ac:dyDescent="0.25">
      <c r="A7" s="622" t="s">
        <v>747</v>
      </c>
      <c r="B7" s="621"/>
      <c r="C7" s="633" t="s">
        <v>110</v>
      </c>
      <c r="D7" s="632" t="s">
        <v>335</v>
      </c>
    </row>
    <row r="8" spans="1:6" s="55" customFormat="1" ht="4.5" customHeight="1" thickBot="1" x14ac:dyDescent="0.3">
      <c r="A8" s="617"/>
      <c r="B8" s="616"/>
      <c r="C8" s="631"/>
      <c r="D8" s="630"/>
    </row>
    <row r="9" spans="1:6" s="55" customFormat="1" ht="21" customHeight="1" x14ac:dyDescent="0.25">
      <c r="A9" s="613" t="s">
        <v>740</v>
      </c>
      <c r="B9" s="612"/>
      <c r="C9" s="612"/>
      <c r="D9" s="611"/>
    </row>
    <row r="10" spans="1:6" s="55" customFormat="1" ht="18" customHeight="1" x14ac:dyDescent="0.25">
      <c r="A10" s="603">
        <v>1</v>
      </c>
      <c r="B10" s="606" t="s">
        <v>751</v>
      </c>
      <c r="C10" s="629">
        <v>30070597.289999999</v>
      </c>
      <c r="D10" s="628">
        <v>30070597.289999999</v>
      </c>
    </row>
    <row r="11" spans="1:6" s="55" customFormat="1" ht="18" customHeight="1" x14ac:dyDescent="0.25">
      <c r="A11" s="603">
        <v>2</v>
      </c>
      <c r="B11" s="606"/>
      <c r="C11" s="629"/>
      <c r="D11" s="628"/>
    </row>
    <row r="12" spans="1:6" s="55" customFormat="1" ht="18" customHeight="1" x14ac:dyDescent="0.25">
      <c r="A12" s="603">
        <v>3</v>
      </c>
      <c r="B12" s="606"/>
      <c r="C12" s="629"/>
      <c r="D12" s="628"/>
    </row>
    <row r="13" spans="1:6" s="55" customFormat="1" ht="18" customHeight="1" x14ac:dyDescent="0.25">
      <c r="A13" s="603">
        <v>4</v>
      </c>
      <c r="B13" s="606"/>
      <c r="C13" s="629"/>
      <c r="D13" s="628"/>
    </row>
    <row r="14" spans="1:6" s="55" customFormat="1" ht="18" customHeight="1" x14ac:dyDescent="0.25">
      <c r="A14" s="603">
        <v>5</v>
      </c>
      <c r="B14" s="606"/>
      <c r="C14" s="629"/>
      <c r="D14" s="628"/>
    </row>
    <row r="15" spans="1:6" s="55" customFormat="1" ht="18" customHeight="1" x14ac:dyDescent="0.25">
      <c r="A15" s="603">
        <v>6</v>
      </c>
      <c r="B15" s="606"/>
      <c r="C15" s="629"/>
      <c r="D15" s="628"/>
    </row>
    <row r="16" spans="1:6" s="55" customFormat="1" ht="18" customHeight="1" x14ac:dyDescent="0.25">
      <c r="A16" s="603">
        <v>7</v>
      </c>
      <c r="B16" s="606"/>
      <c r="C16" s="629"/>
      <c r="D16" s="628"/>
    </row>
    <row r="17" spans="1:4" s="55" customFormat="1" ht="18" customHeight="1" x14ac:dyDescent="0.25">
      <c r="A17" s="603">
        <v>8</v>
      </c>
      <c r="B17" s="606"/>
      <c r="C17" s="629"/>
      <c r="D17" s="628"/>
    </row>
    <row r="18" spans="1:4" s="55" customFormat="1" ht="18" customHeight="1" x14ac:dyDescent="0.25">
      <c r="A18" s="603">
        <v>9</v>
      </c>
      <c r="B18" s="606"/>
      <c r="C18" s="629"/>
      <c r="D18" s="628"/>
    </row>
    <row r="19" spans="1:4" s="55" customFormat="1" ht="18" customHeight="1" x14ac:dyDescent="0.25">
      <c r="A19" s="603">
        <v>10</v>
      </c>
      <c r="B19" s="606"/>
      <c r="C19" s="629"/>
      <c r="D19" s="628"/>
    </row>
    <row r="20" spans="1:4" s="55" customFormat="1" ht="18" customHeight="1" x14ac:dyDescent="0.25">
      <c r="A20" s="603"/>
      <c r="B20" s="610" t="s">
        <v>750</v>
      </c>
      <c r="C20" s="601">
        <f>SUM(C10:C19)</f>
        <v>30070597.289999999</v>
      </c>
      <c r="D20" s="599">
        <f>SUM(D10:D19)</f>
        <v>30070597.289999999</v>
      </c>
    </row>
    <row r="21" spans="1:4" s="55" customFormat="1" ht="21" customHeight="1" x14ac:dyDescent="0.25">
      <c r="A21" s="609" t="s">
        <v>737</v>
      </c>
      <c r="B21" s="608"/>
      <c r="C21" s="608"/>
      <c r="D21" s="607"/>
    </row>
    <row r="22" spans="1:4" s="55" customFormat="1" ht="18" customHeight="1" x14ac:dyDescent="0.25">
      <c r="A22" s="603">
        <v>1</v>
      </c>
      <c r="B22" s="606"/>
      <c r="C22" s="629"/>
      <c r="D22" s="628"/>
    </row>
    <row r="23" spans="1:4" s="55" customFormat="1" ht="18" customHeight="1" x14ac:dyDescent="0.25">
      <c r="A23" s="603">
        <v>2</v>
      </c>
      <c r="B23" s="606"/>
      <c r="C23" s="629"/>
      <c r="D23" s="628"/>
    </row>
    <row r="24" spans="1:4" s="55" customFormat="1" ht="18" customHeight="1" x14ac:dyDescent="0.25">
      <c r="A24" s="603">
        <v>3</v>
      </c>
      <c r="B24" s="606"/>
      <c r="C24" s="629"/>
      <c r="D24" s="628"/>
    </row>
    <row r="25" spans="1:4" s="55" customFormat="1" ht="18" customHeight="1" x14ac:dyDescent="0.25">
      <c r="A25" s="603">
        <v>4</v>
      </c>
      <c r="B25" s="606"/>
      <c r="C25" s="629"/>
      <c r="D25" s="628"/>
    </row>
    <row r="26" spans="1:4" s="55" customFormat="1" ht="18" customHeight="1" x14ac:dyDescent="0.25">
      <c r="A26" s="603">
        <v>5</v>
      </c>
      <c r="B26" s="606"/>
      <c r="C26" s="629"/>
      <c r="D26" s="628"/>
    </row>
    <row r="27" spans="1:4" s="55" customFormat="1" ht="18" customHeight="1" x14ac:dyDescent="0.25">
      <c r="A27" s="603">
        <v>6</v>
      </c>
      <c r="B27" s="606"/>
      <c r="C27" s="629"/>
      <c r="D27" s="628"/>
    </row>
    <row r="28" spans="1:4" s="55" customFormat="1" ht="18" customHeight="1" x14ac:dyDescent="0.25">
      <c r="A28" s="603">
        <v>7</v>
      </c>
      <c r="B28" s="606"/>
      <c r="C28" s="629"/>
      <c r="D28" s="628"/>
    </row>
    <row r="29" spans="1:4" s="55" customFormat="1" ht="18" customHeight="1" x14ac:dyDescent="0.25">
      <c r="A29" s="603">
        <v>8</v>
      </c>
      <c r="B29" s="606"/>
      <c r="C29" s="629"/>
      <c r="D29" s="628"/>
    </row>
    <row r="30" spans="1:4" s="55" customFormat="1" ht="18" customHeight="1" x14ac:dyDescent="0.25">
      <c r="A30" s="603">
        <v>9</v>
      </c>
      <c r="B30" s="606"/>
      <c r="C30" s="629"/>
      <c r="D30" s="628"/>
    </row>
    <row r="31" spans="1:4" s="55" customFormat="1" ht="18" customHeight="1" x14ac:dyDescent="0.25">
      <c r="A31" s="603">
        <v>10</v>
      </c>
      <c r="B31" s="606"/>
      <c r="C31" s="629" t="s">
        <v>46</v>
      </c>
      <c r="D31" s="628"/>
    </row>
    <row r="32" spans="1:4" s="598" customFormat="1" ht="18" customHeight="1" thickBot="1" x14ac:dyDescent="0.35">
      <c r="A32" s="603"/>
      <c r="B32" s="602" t="s">
        <v>749</v>
      </c>
      <c r="C32" s="601">
        <f>SUM(C22:C31)</f>
        <v>0</v>
      </c>
      <c r="D32" s="599">
        <f>SUM(D22:D31)</f>
        <v>0</v>
      </c>
    </row>
    <row r="33" spans="1:9" ht="27.95" customHeight="1" thickBot="1" x14ac:dyDescent="0.35">
      <c r="A33" s="597"/>
      <c r="B33" s="596" t="s">
        <v>735</v>
      </c>
      <c r="C33" s="595">
        <f>SUM(C32,C20)</f>
        <v>30070597.289999999</v>
      </c>
      <c r="D33" s="627">
        <f>SUM(D32,D20)</f>
        <v>30070597.289999999</v>
      </c>
    </row>
    <row r="34" spans="1:9" s="598" customFormat="1" ht="18" customHeight="1" x14ac:dyDescent="0.3">
      <c r="A34" s="593" t="s">
        <v>734</v>
      </c>
      <c r="B34" s="588"/>
      <c r="C34" s="588"/>
      <c r="D34" s="588"/>
      <c r="E34" s="588"/>
    </row>
    <row r="35" spans="1:9" s="598" customFormat="1" ht="18" customHeight="1" x14ac:dyDescent="0.3">
      <c r="A35" s="588"/>
      <c r="B35" s="588"/>
      <c r="C35" s="588"/>
      <c r="D35" s="588"/>
      <c r="E35" s="588"/>
    </row>
    <row r="36" spans="1:9" s="598" customFormat="1" ht="18" customHeight="1" x14ac:dyDescent="0.3">
      <c r="A36" s="588"/>
      <c r="B36" s="588"/>
      <c r="C36" s="588"/>
      <c r="D36" s="588"/>
      <c r="E36" s="588"/>
    </row>
    <row r="37" spans="1:9" ht="17.100000000000001" customHeight="1" x14ac:dyDescent="0.3">
      <c r="A37" s="592"/>
      <c r="B37" s="591"/>
      <c r="C37" s="590"/>
      <c r="D37" s="590"/>
    </row>
    <row r="38" spans="1:9" ht="17.100000000000001" customHeight="1" x14ac:dyDescent="0.3">
      <c r="I38" s="589"/>
    </row>
  </sheetData>
  <sheetProtection sheet="1" scenarios="1" insertHyperlinks="0"/>
  <mergeCells count="10">
    <mergeCell ref="A7:B8"/>
    <mergeCell ref="A9:D9"/>
    <mergeCell ref="A21:D21"/>
    <mergeCell ref="C7:C8"/>
    <mergeCell ref="D7:D8"/>
    <mergeCell ref="B1:D1"/>
    <mergeCell ref="B2:D2"/>
    <mergeCell ref="B3:D3"/>
    <mergeCell ref="B4:D4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C68C-538E-45F1-9858-585FFB71F288}">
  <dimension ref="A1:J91"/>
  <sheetViews>
    <sheetView view="pageBreakPreview" topLeftCell="A37" zoomScale="130" zoomScaleNormal="120" zoomScaleSheetLayoutView="130" workbookViewId="0">
      <selection activeCell="J40" sqref="J40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  <col min="6" max="6" width="13.7109375" bestFit="1" customWidth="1"/>
  </cols>
  <sheetData>
    <row r="1" spans="1:9" ht="15.75" x14ac:dyDescent="0.25">
      <c r="A1" s="178" t="s">
        <v>42</v>
      </c>
      <c r="B1" s="178"/>
      <c r="C1" s="178"/>
      <c r="D1" s="178"/>
      <c r="E1" s="178"/>
      <c r="F1" s="178"/>
      <c r="G1" s="178"/>
      <c r="H1" s="178"/>
      <c r="I1" s="178"/>
    </row>
    <row r="2" spans="1:9" ht="15.75" customHeight="1" x14ac:dyDescent="0.25">
      <c r="A2" s="177" t="s">
        <v>115</v>
      </c>
      <c r="B2" s="177"/>
      <c r="C2" s="177"/>
      <c r="D2" s="177"/>
      <c r="E2" s="177"/>
      <c r="F2" s="177"/>
      <c r="G2" s="177"/>
      <c r="H2" s="177"/>
      <c r="I2" s="177"/>
    </row>
    <row r="3" spans="1:9" ht="16.5" customHeight="1" x14ac:dyDescent="0.25">
      <c r="A3" s="177" t="str">
        <f>'[1]ETCA-I-01'!A3:G3</f>
        <v>Comision Estatal del Agua</v>
      </c>
      <c r="B3" s="177"/>
      <c r="C3" s="177"/>
      <c r="D3" s="177"/>
      <c r="E3" s="177"/>
      <c r="F3" s="177"/>
      <c r="G3" s="177"/>
      <c r="H3" s="177"/>
      <c r="I3" s="177"/>
    </row>
    <row r="4" spans="1:9" ht="15.75" customHeight="1" x14ac:dyDescent="0.25">
      <c r="A4" s="176" t="str">
        <f>'[1]ETCA-I-10'!A4:K4</f>
        <v>Del 01 de Enero al 31 de Diciembre de 2019</v>
      </c>
      <c r="B4" s="176"/>
      <c r="C4" s="176"/>
      <c r="D4" s="176"/>
      <c r="E4" s="176"/>
      <c r="F4" s="176"/>
      <c r="G4" s="176"/>
      <c r="H4" s="176"/>
      <c r="I4" s="176"/>
    </row>
    <row r="5" spans="1:9" ht="15.75" customHeight="1" thickBot="1" x14ac:dyDescent="0.3">
      <c r="A5" s="175" t="s">
        <v>40</v>
      </c>
      <c r="B5" s="175"/>
      <c r="C5" s="175"/>
      <c r="D5" s="175"/>
      <c r="E5" s="175"/>
      <c r="F5" s="175"/>
      <c r="G5" s="175"/>
      <c r="H5" s="175"/>
      <c r="I5" s="175"/>
    </row>
    <row r="6" spans="1:9" ht="15.75" thickBot="1" x14ac:dyDescent="0.3">
      <c r="A6" s="174"/>
      <c r="B6" s="173"/>
      <c r="C6" s="172"/>
      <c r="D6" s="171" t="s">
        <v>33</v>
      </c>
      <c r="E6" s="170"/>
      <c r="F6" s="170"/>
      <c r="G6" s="170"/>
      <c r="H6" s="169"/>
      <c r="I6" s="164" t="s">
        <v>114</v>
      </c>
    </row>
    <row r="7" spans="1:9" x14ac:dyDescent="0.25">
      <c r="A7" s="168" t="s">
        <v>113</v>
      </c>
      <c r="B7" s="167"/>
      <c r="C7" s="166"/>
      <c r="D7" s="164" t="s">
        <v>112</v>
      </c>
      <c r="E7" s="165" t="s">
        <v>111</v>
      </c>
      <c r="F7" s="164" t="s">
        <v>30</v>
      </c>
      <c r="G7" s="164" t="s">
        <v>110</v>
      </c>
      <c r="H7" s="164" t="s">
        <v>109</v>
      </c>
      <c r="I7" s="163"/>
    </row>
    <row r="8" spans="1:9" ht="15.75" thickBot="1" x14ac:dyDescent="0.3">
      <c r="A8" s="162" t="s">
        <v>108</v>
      </c>
      <c r="B8" s="161"/>
      <c r="C8" s="160"/>
      <c r="D8" s="158"/>
      <c r="E8" s="159"/>
      <c r="F8" s="158"/>
      <c r="G8" s="158"/>
      <c r="H8" s="158"/>
      <c r="I8" s="158"/>
    </row>
    <row r="9" spans="1:9" x14ac:dyDescent="0.25">
      <c r="A9" s="157"/>
      <c r="B9" s="156"/>
      <c r="C9" s="155"/>
      <c r="D9" s="154"/>
      <c r="E9" s="154"/>
      <c r="F9" s="154"/>
      <c r="G9" s="154"/>
      <c r="H9" s="154"/>
      <c r="I9" s="154"/>
    </row>
    <row r="10" spans="1:9" x14ac:dyDescent="0.25">
      <c r="A10" s="124" t="s">
        <v>107</v>
      </c>
      <c r="B10" s="116"/>
      <c r="C10" s="153"/>
      <c r="D10" s="152"/>
      <c r="E10" s="152"/>
      <c r="F10" s="152"/>
      <c r="G10" s="152"/>
      <c r="H10" s="152"/>
      <c r="I10" s="152"/>
    </row>
    <row r="11" spans="1:9" x14ac:dyDescent="0.25">
      <c r="A11" s="117"/>
      <c r="B11" s="123" t="s">
        <v>106</v>
      </c>
      <c r="C11" s="122"/>
      <c r="D11" s="119">
        <v>0</v>
      </c>
      <c r="E11" s="119">
        <v>0</v>
      </c>
      <c r="F11" s="119">
        <f>+D11+E11</f>
        <v>0</v>
      </c>
      <c r="G11" s="119">
        <v>0</v>
      </c>
      <c r="H11" s="119">
        <v>0</v>
      </c>
      <c r="I11" s="118">
        <f>+H11-D11</f>
        <v>0</v>
      </c>
    </row>
    <row r="12" spans="1:9" x14ac:dyDescent="0.25">
      <c r="A12" s="117"/>
      <c r="B12" s="123" t="s">
        <v>105</v>
      </c>
      <c r="C12" s="122"/>
      <c r="D12" s="119">
        <v>0</v>
      </c>
      <c r="E12" s="119">
        <v>0</v>
      </c>
      <c r="F12" s="119">
        <f>+D12+E12</f>
        <v>0</v>
      </c>
      <c r="G12" s="119">
        <v>0</v>
      </c>
      <c r="H12" s="119">
        <v>0</v>
      </c>
      <c r="I12" s="118">
        <f>+H12-D12</f>
        <v>0</v>
      </c>
    </row>
    <row r="13" spans="1:9" x14ac:dyDescent="0.25">
      <c r="A13" s="117"/>
      <c r="B13" s="123" t="s">
        <v>104</v>
      </c>
      <c r="C13" s="122"/>
      <c r="D13" s="119">
        <v>0</v>
      </c>
      <c r="E13" s="119">
        <v>0</v>
      </c>
      <c r="F13" s="119">
        <f>+D13+E13</f>
        <v>0</v>
      </c>
      <c r="G13" s="119">
        <v>0</v>
      </c>
      <c r="H13" s="119">
        <v>0</v>
      </c>
      <c r="I13" s="118">
        <f>+H13-D13</f>
        <v>0</v>
      </c>
    </row>
    <row r="14" spans="1:9" x14ac:dyDescent="0.25">
      <c r="A14" s="117"/>
      <c r="B14" s="123" t="s">
        <v>103</v>
      </c>
      <c r="C14" s="122"/>
      <c r="D14" s="119">
        <v>0</v>
      </c>
      <c r="E14" s="119">
        <v>0</v>
      </c>
      <c r="F14" s="119">
        <f>+D14+E14</f>
        <v>0</v>
      </c>
      <c r="G14" s="119">
        <v>0</v>
      </c>
      <c r="H14" s="119">
        <v>0</v>
      </c>
      <c r="I14" s="118">
        <f>+H14-D14</f>
        <v>0</v>
      </c>
    </row>
    <row r="15" spans="1:9" x14ac:dyDescent="0.25">
      <c r="A15" s="117"/>
      <c r="B15" s="123" t="s">
        <v>102</v>
      </c>
      <c r="C15" s="122"/>
      <c r="D15" s="119">
        <v>0</v>
      </c>
      <c r="E15" s="119">
        <v>0</v>
      </c>
      <c r="F15" s="119">
        <f>+D15+E15</f>
        <v>0</v>
      </c>
      <c r="G15" s="119">
        <v>0</v>
      </c>
      <c r="H15" s="119">
        <v>0</v>
      </c>
      <c r="I15" s="118">
        <f>+H15-D15</f>
        <v>0</v>
      </c>
    </row>
    <row r="16" spans="1:9" x14ac:dyDescent="0.25">
      <c r="A16" s="117"/>
      <c r="B16" s="123" t="s">
        <v>101</v>
      </c>
      <c r="C16" s="122"/>
      <c r="D16" s="119">
        <v>0</v>
      </c>
      <c r="E16" s="119">
        <v>0</v>
      </c>
      <c r="F16" s="119">
        <f>+D16+E16</f>
        <v>0</v>
      </c>
      <c r="G16" s="119">
        <v>0</v>
      </c>
      <c r="H16" s="119"/>
      <c r="I16" s="118">
        <f>+H16-D16</f>
        <v>0</v>
      </c>
    </row>
    <row r="17" spans="1:9" x14ac:dyDescent="0.25">
      <c r="A17" s="117"/>
      <c r="B17" s="123" t="s">
        <v>100</v>
      </c>
      <c r="C17" s="122"/>
      <c r="D17" s="119">
        <v>247188231</v>
      </c>
      <c r="E17" s="119">
        <v>90905607.811000004</v>
      </c>
      <c r="F17" s="151">
        <f>+D17+E17</f>
        <v>338093838.81099999</v>
      </c>
      <c r="G17" s="119">
        <v>280409522.81100005</v>
      </c>
      <c r="H17" s="119">
        <v>280409522.81100005</v>
      </c>
      <c r="I17" s="118">
        <f>+H17-D17</f>
        <v>33221291.811000049</v>
      </c>
    </row>
    <row r="18" spans="1:9" x14ac:dyDescent="0.25">
      <c r="A18" s="150"/>
      <c r="B18" s="123" t="s">
        <v>99</v>
      </c>
      <c r="C18" s="122"/>
      <c r="D18" s="149">
        <f>SUM(D20:D30)</f>
        <v>0</v>
      </c>
      <c r="E18" s="149">
        <f>SUM(E20:E30)</f>
        <v>0</v>
      </c>
      <c r="F18" s="149">
        <f>SUM(F20:F30)</f>
        <v>0</v>
      </c>
      <c r="G18" s="149">
        <f>SUM(G20:G30)</f>
        <v>0</v>
      </c>
      <c r="H18" s="149">
        <f>SUM(H20:H30)</f>
        <v>0</v>
      </c>
      <c r="I18" s="149">
        <f>SUM(I20:I30)</f>
        <v>0</v>
      </c>
    </row>
    <row r="19" spans="1:9" x14ac:dyDescent="0.25">
      <c r="A19" s="150"/>
      <c r="B19" s="123" t="s">
        <v>98</v>
      </c>
      <c r="C19" s="122"/>
      <c r="D19" s="149"/>
      <c r="E19" s="149"/>
      <c r="F19" s="149"/>
      <c r="G19" s="149"/>
      <c r="H19" s="149"/>
      <c r="I19" s="149"/>
    </row>
    <row r="20" spans="1:9" x14ac:dyDescent="0.25">
      <c r="A20" s="117"/>
      <c r="B20" s="130"/>
      <c r="C20" s="135" t="s">
        <v>97</v>
      </c>
      <c r="D20" s="119">
        <v>0</v>
      </c>
      <c r="E20" s="119">
        <v>0</v>
      </c>
      <c r="F20" s="119">
        <f>+D20+E20</f>
        <v>0</v>
      </c>
      <c r="G20" s="119">
        <v>0</v>
      </c>
      <c r="H20" s="119">
        <v>0</v>
      </c>
      <c r="I20" s="118">
        <f>+H20-D20</f>
        <v>0</v>
      </c>
    </row>
    <row r="21" spans="1:9" x14ac:dyDescent="0.25">
      <c r="A21" s="117"/>
      <c r="B21" s="130"/>
      <c r="C21" s="135" t="s">
        <v>96</v>
      </c>
      <c r="D21" s="119">
        <v>0</v>
      </c>
      <c r="E21" s="119">
        <v>0</v>
      </c>
      <c r="F21" s="119">
        <f>+D21+E21</f>
        <v>0</v>
      </c>
      <c r="G21" s="119">
        <v>0</v>
      </c>
      <c r="H21" s="119">
        <v>0</v>
      </c>
      <c r="I21" s="118">
        <f>+H21-D21</f>
        <v>0</v>
      </c>
    </row>
    <row r="22" spans="1:9" x14ac:dyDescent="0.25">
      <c r="A22" s="117"/>
      <c r="B22" s="130"/>
      <c r="C22" s="135" t="s">
        <v>95</v>
      </c>
      <c r="D22" s="119">
        <v>0</v>
      </c>
      <c r="E22" s="119">
        <v>0</v>
      </c>
      <c r="F22" s="119">
        <f>+D22+E22</f>
        <v>0</v>
      </c>
      <c r="G22" s="119">
        <v>0</v>
      </c>
      <c r="H22" s="119">
        <v>0</v>
      </c>
      <c r="I22" s="118">
        <f>+H22-D22</f>
        <v>0</v>
      </c>
    </row>
    <row r="23" spans="1:9" x14ac:dyDescent="0.25">
      <c r="A23" s="117"/>
      <c r="B23" s="130"/>
      <c r="C23" s="135" t="s">
        <v>94</v>
      </c>
      <c r="D23" s="119">
        <v>0</v>
      </c>
      <c r="E23" s="119">
        <v>0</v>
      </c>
      <c r="F23" s="119">
        <f>+D23+E23</f>
        <v>0</v>
      </c>
      <c r="G23" s="119">
        <v>0</v>
      </c>
      <c r="H23" s="119">
        <v>0</v>
      </c>
      <c r="I23" s="118">
        <f>+H23-D23</f>
        <v>0</v>
      </c>
    </row>
    <row r="24" spans="1:9" x14ac:dyDescent="0.25">
      <c r="A24" s="117"/>
      <c r="B24" s="130"/>
      <c r="C24" s="135" t="s">
        <v>93</v>
      </c>
      <c r="D24" s="119">
        <v>0</v>
      </c>
      <c r="E24" s="119">
        <v>0</v>
      </c>
      <c r="F24" s="119">
        <f>+D24+E24</f>
        <v>0</v>
      </c>
      <c r="G24" s="119">
        <v>0</v>
      </c>
      <c r="H24" s="119">
        <v>0</v>
      </c>
      <c r="I24" s="118">
        <f>+H24-D24</f>
        <v>0</v>
      </c>
    </row>
    <row r="25" spans="1:9" x14ac:dyDescent="0.25">
      <c r="A25" s="117"/>
      <c r="B25" s="130"/>
      <c r="C25" s="135" t="s">
        <v>92</v>
      </c>
      <c r="D25" s="119">
        <v>0</v>
      </c>
      <c r="E25" s="119">
        <v>0</v>
      </c>
      <c r="F25" s="119">
        <f>+D25+E25</f>
        <v>0</v>
      </c>
      <c r="G25" s="119">
        <v>0</v>
      </c>
      <c r="H25" s="119">
        <v>0</v>
      </c>
      <c r="I25" s="118">
        <f>+H25-D25</f>
        <v>0</v>
      </c>
    </row>
    <row r="26" spans="1:9" x14ac:dyDescent="0.25">
      <c r="A26" s="117"/>
      <c r="B26" s="130"/>
      <c r="C26" s="135" t="s">
        <v>91</v>
      </c>
      <c r="D26" s="119">
        <v>0</v>
      </c>
      <c r="E26" s="119">
        <v>0</v>
      </c>
      <c r="F26" s="119">
        <f>+D26+E26</f>
        <v>0</v>
      </c>
      <c r="G26" s="119">
        <v>0</v>
      </c>
      <c r="H26" s="119">
        <v>0</v>
      </c>
      <c r="I26" s="118">
        <f>+H26-D26</f>
        <v>0</v>
      </c>
    </row>
    <row r="27" spans="1:9" x14ac:dyDescent="0.25">
      <c r="A27" s="117"/>
      <c r="B27" s="130"/>
      <c r="C27" s="135" t="s">
        <v>90</v>
      </c>
      <c r="D27" s="119">
        <v>0</v>
      </c>
      <c r="E27" s="119">
        <v>0</v>
      </c>
      <c r="F27" s="119">
        <f>+D27+E27</f>
        <v>0</v>
      </c>
      <c r="G27" s="119">
        <v>0</v>
      </c>
      <c r="H27" s="119">
        <v>0</v>
      </c>
      <c r="I27" s="118">
        <f>+H27-D27</f>
        <v>0</v>
      </c>
    </row>
    <row r="28" spans="1:9" x14ac:dyDescent="0.25">
      <c r="A28" s="117"/>
      <c r="B28" s="130"/>
      <c r="C28" s="135" t="s">
        <v>89</v>
      </c>
      <c r="D28" s="119">
        <v>0</v>
      </c>
      <c r="E28" s="119">
        <v>0</v>
      </c>
      <c r="F28" s="119">
        <f>+D28+E28</f>
        <v>0</v>
      </c>
      <c r="G28" s="119">
        <v>0</v>
      </c>
      <c r="H28" s="119">
        <v>0</v>
      </c>
      <c r="I28" s="118">
        <f>+H28-D28</f>
        <v>0</v>
      </c>
    </row>
    <row r="29" spans="1:9" x14ac:dyDescent="0.25">
      <c r="A29" s="117"/>
      <c r="B29" s="130"/>
      <c r="C29" s="135" t="s">
        <v>88</v>
      </c>
      <c r="D29" s="119">
        <v>0</v>
      </c>
      <c r="E29" s="119">
        <v>0</v>
      </c>
      <c r="F29" s="119">
        <f>+D29+E29</f>
        <v>0</v>
      </c>
      <c r="G29" s="119">
        <v>0</v>
      </c>
      <c r="H29" s="119">
        <v>0</v>
      </c>
      <c r="I29" s="118">
        <f>+H29-D29</f>
        <v>0</v>
      </c>
    </row>
    <row r="30" spans="1:9" x14ac:dyDescent="0.25">
      <c r="A30" s="117"/>
      <c r="B30" s="130"/>
      <c r="C30" s="135" t="s">
        <v>87</v>
      </c>
      <c r="D30" s="119">
        <v>0</v>
      </c>
      <c r="E30" s="119">
        <v>0</v>
      </c>
      <c r="F30" s="119">
        <f>+D30+E30</f>
        <v>0</v>
      </c>
      <c r="G30" s="119">
        <v>0</v>
      </c>
      <c r="H30" s="119">
        <v>0</v>
      </c>
      <c r="I30" s="118">
        <f>+H30-D30</f>
        <v>0</v>
      </c>
    </row>
    <row r="31" spans="1:9" x14ac:dyDescent="0.25">
      <c r="A31" s="117"/>
      <c r="B31" s="123" t="s">
        <v>86</v>
      </c>
      <c r="C31" s="122"/>
      <c r="D31" s="118">
        <f>SUM(D32:D36)</f>
        <v>0</v>
      </c>
      <c r="E31" s="118">
        <f>SUM(E32:E36)</f>
        <v>0</v>
      </c>
      <c r="F31" s="118">
        <f>SUM(F32:F36)</f>
        <v>0</v>
      </c>
      <c r="G31" s="118">
        <f>SUM(G32:G36)</f>
        <v>0</v>
      </c>
      <c r="H31" s="118">
        <f>SUM(H32:H36)</f>
        <v>0</v>
      </c>
      <c r="I31" s="118">
        <f>SUM(I32:I36)</f>
        <v>0</v>
      </c>
    </row>
    <row r="32" spans="1:9" x14ac:dyDescent="0.25">
      <c r="A32" s="117"/>
      <c r="B32" s="130"/>
      <c r="C32" s="135" t="s">
        <v>85</v>
      </c>
      <c r="D32" s="119">
        <v>0</v>
      </c>
      <c r="E32" s="119">
        <v>0</v>
      </c>
      <c r="F32" s="119">
        <v>0</v>
      </c>
      <c r="G32" s="119"/>
      <c r="H32" s="119">
        <v>0</v>
      </c>
      <c r="I32" s="118">
        <f>+H32-D32</f>
        <v>0</v>
      </c>
    </row>
    <row r="33" spans="1:9" x14ac:dyDescent="0.25">
      <c r="A33" s="117"/>
      <c r="B33" s="130"/>
      <c r="C33" s="135" t="s">
        <v>84</v>
      </c>
      <c r="D33" s="119">
        <v>0</v>
      </c>
      <c r="E33" s="119">
        <v>0</v>
      </c>
      <c r="F33" s="119">
        <f>+D33+E33</f>
        <v>0</v>
      </c>
      <c r="G33" s="119"/>
      <c r="H33" s="119">
        <v>0</v>
      </c>
      <c r="I33" s="118">
        <f>+H33-D33</f>
        <v>0</v>
      </c>
    </row>
    <row r="34" spans="1:9" ht="15.75" thickBot="1" x14ac:dyDescent="0.3">
      <c r="A34" s="134"/>
      <c r="B34" s="133"/>
      <c r="C34" s="148" t="s">
        <v>83</v>
      </c>
      <c r="D34" s="131">
        <v>0</v>
      </c>
      <c r="E34" s="131">
        <v>0</v>
      </c>
      <c r="F34" s="131">
        <f>+D34+E34</f>
        <v>0</v>
      </c>
      <c r="G34" s="131"/>
      <c r="H34" s="131"/>
      <c r="I34" s="110">
        <f>+H34-D34</f>
        <v>0</v>
      </c>
    </row>
    <row r="35" spans="1:9" x14ac:dyDescent="0.25">
      <c r="A35" s="117"/>
      <c r="B35" s="130"/>
      <c r="C35" s="135" t="s">
        <v>82</v>
      </c>
      <c r="D35" s="119">
        <v>0</v>
      </c>
      <c r="E35" s="119">
        <v>0</v>
      </c>
      <c r="F35" s="119">
        <f>+D35+E35</f>
        <v>0</v>
      </c>
      <c r="G35" s="119"/>
      <c r="H35" s="119"/>
      <c r="I35" s="118">
        <f>+H35-D35</f>
        <v>0</v>
      </c>
    </row>
    <row r="36" spans="1:9" x14ac:dyDescent="0.25">
      <c r="A36" s="117"/>
      <c r="B36" s="130"/>
      <c r="C36" s="135" t="s">
        <v>81</v>
      </c>
      <c r="D36" s="119">
        <v>0</v>
      </c>
      <c r="E36" s="119">
        <v>0</v>
      </c>
      <c r="F36" s="119">
        <f>+D36+E36</f>
        <v>0</v>
      </c>
      <c r="G36" s="119"/>
      <c r="H36" s="119"/>
      <c r="I36" s="118">
        <f>+H36-D36</f>
        <v>0</v>
      </c>
    </row>
    <row r="37" spans="1:9" x14ac:dyDescent="0.25">
      <c r="A37" s="117"/>
      <c r="B37" s="147" t="s">
        <v>80</v>
      </c>
      <c r="C37" s="146"/>
      <c r="D37" s="119">
        <v>265362624.80000001</v>
      </c>
      <c r="E37" s="119">
        <v>91351631.190000027</v>
      </c>
      <c r="F37" s="145">
        <f>+D37+E37</f>
        <v>356714255.99000001</v>
      </c>
      <c r="G37" s="119">
        <v>250899824.47999999</v>
      </c>
      <c r="H37" s="119">
        <v>250899824.47999999</v>
      </c>
      <c r="I37" s="144">
        <f>+H37-D37</f>
        <v>-14462800.320000023</v>
      </c>
    </row>
    <row r="38" spans="1:9" x14ac:dyDescent="0.25">
      <c r="A38" s="117"/>
      <c r="B38" s="123" t="s">
        <v>79</v>
      </c>
      <c r="C38" s="122"/>
      <c r="D38" s="118">
        <f>SUM(D39)</f>
        <v>0</v>
      </c>
      <c r="E38" s="118">
        <f>SUM(E39)</f>
        <v>0</v>
      </c>
      <c r="F38" s="118">
        <f>SUM(F39)</f>
        <v>0</v>
      </c>
      <c r="G38" s="118">
        <f>SUM(G39)</f>
        <v>0</v>
      </c>
      <c r="H38" s="118">
        <f>SUM(H39)</f>
        <v>0</v>
      </c>
      <c r="I38" s="118">
        <f>SUM(I39)</f>
        <v>0</v>
      </c>
    </row>
    <row r="39" spans="1:9" x14ac:dyDescent="0.25">
      <c r="A39" s="117"/>
      <c r="B39" s="130"/>
      <c r="C39" s="135" t="s">
        <v>78</v>
      </c>
      <c r="D39" s="119">
        <v>0</v>
      </c>
      <c r="E39" s="119"/>
      <c r="F39" s="119">
        <f>+D39+E39</f>
        <v>0</v>
      </c>
      <c r="G39" s="119"/>
      <c r="H39" s="119"/>
      <c r="I39" s="118">
        <f>+H39-D39</f>
        <v>0</v>
      </c>
    </row>
    <row r="40" spans="1:9" x14ac:dyDescent="0.25">
      <c r="A40" s="117"/>
      <c r="B40" s="123" t="s">
        <v>77</v>
      </c>
      <c r="C40" s="122"/>
      <c r="D40" s="118">
        <f>SUM(D41:D42)</f>
        <v>0</v>
      </c>
      <c r="E40" s="118">
        <f>SUM(E41:E42)</f>
        <v>0</v>
      </c>
      <c r="F40" s="118">
        <f>SUM(F41:F42)</f>
        <v>0</v>
      </c>
      <c r="G40" s="118">
        <f>SUM(G41:G42)</f>
        <v>0</v>
      </c>
      <c r="H40" s="118">
        <f>SUM(H41:H42)</f>
        <v>0</v>
      </c>
      <c r="I40" s="118">
        <f>SUM(I41:I42)</f>
        <v>0</v>
      </c>
    </row>
    <row r="41" spans="1:9" x14ac:dyDescent="0.25">
      <c r="A41" s="117"/>
      <c r="B41" s="130"/>
      <c r="C41" s="135" t="s">
        <v>76</v>
      </c>
      <c r="D41" s="119">
        <v>0</v>
      </c>
      <c r="E41" s="119">
        <v>0</v>
      </c>
      <c r="F41" s="119">
        <f>+D41+E41</f>
        <v>0</v>
      </c>
      <c r="G41" s="119"/>
      <c r="H41" s="119"/>
      <c r="I41" s="118">
        <f>H41-D41</f>
        <v>0</v>
      </c>
    </row>
    <row r="42" spans="1:9" x14ac:dyDescent="0.25">
      <c r="A42" s="117"/>
      <c r="B42" s="130"/>
      <c r="C42" s="135" t="s">
        <v>75</v>
      </c>
      <c r="D42" s="119">
        <v>0</v>
      </c>
      <c r="E42" s="119">
        <v>0</v>
      </c>
      <c r="F42" s="119">
        <f>+D42+E42</f>
        <v>0</v>
      </c>
      <c r="G42" s="119"/>
      <c r="H42" s="119"/>
      <c r="I42" s="118">
        <f>H42-D42</f>
        <v>0</v>
      </c>
    </row>
    <row r="43" spans="1:9" ht="8.25" customHeight="1" x14ac:dyDescent="0.25">
      <c r="A43" s="117"/>
      <c r="B43" s="130"/>
      <c r="C43" s="135"/>
      <c r="D43" s="118"/>
      <c r="E43" s="118"/>
      <c r="F43" s="118"/>
      <c r="G43" s="118"/>
      <c r="H43" s="118"/>
      <c r="I43" s="118"/>
    </row>
    <row r="44" spans="1:9" ht="15" customHeight="1" x14ac:dyDescent="0.25">
      <c r="A44" s="143" t="s">
        <v>74</v>
      </c>
      <c r="B44" s="142"/>
      <c r="C44" s="141"/>
      <c r="D44" s="137">
        <f>+D11+D12+D13+D14+D15+D16+D17+D18+D31+D37+D38+D40</f>
        <v>512550855.80000001</v>
      </c>
      <c r="E44" s="137">
        <f>+E11+E12+E13+E14+E15+E16+E17+E18+E31+E37+E38+E40</f>
        <v>182257239.00100005</v>
      </c>
      <c r="F44" s="137">
        <f>+F11+F12+F13+F14+F15+F16+F17+F18+F31+F37+F38+F40</f>
        <v>694808094.801</v>
      </c>
      <c r="G44" s="137">
        <f>+G11+G12+G13+G14+G15+G16+G17+G18+G31+G37+G38+G40</f>
        <v>531309347.29100001</v>
      </c>
      <c r="H44" s="137">
        <f>+H11+H12+H13+H14+H15+H16+H17+H18+H31+H37+H38+H40</f>
        <v>531309347.29100001</v>
      </c>
      <c r="I44" s="137">
        <f>+I11+I12+I13+I14+I15+I16+I17+I18+I31+I37+I38+I40</f>
        <v>18758491.491000026</v>
      </c>
    </row>
    <row r="45" spans="1:9" x14ac:dyDescent="0.25">
      <c r="A45" s="143" t="s">
        <v>73</v>
      </c>
      <c r="B45" s="142"/>
      <c r="C45" s="141"/>
      <c r="D45" s="137"/>
      <c r="E45" s="137"/>
      <c r="F45" s="137"/>
      <c r="G45" s="137"/>
      <c r="H45" s="137"/>
      <c r="I45" s="137"/>
    </row>
    <row r="46" spans="1:9" ht="8.25" customHeight="1" x14ac:dyDescent="0.25">
      <c r="A46" s="140"/>
      <c r="B46" s="139"/>
      <c r="C46" s="138"/>
      <c r="D46" s="137"/>
      <c r="E46" s="137"/>
      <c r="F46" s="137"/>
      <c r="G46" s="137"/>
      <c r="H46" s="137"/>
      <c r="I46" s="137"/>
    </row>
    <row r="47" spans="1:9" x14ac:dyDescent="0.25">
      <c r="A47" s="124" t="s">
        <v>72</v>
      </c>
      <c r="B47" s="116"/>
      <c r="C47" s="115"/>
      <c r="D47" s="136"/>
      <c r="E47" s="136"/>
      <c r="F47" s="136"/>
      <c r="G47" s="136"/>
      <c r="H47" s="136"/>
      <c r="I47" s="118">
        <f>IF(($H$44-$D$44)&lt;=0," ",$H$44-$D$44)</f>
        <v>18758491.490999997</v>
      </c>
    </row>
    <row r="48" spans="1:9" ht="11.25" customHeight="1" x14ac:dyDescent="0.25">
      <c r="A48" s="117"/>
      <c r="B48" s="130"/>
      <c r="C48" s="135"/>
      <c r="D48" s="118"/>
      <c r="E48" s="118"/>
      <c r="F48" s="118"/>
      <c r="G48" s="118"/>
      <c r="H48" s="118"/>
      <c r="I48" s="118"/>
    </row>
    <row r="49" spans="1:9" x14ac:dyDescent="0.25">
      <c r="A49" s="124" t="s">
        <v>71</v>
      </c>
      <c r="B49" s="116"/>
      <c r="C49" s="115"/>
      <c r="D49" s="118"/>
      <c r="E49" s="118"/>
      <c r="F49" s="118"/>
      <c r="G49" s="118"/>
      <c r="H49" s="118"/>
      <c r="I49" s="118"/>
    </row>
    <row r="50" spans="1:9" x14ac:dyDescent="0.25">
      <c r="A50" s="117"/>
      <c r="B50" s="123" t="s">
        <v>70</v>
      </c>
      <c r="C50" s="122"/>
      <c r="D50" s="118">
        <f>SUM(D51:D58)</f>
        <v>0</v>
      </c>
      <c r="E50" s="118">
        <f>SUM(E51:E58)</f>
        <v>0</v>
      </c>
      <c r="F50" s="118">
        <f>SUM(F51:F58)</f>
        <v>0</v>
      </c>
      <c r="G50" s="118">
        <f>SUM(G51:G58)</f>
        <v>0</v>
      </c>
      <c r="H50" s="118">
        <f>SUM(H51:H58)</f>
        <v>0</v>
      </c>
      <c r="I50" s="118">
        <f>SUM(I51:I58)</f>
        <v>0</v>
      </c>
    </row>
    <row r="51" spans="1:9" x14ac:dyDescent="0.25">
      <c r="A51" s="117"/>
      <c r="B51" s="130"/>
      <c r="C51" s="135" t="s">
        <v>69</v>
      </c>
      <c r="D51" s="119">
        <v>0</v>
      </c>
      <c r="E51" s="119">
        <v>0</v>
      </c>
      <c r="F51" s="119">
        <f>+D51+E51</f>
        <v>0</v>
      </c>
      <c r="G51" s="119">
        <v>0</v>
      </c>
      <c r="H51" s="119">
        <v>0</v>
      </c>
      <c r="I51" s="118">
        <f>H51-D51</f>
        <v>0</v>
      </c>
    </row>
    <row r="52" spans="1:9" x14ac:dyDescent="0.25">
      <c r="A52" s="117"/>
      <c r="B52" s="130"/>
      <c r="C52" s="135" t="s">
        <v>68</v>
      </c>
      <c r="D52" s="119">
        <v>0</v>
      </c>
      <c r="E52" s="119"/>
      <c r="F52" s="119">
        <f>+D52+E52</f>
        <v>0</v>
      </c>
      <c r="G52" s="119"/>
      <c r="H52" s="119"/>
      <c r="I52" s="118">
        <f>H52-D52</f>
        <v>0</v>
      </c>
    </row>
    <row r="53" spans="1:9" x14ac:dyDescent="0.25">
      <c r="A53" s="117"/>
      <c r="B53" s="130"/>
      <c r="C53" s="135" t="s">
        <v>67</v>
      </c>
      <c r="D53" s="119">
        <v>0</v>
      </c>
      <c r="E53" s="119"/>
      <c r="F53" s="119">
        <f>+D53+E53</f>
        <v>0</v>
      </c>
      <c r="G53" s="119"/>
      <c r="H53" s="119"/>
      <c r="I53" s="118">
        <f>H53-D53</f>
        <v>0</v>
      </c>
    </row>
    <row r="54" spans="1:9" ht="19.5" x14ac:dyDescent="0.25">
      <c r="A54" s="117"/>
      <c r="B54" s="130"/>
      <c r="C54" s="129" t="s">
        <v>66</v>
      </c>
      <c r="D54" s="119">
        <v>0</v>
      </c>
      <c r="E54" s="119"/>
      <c r="F54" s="119">
        <f>+D54+E54</f>
        <v>0</v>
      </c>
      <c r="G54" s="119"/>
      <c r="H54" s="119"/>
      <c r="I54" s="118">
        <f>H54-D54</f>
        <v>0</v>
      </c>
    </row>
    <row r="55" spans="1:9" x14ac:dyDescent="0.25">
      <c r="A55" s="117"/>
      <c r="B55" s="130"/>
      <c r="C55" s="135" t="s">
        <v>65</v>
      </c>
      <c r="D55" s="119">
        <v>0</v>
      </c>
      <c r="E55" s="119">
        <v>0</v>
      </c>
      <c r="F55" s="119">
        <f>+D55+E55</f>
        <v>0</v>
      </c>
      <c r="G55" s="119">
        <v>0</v>
      </c>
      <c r="H55" s="119">
        <v>0</v>
      </c>
      <c r="I55" s="118">
        <f>H55-D55</f>
        <v>0</v>
      </c>
    </row>
    <row r="56" spans="1:9" x14ac:dyDescent="0.25">
      <c r="A56" s="117"/>
      <c r="B56" s="130"/>
      <c r="C56" s="135" t="s">
        <v>64</v>
      </c>
      <c r="D56" s="119">
        <v>0</v>
      </c>
      <c r="E56" s="119"/>
      <c r="F56" s="119">
        <f>+D56+E56</f>
        <v>0</v>
      </c>
      <c r="G56" s="119"/>
      <c r="H56" s="119"/>
      <c r="I56" s="118">
        <f>H56-D56</f>
        <v>0</v>
      </c>
    </row>
    <row r="57" spans="1:9" ht="19.5" x14ac:dyDescent="0.25">
      <c r="A57" s="117"/>
      <c r="B57" s="130"/>
      <c r="C57" s="129" t="s">
        <v>63</v>
      </c>
      <c r="D57" s="119">
        <v>0</v>
      </c>
      <c r="E57" s="119"/>
      <c r="F57" s="119">
        <f>+D57+E57</f>
        <v>0</v>
      </c>
      <c r="G57" s="119"/>
      <c r="H57" s="119"/>
      <c r="I57" s="118">
        <f>H57-D57</f>
        <v>0</v>
      </c>
    </row>
    <row r="58" spans="1:9" ht="19.5" x14ac:dyDescent="0.25">
      <c r="A58" s="117"/>
      <c r="B58" s="130"/>
      <c r="C58" s="129" t="s">
        <v>62</v>
      </c>
      <c r="D58" s="119">
        <v>0</v>
      </c>
      <c r="E58" s="119"/>
      <c r="F58" s="119">
        <f>+D58+E58</f>
        <v>0</v>
      </c>
      <c r="G58" s="119"/>
      <c r="H58" s="119"/>
      <c r="I58" s="118">
        <f>H58-D58</f>
        <v>0</v>
      </c>
    </row>
    <row r="59" spans="1:9" x14ac:dyDescent="0.25">
      <c r="A59" s="117"/>
      <c r="B59" s="123" t="s">
        <v>61</v>
      </c>
      <c r="C59" s="122"/>
      <c r="D59" s="118">
        <f>SUM(D60:D63)</f>
        <v>66300000</v>
      </c>
      <c r="E59" s="118">
        <f>SUM(E60:E63)</f>
        <v>120090399.35999998</v>
      </c>
      <c r="F59" s="118">
        <f>SUM(F60:F63)</f>
        <v>186390399.35999998</v>
      </c>
      <c r="G59" s="118">
        <f>SUM(G60:G63)</f>
        <v>171904524.92999998</v>
      </c>
      <c r="H59" s="118">
        <f>SUM(H60:H63)</f>
        <v>171904524.92999998</v>
      </c>
      <c r="I59" s="118">
        <f>SUM(I60:I63)</f>
        <v>105604524.92999998</v>
      </c>
    </row>
    <row r="60" spans="1:9" x14ac:dyDescent="0.25">
      <c r="A60" s="117"/>
      <c r="B60" s="130"/>
      <c r="C60" s="135" t="s">
        <v>60</v>
      </c>
      <c r="D60" s="119">
        <v>0</v>
      </c>
      <c r="E60" s="119"/>
      <c r="F60" s="119">
        <f>+D60+E60</f>
        <v>0</v>
      </c>
      <c r="G60" s="119"/>
      <c r="H60" s="119"/>
      <c r="I60" s="118">
        <f>H60-D60</f>
        <v>0</v>
      </c>
    </row>
    <row r="61" spans="1:9" x14ac:dyDescent="0.25">
      <c r="A61" s="117"/>
      <c r="B61" s="130"/>
      <c r="C61" s="135" t="s">
        <v>59</v>
      </c>
      <c r="D61" s="119">
        <v>0</v>
      </c>
      <c r="E61" s="119"/>
      <c r="F61" s="119">
        <v>0</v>
      </c>
      <c r="G61" s="119"/>
      <c r="H61" s="119"/>
      <c r="I61" s="118">
        <f>H61-D61</f>
        <v>0</v>
      </c>
    </row>
    <row r="62" spans="1:9" x14ac:dyDescent="0.25">
      <c r="A62" s="117"/>
      <c r="B62" s="130"/>
      <c r="C62" s="135" t="s">
        <v>58</v>
      </c>
      <c r="D62" s="119">
        <v>0</v>
      </c>
      <c r="E62" s="119"/>
      <c r="F62" s="119">
        <v>0</v>
      </c>
      <c r="G62" s="119"/>
      <c r="H62" s="119"/>
      <c r="I62" s="118">
        <f>H62-D62</f>
        <v>0</v>
      </c>
    </row>
    <row r="63" spans="1:9" x14ac:dyDescent="0.25">
      <c r="A63" s="117"/>
      <c r="B63" s="130"/>
      <c r="C63" s="135" t="s">
        <v>57</v>
      </c>
      <c r="D63" s="119">
        <v>66300000</v>
      </c>
      <c r="E63" s="119">
        <v>120090399.35999998</v>
      </c>
      <c r="F63" s="119">
        <f>+D63+E63</f>
        <v>186390399.35999998</v>
      </c>
      <c r="G63" s="119">
        <v>171904524.92999998</v>
      </c>
      <c r="H63" s="119">
        <v>171904524.92999998</v>
      </c>
      <c r="I63" s="118">
        <f>H63-D63</f>
        <v>105604524.92999998</v>
      </c>
    </row>
    <row r="64" spans="1:9" x14ac:dyDescent="0.25">
      <c r="A64" s="117"/>
      <c r="B64" s="123" t="s">
        <v>56</v>
      </c>
      <c r="C64" s="122"/>
      <c r="D64" s="118">
        <f>SUM(D65:D66)</f>
        <v>0</v>
      </c>
      <c r="E64" s="118">
        <f>SUM(E65:E66)</f>
        <v>0</v>
      </c>
      <c r="F64" s="118">
        <f>SUM(F65:F66)</f>
        <v>0</v>
      </c>
      <c r="G64" s="118">
        <f>SUM(G65:G66)</f>
        <v>0</v>
      </c>
      <c r="H64" s="118">
        <f>SUM(H65:H66)</f>
        <v>0</v>
      </c>
      <c r="I64" s="118">
        <f>SUM(I65:I66)</f>
        <v>0</v>
      </c>
    </row>
    <row r="65" spans="1:10" ht="20.25" thickBot="1" x14ac:dyDescent="0.3">
      <c r="A65" s="134"/>
      <c r="B65" s="133"/>
      <c r="C65" s="132" t="s">
        <v>55</v>
      </c>
      <c r="D65" s="131">
        <v>0</v>
      </c>
      <c r="E65" s="131">
        <v>0</v>
      </c>
      <c r="F65" s="131">
        <f>+D65+E65</f>
        <v>0</v>
      </c>
      <c r="G65" s="131">
        <v>0</v>
      </c>
      <c r="H65" s="131">
        <v>0</v>
      </c>
      <c r="I65" s="110">
        <f>H65-D65</f>
        <v>0</v>
      </c>
    </row>
    <row r="66" spans="1:10" x14ac:dyDescent="0.25">
      <c r="A66" s="117"/>
      <c r="B66" s="130"/>
      <c r="C66" s="129" t="s">
        <v>54</v>
      </c>
      <c r="D66" s="119">
        <v>0</v>
      </c>
      <c r="E66" s="119">
        <v>0</v>
      </c>
      <c r="F66" s="128">
        <v>0</v>
      </c>
      <c r="G66" s="119">
        <v>0</v>
      </c>
      <c r="H66" s="119">
        <v>0</v>
      </c>
      <c r="I66" s="118">
        <f>H66-D66</f>
        <v>0</v>
      </c>
    </row>
    <row r="67" spans="1:10" x14ac:dyDescent="0.25">
      <c r="A67" s="117"/>
      <c r="B67" s="123" t="s">
        <v>53</v>
      </c>
      <c r="C67" s="122"/>
      <c r="D67" s="119"/>
      <c r="E67" s="119"/>
      <c r="F67" s="119">
        <f>+D67+E67</f>
        <v>0</v>
      </c>
      <c r="G67" s="119"/>
      <c r="H67" s="119"/>
      <c r="I67" s="118">
        <f>H67-D67</f>
        <v>0</v>
      </c>
    </row>
    <row r="68" spans="1:10" x14ac:dyDescent="0.25">
      <c r="A68" s="117"/>
      <c r="B68" s="123" t="s">
        <v>52</v>
      </c>
      <c r="C68" s="122"/>
      <c r="D68" s="119">
        <v>0</v>
      </c>
      <c r="E68" s="119">
        <v>0</v>
      </c>
      <c r="F68" s="119">
        <f>+D68+E68</f>
        <v>0</v>
      </c>
      <c r="G68" s="119">
        <v>0</v>
      </c>
      <c r="H68" s="119">
        <v>0</v>
      </c>
      <c r="I68" s="118">
        <f>H68-D68</f>
        <v>0</v>
      </c>
    </row>
    <row r="69" spans="1:10" ht="8.25" customHeight="1" x14ac:dyDescent="0.25">
      <c r="A69" s="117"/>
      <c r="B69" s="123"/>
      <c r="C69" s="122"/>
      <c r="D69" s="118"/>
      <c r="E69" s="118"/>
      <c r="F69" s="118" t="s">
        <v>46</v>
      </c>
      <c r="G69" s="118"/>
      <c r="H69" s="118"/>
      <c r="I69" s="118"/>
    </row>
    <row r="70" spans="1:10" x14ac:dyDescent="0.25">
      <c r="A70" s="127" t="s">
        <v>51</v>
      </c>
      <c r="B70" s="126"/>
      <c r="C70" s="125"/>
      <c r="D70" s="114">
        <f>+D50+D59+D64+D67+D68</f>
        <v>66300000</v>
      </c>
      <c r="E70" s="114">
        <f>+E50+E59+E64+E67+E68</f>
        <v>120090399.35999998</v>
      </c>
      <c r="F70" s="114">
        <f>+F50+F59+F64+F67+F68</f>
        <v>186390399.35999998</v>
      </c>
      <c r="G70" s="114">
        <f>+G50+G59+G64+G67+G68</f>
        <v>171904524.92999998</v>
      </c>
      <c r="H70" s="114">
        <f>+H50+H59+H64+H67+H68</f>
        <v>171904524.92999998</v>
      </c>
      <c r="I70" s="114">
        <f>+I50+I59+I64+I67+I68</f>
        <v>105604524.92999998</v>
      </c>
    </row>
    <row r="71" spans="1:10" ht="6" customHeight="1" x14ac:dyDescent="0.25">
      <c r="A71" s="117"/>
      <c r="B71" s="123"/>
      <c r="C71" s="122"/>
      <c r="D71" s="118"/>
      <c r="E71" s="118"/>
      <c r="F71" s="118" t="s">
        <v>46</v>
      </c>
      <c r="G71" s="118"/>
      <c r="H71" s="118"/>
      <c r="I71" s="118"/>
    </row>
    <row r="72" spans="1:10" x14ac:dyDescent="0.25">
      <c r="A72" s="124" t="s">
        <v>50</v>
      </c>
      <c r="B72" s="116"/>
      <c r="C72" s="115"/>
      <c r="D72" s="114">
        <f>SUM(D73)</f>
        <v>0</v>
      </c>
      <c r="E72" s="114">
        <f>SUM(E73)</f>
        <v>0</v>
      </c>
      <c r="F72" s="114">
        <f>SUM(F73)</f>
        <v>0</v>
      </c>
      <c r="G72" s="114">
        <f>SUM(G73)</f>
        <v>0</v>
      </c>
      <c r="H72" s="114">
        <f>SUM(H73)</f>
        <v>0</v>
      </c>
      <c r="I72" s="114">
        <f>SUM(I73)</f>
        <v>0</v>
      </c>
    </row>
    <row r="73" spans="1:10" x14ac:dyDescent="0.25">
      <c r="A73" s="117"/>
      <c r="B73" s="123" t="s">
        <v>49</v>
      </c>
      <c r="C73" s="122"/>
      <c r="D73" s="119">
        <v>0</v>
      </c>
      <c r="E73" s="119"/>
      <c r="F73" s="119" t="s">
        <v>46</v>
      </c>
      <c r="G73" s="119"/>
      <c r="H73" s="119">
        <v>0</v>
      </c>
      <c r="I73" s="118">
        <f>H73-D73</f>
        <v>0</v>
      </c>
    </row>
    <row r="74" spans="1:10" ht="7.5" customHeight="1" x14ac:dyDescent="0.25">
      <c r="A74" s="117"/>
      <c r="B74" s="123"/>
      <c r="C74" s="122"/>
      <c r="D74" s="118"/>
      <c r="E74" s="118"/>
      <c r="F74" s="118" t="s">
        <v>46</v>
      </c>
      <c r="G74" s="118"/>
      <c r="H74" s="118"/>
      <c r="I74" s="118"/>
    </row>
    <row r="75" spans="1:10" x14ac:dyDescent="0.25">
      <c r="A75" s="124" t="s">
        <v>48</v>
      </c>
      <c r="B75" s="116"/>
      <c r="C75" s="115"/>
      <c r="D75" s="114">
        <f>+D44+D70+D72</f>
        <v>578850855.79999995</v>
      </c>
      <c r="E75" s="114">
        <f>+E44+E70+E72</f>
        <v>302347638.36100006</v>
      </c>
      <c r="F75" s="114">
        <f>+F44+F70+F72</f>
        <v>881198494.16100001</v>
      </c>
      <c r="G75" s="114">
        <f>+G44+G70+G72</f>
        <v>703213872.22099996</v>
      </c>
      <c r="H75" s="114">
        <f>+H44+H70+H72</f>
        <v>703213872.22099996</v>
      </c>
      <c r="I75" s="114">
        <f>+I44+I70+I72</f>
        <v>124363016.421</v>
      </c>
    </row>
    <row r="76" spans="1:10" ht="6" customHeight="1" x14ac:dyDescent="0.25">
      <c r="A76" s="117"/>
      <c r="B76" s="123"/>
      <c r="C76" s="122"/>
      <c r="D76" s="118"/>
      <c r="E76" s="118"/>
      <c r="F76" s="118" t="s">
        <v>46</v>
      </c>
      <c r="G76" s="118"/>
      <c r="H76" s="118"/>
      <c r="I76" s="118"/>
    </row>
    <row r="77" spans="1:10" x14ac:dyDescent="0.25">
      <c r="A77" s="117"/>
      <c r="B77" s="116" t="s">
        <v>47</v>
      </c>
      <c r="C77" s="115"/>
      <c r="D77" s="118"/>
      <c r="E77" s="118"/>
      <c r="F77" s="118" t="s">
        <v>46</v>
      </c>
      <c r="G77" s="118"/>
      <c r="H77" s="118"/>
      <c r="I77" s="118"/>
    </row>
    <row r="78" spans="1:10" ht="21.75" customHeight="1" x14ac:dyDescent="0.25">
      <c r="A78" s="117"/>
      <c r="B78" s="121" t="s">
        <v>45</v>
      </c>
      <c r="C78" s="120"/>
      <c r="D78" s="119">
        <v>0</v>
      </c>
      <c r="E78" s="119">
        <v>0</v>
      </c>
      <c r="F78" s="119">
        <f>+D78+E78</f>
        <v>0</v>
      </c>
      <c r="G78" s="119">
        <v>0</v>
      </c>
      <c r="H78" s="119">
        <v>0</v>
      </c>
      <c r="I78" s="118">
        <f>H78-D78</f>
        <v>0</v>
      </c>
    </row>
    <row r="79" spans="1:10" ht="22.5" customHeight="1" x14ac:dyDescent="0.25">
      <c r="A79" s="117"/>
      <c r="B79" s="121" t="s">
        <v>44</v>
      </c>
      <c r="C79" s="120"/>
      <c r="D79" s="119">
        <v>0</v>
      </c>
      <c r="E79" s="119">
        <v>0</v>
      </c>
      <c r="F79" s="119">
        <f>+D79+E79</f>
        <v>0</v>
      </c>
      <c r="G79" s="119">
        <v>0</v>
      </c>
      <c r="H79" s="119">
        <v>0</v>
      </c>
      <c r="I79" s="118">
        <f>H79-D79</f>
        <v>0</v>
      </c>
    </row>
    <row r="80" spans="1:10" x14ac:dyDescent="0.25">
      <c r="A80" s="117"/>
      <c r="B80" s="116" t="s">
        <v>43</v>
      </c>
      <c r="C80" s="115"/>
      <c r="D80" s="114">
        <f>+D78+D79</f>
        <v>0</v>
      </c>
      <c r="E80" s="114">
        <f>+E78+E79</f>
        <v>0</v>
      </c>
      <c r="F80" s="114">
        <f>+F78+F79</f>
        <v>0</v>
      </c>
      <c r="G80" s="114">
        <f>+G78+G79</f>
        <v>0</v>
      </c>
      <c r="H80" s="114">
        <f>+H78+H79</f>
        <v>0</v>
      </c>
      <c r="I80" s="114">
        <f>+I78+I79</f>
        <v>0</v>
      </c>
      <c r="J80" s="108" t="str">
        <f>IF(D75&lt;&gt;'ETCA-II-01'!C20,"ERROR!!!!! EL MONTO ESTIMADO NO COINCIDE CON LO REPORTADO EN EL FORMATO ETCA-II-01 EN EL TOTAL DE INGRESOS","")</f>
        <v/>
      </c>
    </row>
    <row r="81" spans="1:10" ht="15.75" thickBot="1" x14ac:dyDescent="0.3">
      <c r="A81" s="113"/>
      <c r="B81" s="112"/>
      <c r="C81" s="111"/>
      <c r="D81" s="110"/>
      <c r="E81" s="110"/>
      <c r="F81" s="110"/>
      <c r="G81" s="110"/>
      <c r="H81" s="110"/>
      <c r="I81" s="110"/>
      <c r="J81" s="108" t="str">
        <f>IF(E75&lt;&gt;'ETCA-II-01'!D20,"ERROR!!!!! EL MONTO NO COINCIDE CON LO REPORTADO EN EL FORMATO ETCA-II-01 EN EL TOTAL DE INGRESOS","")</f>
        <v/>
      </c>
    </row>
    <row r="82" spans="1:10" x14ac:dyDescent="0.25">
      <c r="J82" s="108" t="str">
        <f>IF(F75&lt;&gt;'ETCA-II-01'!E20,"ERROR!!!!! EL MONTO NO COINCIDE CON LO REPORTADO EN EL FORMATO ETCA-II-01 EN EL TOTAL DE INGRESOS","")</f>
        <v/>
      </c>
    </row>
    <row r="83" spans="1:10" x14ac:dyDescent="0.25">
      <c r="G83" s="109"/>
      <c r="J83" s="108" t="str">
        <f>IF(G75&lt;&gt;'ETCA-II-01'!F20,"ERROR!!!!! EL MONTO NO COINCIDE CON LO REPORTADO EN EL FORMATO ETCA-II-01 EN EL TOTAL DE INGRESOS","")</f>
        <v/>
      </c>
    </row>
    <row r="84" spans="1:10" x14ac:dyDescent="0.25">
      <c r="J84" s="108" t="str">
        <f>IF(H75&lt;&gt;'ETCA-II-01'!G20,"ERROR!!!!! EL MONTO NO COINCIDE CON LO REPORTADO EN EL FORMATO ETCA-II-01 EN EL TOTAL DE INGRESOS","")</f>
        <v/>
      </c>
    </row>
    <row r="85" spans="1:10" x14ac:dyDescent="0.25">
      <c r="J85" s="108" t="str">
        <f>IF(I75&lt;&gt;'ETCA-II-01'!H20,"ERROR!!!!! EL MONTO NO COINCIDE CON LO REPORTADO EN EL FORMATO ETCA-II-01 EN EL TOTAL DE INGRESOS","")</f>
        <v/>
      </c>
    </row>
    <row r="86" spans="1:10" x14ac:dyDescent="0.25">
      <c r="J86" s="108" t="str">
        <f>IF(D75&lt;&gt;'ETCA-II-01'!C45,"ERROR!!!!! EL MONTO NO COINCIDE CON LO REPORTADO EN EL FORMATO ETCA-II-01 EN EL TOTAL DE INGRESOS","")</f>
        <v/>
      </c>
    </row>
    <row r="87" spans="1:10" x14ac:dyDescent="0.25">
      <c r="J87" s="108" t="str">
        <f>IF(E75&lt;&gt;'ETCA-II-01'!D45,"ERROR!!!!! EL MONTO NO COINCIDE CON LO REPORTADO EN EL FORMATO ETCA-II-01 EN EL TOTAL DE INGRESOS","")</f>
        <v/>
      </c>
    </row>
    <row r="88" spans="1:10" x14ac:dyDescent="0.25">
      <c r="J88" s="108" t="str">
        <f>IF(F75&lt;&gt;'ETCA-II-01'!E45,"ERROR!!!!! EL MONTO NO COINCIDE CON LO REPORTADO EN EL FORMATO ETCA-II-01 EN EL TOTAL DE INGRESOS","")</f>
        <v/>
      </c>
    </row>
    <row r="89" spans="1:10" x14ac:dyDescent="0.25">
      <c r="J89" s="108" t="str">
        <f>IF(G75&lt;&gt;'ETCA-II-01'!F45,"ERROR!!!!! EL MONTO NO COINCIDE CON LO REPORTADO EN EL FORMATO ETCA-II-01 EN EL TOTAL DE INGRESOS","")</f>
        <v/>
      </c>
    </row>
    <row r="90" spans="1:10" x14ac:dyDescent="0.25">
      <c r="J90" s="108" t="str">
        <f>IF(H75&lt;&gt;'ETCA-II-01'!G45,"ERROR!!!!! EL MONTO NO COINCIDE CON LO REPORTADO EN EL FORMATO ETCA-II-01 EN EL TOTAL DE INGRESOS","")</f>
        <v/>
      </c>
    </row>
    <row r="91" spans="1:10" x14ac:dyDescent="0.25">
      <c r="J91" s="108" t="str">
        <f>IF(I75&lt;&gt;'ETCA-II-01'!H45,"ERROR!!!!! EL MONTO NO COINCIDE CON LO REPORTADO EN EL FORMATO ETCA-II-01 EN EL TOTAL DE INGRESOS","")</f>
        <v/>
      </c>
    </row>
  </sheetData>
  <sheetProtection formatColumns="0" formatRows="0" insertHyperlinks="0"/>
  <mergeCells count="63">
    <mergeCell ref="G7:G8"/>
    <mergeCell ref="H7:H8"/>
    <mergeCell ref="A5:I5"/>
    <mergeCell ref="A4:I4"/>
    <mergeCell ref="A2:I2"/>
    <mergeCell ref="A1:I1"/>
    <mergeCell ref="A3:I3"/>
    <mergeCell ref="B13:C13"/>
    <mergeCell ref="B14:C14"/>
    <mergeCell ref="A6:C6"/>
    <mergeCell ref="D6:H6"/>
    <mergeCell ref="I6:I8"/>
    <mergeCell ref="A7:C7"/>
    <mergeCell ref="A8:C8"/>
    <mergeCell ref="D7:D8"/>
    <mergeCell ref="E7:E8"/>
    <mergeCell ref="F7:F8"/>
    <mergeCell ref="A9:C9"/>
    <mergeCell ref="B17:C17"/>
    <mergeCell ref="A18:A19"/>
    <mergeCell ref="B18:C18"/>
    <mergeCell ref="B19:C19"/>
    <mergeCell ref="B16:C16"/>
    <mergeCell ref="B15:C15"/>
    <mergeCell ref="A10:C10"/>
    <mergeCell ref="B11:C11"/>
    <mergeCell ref="B12:C12"/>
    <mergeCell ref="D18:D19"/>
    <mergeCell ref="E18:E19"/>
    <mergeCell ref="G44:G46"/>
    <mergeCell ref="H44:H46"/>
    <mergeCell ref="I44:I46"/>
    <mergeCell ref="B31:C31"/>
    <mergeCell ref="B37:C37"/>
    <mergeCell ref="F18:F19"/>
    <mergeCell ref="E44:E46"/>
    <mergeCell ref="F44:F46"/>
    <mergeCell ref="G18:G19"/>
    <mergeCell ref="H18:H19"/>
    <mergeCell ref="I18:I19"/>
    <mergeCell ref="A72:C72"/>
    <mergeCell ref="B73:C73"/>
    <mergeCell ref="A47:C47"/>
    <mergeCell ref="B38:C38"/>
    <mergeCell ref="B40:C40"/>
    <mergeCell ref="D44:D46"/>
    <mergeCell ref="B74:C74"/>
    <mergeCell ref="A49:C49"/>
    <mergeCell ref="B50:C50"/>
    <mergeCell ref="B59:C59"/>
    <mergeCell ref="B64:C64"/>
    <mergeCell ref="B67:C67"/>
    <mergeCell ref="B68:C68"/>
    <mergeCell ref="B69:C69"/>
    <mergeCell ref="A70:C70"/>
    <mergeCell ref="B71:C71"/>
    <mergeCell ref="B81:C81"/>
    <mergeCell ref="A75:C75"/>
    <mergeCell ref="B76:C76"/>
    <mergeCell ref="B77:C77"/>
    <mergeCell ref="B78:C78"/>
    <mergeCell ref="B79:C79"/>
    <mergeCell ref="B80:C80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7778-FA3F-48FC-8980-3223C6CA26DA}">
  <sheetPr>
    <pageSetUpPr fitToPage="1"/>
  </sheetPr>
  <dimension ref="A1:E27"/>
  <sheetViews>
    <sheetView view="pageBreakPreview" topLeftCell="A22" zoomScale="120" zoomScaleNormal="100" zoomScaleSheetLayoutView="120" workbookViewId="0">
      <selection activeCell="J40" sqref="J40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9" customWidth="1"/>
    <col min="6" max="16384" width="11.28515625" style="1"/>
  </cols>
  <sheetData>
    <row r="1" spans="1:5" x14ac:dyDescent="0.25">
      <c r="A1" s="107" t="s">
        <v>42</v>
      </c>
      <c r="B1" s="107"/>
      <c r="C1" s="107"/>
      <c r="D1" s="107"/>
    </row>
    <row r="2" spans="1:5" s="104" customFormat="1" ht="15.75" x14ac:dyDescent="0.25">
      <c r="A2" s="107" t="s">
        <v>131</v>
      </c>
      <c r="B2" s="107"/>
      <c r="C2" s="107"/>
      <c r="D2" s="107"/>
      <c r="E2" s="232"/>
    </row>
    <row r="3" spans="1:5" s="104" customFormat="1" ht="15.75" x14ac:dyDescent="0.25">
      <c r="A3" s="106" t="str">
        <f>'[1]ETCA-I-01'!A3:G3</f>
        <v>Comision Estatal del Agua</v>
      </c>
      <c r="B3" s="106"/>
      <c r="C3" s="106"/>
      <c r="D3" s="106"/>
      <c r="E3" s="231"/>
    </row>
    <row r="4" spans="1:5" s="104" customFormat="1" x14ac:dyDescent="0.25">
      <c r="A4" s="105" t="str">
        <f>'[1]ETCA-I-01'!A4:G4</f>
        <v>Al 31 de Diciembre de 2019</v>
      </c>
      <c r="B4" s="105"/>
      <c r="C4" s="105"/>
      <c r="D4" s="105"/>
      <c r="E4" s="231"/>
    </row>
    <row r="5" spans="1:5" s="26" customFormat="1" ht="17.25" thickBot="1" x14ac:dyDescent="0.3">
      <c r="A5" s="103"/>
      <c r="B5" s="102" t="s">
        <v>130</v>
      </c>
      <c r="C5" s="102"/>
      <c r="D5" s="230"/>
      <c r="E5" s="229"/>
    </row>
    <row r="6" spans="1:5" s="225" customFormat="1" ht="27" customHeight="1" thickBot="1" x14ac:dyDescent="0.3">
      <c r="A6" s="228" t="s">
        <v>129</v>
      </c>
      <c r="B6" s="227"/>
      <c r="C6" s="226"/>
      <c r="D6" s="183">
        <f>'ETCA-II-01'!F20</f>
        <v>703213872.22100008</v>
      </c>
      <c r="E6" s="182" t="str">
        <f>IF(D6&lt;&gt;'ETCA-II-01'!F45,"ERROR!!!!! EL MONTO NO COINCIDE CON LO REPORTADO EN EL FORMATO ETCA-II-01 EN EL TOTAL DEVENGADO DEL ANALÍTICO DE INGRESOS","")</f>
        <v/>
      </c>
    </row>
    <row r="7" spans="1:5" s="215" customFormat="1" ht="9.75" customHeight="1" x14ac:dyDescent="0.25">
      <c r="A7" s="224"/>
      <c r="B7" s="223"/>
      <c r="C7" s="222"/>
      <c r="D7" s="221"/>
      <c r="E7" s="220"/>
    </row>
    <row r="8" spans="1:5" s="215" customFormat="1" ht="17.25" customHeight="1" thickBot="1" x14ac:dyDescent="0.3">
      <c r="A8" s="219"/>
      <c r="B8" s="218"/>
      <c r="C8" s="217"/>
      <c r="D8" s="216"/>
      <c r="E8" s="182"/>
    </row>
    <row r="9" spans="1:5" ht="20.100000000000001" customHeight="1" thickBot="1" x14ac:dyDescent="0.3">
      <c r="A9" s="200" t="s">
        <v>128</v>
      </c>
      <c r="B9" s="199"/>
      <c r="C9" s="198"/>
      <c r="D9" s="197">
        <f>SUM(C10:C15)</f>
        <v>0</v>
      </c>
      <c r="E9" s="182"/>
    </row>
    <row r="10" spans="1:5" ht="20.100000000000001" customHeight="1" x14ac:dyDescent="0.2">
      <c r="A10" s="214"/>
      <c r="B10" s="196" t="s">
        <v>127</v>
      </c>
      <c r="C10" s="213"/>
      <c r="D10" s="187"/>
      <c r="E10" s="212" t="str">
        <f>IF(C10&lt;&gt;'[1]ETCA-I-03'!C21,"ERROR!!!, NO COINCIDEN LOS MONTOS CON LO REPORTADO EN EL FORMATO ETCA-I-03","")</f>
        <v/>
      </c>
    </row>
    <row r="11" spans="1:5" ht="20.100000000000001" customHeight="1" x14ac:dyDescent="0.2">
      <c r="A11" s="214"/>
      <c r="B11" s="195" t="s">
        <v>126</v>
      </c>
      <c r="C11" s="213"/>
      <c r="D11" s="187"/>
      <c r="E11" s="212"/>
    </row>
    <row r="12" spans="1:5" ht="33" customHeight="1" x14ac:dyDescent="0.2">
      <c r="A12" s="214"/>
      <c r="B12" s="195" t="s">
        <v>125</v>
      </c>
      <c r="C12" s="213"/>
      <c r="D12" s="187"/>
      <c r="E12" s="212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90"/>
      <c r="B13" s="195" t="s">
        <v>124</v>
      </c>
      <c r="C13" s="213"/>
      <c r="D13" s="187"/>
      <c r="E13" s="212" t="str">
        <f>IF(C13&lt;&gt;'[1]ETCA-I-03'!C23,"ERROR!!!, NO COINCIDEN LOS MONTOS CON LO REPORTADO EN EL FORMATO ETCA-I-03","")</f>
        <v/>
      </c>
    </row>
    <row r="14" spans="1:5" ht="20.100000000000001" customHeight="1" x14ac:dyDescent="0.2">
      <c r="A14" s="190"/>
      <c r="B14" s="195" t="s">
        <v>123</v>
      </c>
      <c r="C14" s="213"/>
      <c r="D14" s="187"/>
      <c r="E14" s="212" t="str">
        <f>IF(C14&lt;&gt;'[1]ETCA-I-03'!C24,"ERROR!!!, NO COINCIDEN LOS MONTOS CON LO REPORTADO EN EL FORMATO ETCA-I-03","")</f>
        <v>ERROR!!!, NO COINCIDEN LOS MONTOS CON LO REPORTADO EN EL FORMATO ETCA-I-03</v>
      </c>
    </row>
    <row r="15" spans="1:5" ht="24.75" customHeight="1" thickBot="1" x14ac:dyDescent="0.3">
      <c r="A15" s="211" t="s">
        <v>122</v>
      </c>
      <c r="B15" s="210"/>
      <c r="C15" s="191"/>
      <c r="D15" s="209"/>
      <c r="E15" s="182"/>
    </row>
    <row r="16" spans="1:5" ht="7.5" customHeight="1" x14ac:dyDescent="0.25">
      <c r="A16" s="208"/>
      <c r="B16" s="207"/>
      <c r="C16" s="206"/>
      <c r="D16" s="205"/>
      <c r="E16" s="182"/>
    </row>
    <row r="17" spans="1:5" ht="20.100000000000001" customHeight="1" thickBot="1" x14ac:dyDescent="0.3">
      <c r="A17" s="204"/>
      <c r="B17" s="203"/>
      <c r="C17" s="202"/>
      <c r="D17" s="201"/>
      <c r="E17" s="182"/>
    </row>
    <row r="18" spans="1:5" ht="20.100000000000001" customHeight="1" thickBot="1" x14ac:dyDescent="0.3">
      <c r="A18" s="200" t="s">
        <v>121</v>
      </c>
      <c r="B18" s="199"/>
      <c r="C18" s="198"/>
      <c r="D18" s="197">
        <f>SUM(C19:C22)</f>
        <v>44480696.700000003</v>
      </c>
      <c r="E18" s="182"/>
    </row>
    <row r="19" spans="1:5" ht="20.100000000000001" customHeight="1" x14ac:dyDescent="0.25">
      <c r="A19" s="190"/>
      <c r="B19" s="196" t="s">
        <v>120</v>
      </c>
      <c r="C19" s="194"/>
      <c r="D19" s="187"/>
      <c r="E19" s="182"/>
    </row>
    <row r="20" spans="1:5" ht="20.100000000000001" customHeight="1" x14ac:dyDescent="0.25">
      <c r="A20" s="190"/>
      <c r="B20" s="195" t="s">
        <v>7</v>
      </c>
      <c r="C20" s="194"/>
      <c r="D20" s="187"/>
      <c r="E20" s="182"/>
    </row>
    <row r="21" spans="1:5" ht="20.100000000000001" customHeight="1" thickBot="1" x14ac:dyDescent="0.3">
      <c r="A21" s="193" t="s">
        <v>119</v>
      </c>
      <c r="B21" s="192"/>
      <c r="C21" s="191">
        <v>44480696.700000003</v>
      </c>
      <c r="D21" s="187"/>
      <c r="E21" s="182"/>
    </row>
    <row r="22" spans="1:5" ht="20.100000000000001" customHeight="1" thickBot="1" x14ac:dyDescent="0.3">
      <c r="A22" s="190"/>
      <c r="B22" s="189"/>
      <c r="C22" s="188"/>
      <c r="D22" s="187"/>
      <c r="E22" s="182"/>
    </row>
    <row r="23" spans="1:5" ht="26.25" customHeight="1" thickBot="1" x14ac:dyDescent="0.3">
      <c r="A23" s="186" t="s">
        <v>118</v>
      </c>
      <c r="B23" s="185"/>
      <c r="C23" s="184"/>
      <c r="D23" s="183">
        <f>D6+D9-D18</f>
        <v>658733175.52100003</v>
      </c>
      <c r="E23" s="182" t="str">
        <f>IF(D23&lt;&gt;'[1]ETCA-I-03'!C25,"ERROR!!!!! EL MONTO NO COINCIDE CON LO REPORTADO EN EL FORMATO ETCA-I-03 EN EL TOTAL DE INGRESOS Y OTROS BENEFICIOS","")</f>
        <v>ERROR!!!!! EL MONTO NO COINCIDE CON LO REPORTADO EN EL FORMATO ETCA-I-03 EN EL TOTAL DE INGRESOS Y OTROS BENEFICIOS</v>
      </c>
    </row>
    <row r="26" spans="1:5" s="179" customFormat="1" ht="13.5" x14ac:dyDescent="0.25">
      <c r="B26" s="181" t="s">
        <v>117</v>
      </c>
      <c r="C26" s="181"/>
      <c r="D26" s="181"/>
      <c r="E26" s="180"/>
    </row>
    <row r="27" spans="1:5" s="179" customFormat="1" ht="13.5" x14ac:dyDescent="0.25">
      <c r="B27" s="181" t="s">
        <v>116</v>
      </c>
      <c r="C27" s="181"/>
      <c r="D27" s="181"/>
      <c r="E27" s="180"/>
    </row>
  </sheetData>
  <sheetProtection insertHyperlinks="0"/>
  <mergeCells count="6">
    <mergeCell ref="A6:B6"/>
    <mergeCell ref="A1:D1"/>
    <mergeCell ref="A3:D3"/>
    <mergeCell ref="A2:D2"/>
    <mergeCell ref="A4:D4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801EF-DFEE-486D-A578-18B5F0C1A92B}">
  <dimension ref="A1:G91"/>
  <sheetViews>
    <sheetView view="pageBreakPreview" topLeftCell="A49" zoomScaleNormal="100" zoomScaleSheetLayoutView="100" workbookViewId="0">
      <selection activeCell="J40" sqref="J40"/>
    </sheetView>
  </sheetViews>
  <sheetFormatPr baseColWidth="10" defaultRowHeight="15" x14ac:dyDescent="0.25"/>
  <cols>
    <col min="1" max="1" width="44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7" t="s">
        <v>42</v>
      </c>
      <c r="B1" s="107"/>
      <c r="C1" s="107"/>
      <c r="D1" s="107"/>
      <c r="E1" s="107"/>
      <c r="F1" s="107"/>
      <c r="G1" s="107"/>
    </row>
    <row r="2" spans="1:7" ht="15.75" x14ac:dyDescent="0.25">
      <c r="A2" s="107" t="s">
        <v>215</v>
      </c>
      <c r="B2" s="107"/>
      <c r="C2" s="107"/>
      <c r="D2" s="107"/>
      <c r="E2" s="107"/>
      <c r="F2" s="107"/>
      <c r="G2" s="107"/>
    </row>
    <row r="3" spans="1:7" ht="15.75" x14ac:dyDescent="0.25">
      <c r="A3" s="107" t="s">
        <v>214</v>
      </c>
      <c r="B3" s="107"/>
      <c r="C3" s="107"/>
      <c r="D3" s="107"/>
      <c r="E3" s="107"/>
      <c r="F3" s="107"/>
      <c r="G3" s="107"/>
    </row>
    <row r="4" spans="1:7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7" ht="16.5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7" ht="17.25" thickBot="1" x14ac:dyDescent="0.3">
      <c r="A6" s="258" t="s">
        <v>213</v>
      </c>
      <c r="B6" s="258"/>
      <c r="C6" s="258"/>
      <c r="D6" s="258"/>
      <c r="E6" s="258"/>
      <c r="F6" s="230"/>
      <c r="G6" s="26"/>
    </row>
    <row r="7" spans="1:7" ht="38.25" x14ac:dyDescent="0.25">
      <c r="A7" s="257" t="s">
        <v>212</v>
      </c>
      <c r="B7" s="256" t="s">
        <v>211</v>
      </c>
      <c r="C7" s="256" t="s">
        <v>111</v>
      </c>
      <c r="D7" s="255" t="s">
        <v>210</v>
      </c>
      <c r="E7" s="254" t="s">
        <v>209</v>
      </c>
      <c r="F7" s="254" t="s">
        <v>208</v>
      </c>
      <c r="G7" s="253" t="s">
        <v>207</v>
      </c>
    </row>
    <row r="8" spans="1:7" ht="15.75" thickBot="1" x14ac:dyDescent="0.3">
      <c r="A8" s="252"/>
      <c r="B8" s="251" t="s">
        <v>26</v>
      </c>
      <c r="C8" s="251" t="s">
        <v>25</v>
      </c>
      <c r="D8" s="250" t="s">
        <v>206</v>
      </c>
      <c r="E8" s="249" t="s">
        <v>23</v>
      </c>
      <c r="F8" s="249" t="s">
        <v>22</v>
      </c>
      <c r="G8" s="248" t="s">
        <v>205</v>
      </c>
    </row>
    <row r="9" spans="1:7" x14ac:dyDescent="0.25">
      <c r="A9" s="247" t="s">
        <v>204</v>
      </c>
      <c r="B9" s="244">
        <f>SUM(B10:B16)</f>
        <v>205993811.70999998</v>
      </c>
      <c r="C9" s="244">
        <f>SUM(C10:C16)</f>
        <v>11605204.49</v>
      </c>
      <c r="D9" s="244">
        <f>B9+C9</f>
        <v>217599016.19999999</v>
      </c>
      <c r="E9" s="244">
        <f>SUM(E10:E16)</f>
        <v>209735800.22</v>
      </c>
      <c r="F9" s="244">
        <f>SUM(F10:F16)</f>
        <v>201718401.25999996</v>
      </c>
      <c r="G9" s="242">
        <f>D9-E9</f>
        <v>7863215.9799999893</v>
      </c>
    </row>
    <row r="10" spans="1:7" x14ac:dyDescent="0.25">
      <c r="A10" s="245" t="s">
        <v>203</v>
      </c>
      <c r="B10" s="243">
        <v>116272081.35999997</v>
      </c>
      <c r="C10" s="243">
        <v>3024155.49</v>
      </c>
      <c r="D10" s="244">
        <f>B10+C10</f>
        <v>119296236.84999996</v>
      </c>
      <c r="E10" s="243">
        <v>116154134.29000001</v>
      </c>
      <c r="F10" s="243">
        <v>112024731.86999999</v>
      </c>
      <c r="G10" s="242">
        <f>D10-E10</f>
        <v>3142102.5599999577</v>
      </c>
    </row>
    <row r="11" spans="1:7" x14ac:dyDescent="0.25">
      <c r="A11" s="245" t="s">
        <v>202</v>
      </c>
      <c r="B11" s="243">
        <v>2501479.84</v>
      </c>
      <c r="C11" s="243">
        <v>-693905.25</v>
      </c>
      <c r="D11" s="244">
        <f>B11+C11</f>
        <v>1807574.5899999999</v>
      </c>
      <c r="E11" s="243">
        <v>1541864.8900000001</v>
      </c>
      <c r="F11" s="243">
        <v>1475821.47</v>
      </c>
      <c r="G11" s="242">
        <f>D11-E11</f>
        <v>265709.69999999972</v>
      </c>
    </row>
    <row r="12" spans="1:7" x14ac:dyDescent="0.25">
      <c r="A12" s="245" t="s">
        <v>201</v>
      </c>
      <c r="B12" s="243">
        <v>10186764.629999999</v>
      </c>
      <c r="C12" s="243">
        <v>3226262.25</v>
      </c>
      <c r="D12" s="244">
        <f>B12+C12</f>
        <v>13413026.879999999</v>
      </c>
      <c r="E12" s="243">
        <v>11464146.810000002</v>
      </c>
      <c r="F12" s="243">
        <v>11311413.239999998</v>
      </c>
      <c r="G12" s="242">
        <f>D12-E12</f>
        <v>1948880.0699999966</v>
      </c>
    </row>
    <row r="13" spans="1:7" x14ac:dyDescent="0.25">
      <c r="A13" s="245" t="s">
        <v>200</v>
      </c>
      <c r="B13" s="243">
        <v>39996929.230000004</v>
      </c>
      <c r="C13" s="243">
        <v>2069639</v>
      </c>
      <c r="D13" s="244">
        <f>B13+C13</f>
        <v>42066568.230000004</v>
      </c>
      <c r="E13" s="243">
        <v>41032923.989999995</v>
      </c>
      <c r="F13" s="243">
        <v>37617699.229999997</v>
      </c>
      <c r="G13" s="242">
        <f>D13-E13</f>
        <v>1033644.2400000095</v>
      </c>
    </row>
    <row r="14" spans="1:7" x14ac:dyDescent="0.25">
      <c r="A14" s="245" t="s">
        <v>199</v>
      </c>
      <c r="B14" s="243">
        <v>36222358.650000006</v>
      </c>
      <c r="C14" s="243">
        <v>3880061</v>
      </c>
      <c r="D14" s="244">
        <f>B14+C14</f>
        <v>40102419.650000006</v>
      </c>
      <c r="E14" s="243">
        <v>38629540.200000003</v>
      </c>
      <c r="F14" s="243">
        <v>38523990.409999996</v>
      </c>
      <c r="G14" s="242">
        <f>D14-E14</f>
        <v>1472879.450000003</v>
      </c>
    </row>
    <row r="15" spans="1:7" x14ac:dyDescent="0.25">
      <c r="A15" s="245" t="s">
        <v>198</v>
      </c>
      <c r="B15" s="243"/>
      <c r="C15" s="243"/>
      <c r="D15" s="244">
        <f>B15+C15</f>
        <v>0</v>
      </c>
      <c r="E15" s="243"/>
      <c r="F15" s="243"/>
      <c r="G15" s="242">
        <f>D15-E15</f>
        <v>0</v>
      </c>
    </row>
    <row r="16" spans="1:7" x14ac:dyDescent="0.25">
      <c r="A16" s="245" t="s">
        <v>197</v>
      </c>
      <c r="B16" s="243">
        <v>814198</v>
      </c>
      <c r="C16" s="243">
        <v>98992</v>
      </c>
      <c r="D16" s="244">
        <f>B16+C16</f>
        <v>913190</v>
      </c>
      <c r="E16" s="243">
        <v>913190.04</v>
      </c>
      <c r="F16" s="243">
        <v>764745.04</v>
      </c>
      <c r="G16" s="242">
        <f>D16-E16</f>
        <v>-4.0000000037252903E-2</v>
      </c>
    </row>
    <row r="17" spans="1:7" x14ac:dyDescent="0.25">
      <c r="A17" s="246" t="s">
        <v>196</v>
      </c>
      <c r="B17" s="244">
        <f>SUM(B18:B26)</f>
        <v>29616487.420000006</v>
      </c>
      <c r="C17" s="244">
        <f>SUM(C18:C26)</f>
        <v>1723823.3599999999</v>
      </c>
      <c r="D17" s="244">
        <f>B17+C17</f>
        <v>31340310.780000005</v>
      </c>
      <c r="E17" s="244">
        <f>SUM(E18:E26)</f>
        <v>26785641.120000001</v>
      </c>
      <c r="F17" s="244">
        <f>SUM(F18:F26)</f>
        <v>20428267.289999999</v>
      </c>
      <c r="G17" s="242">
        <f>D17-E17</f>
        <v>4554669.6600000039</v>
      </c>
    </row>
    <row r="18" spans="1:7" ht="25.5" x14ac:dyDescent="0.25">
      <c r="A18" s="245" t="s">
        <v>195</v>
      </c>
      <c r="B18" s="243">
        <v>2140406.7799999998</v>
      </c>
      <c r="C18" s="243">
        <v>-92060.87</v>
      </c>
      <c r="D18" s="244">
        <f>B18+C18</f>
        <v>2048345.9099999997</v>
      </c>
      <c r="E18" s="243">
        <v>1233703.02</v>
      </c>
      <c r="F18" s="243">
        <v>1161267.73</v>
      </c>
      <c r="G18" s="242">
        <f>D18-E18</f>
        <v>814642.88999999966</v>
      </c>
    </row>
    <row r="19" spans="1:7" x14ac:dyDescent="0.25">
      <c r="A19" s="245" t="s">
        <v>194</v>
      </c>
      <c r="B19" s="243">
        <v>481582</v>
      </c>
      <c r="C19" s="243">
        <v>286375</v>
      </c>
      <c r="D19" s="244">
        <f>B19+C19</f>
        <v>767957</v>
      </c>
      <c r="E19" s="243">
        <v>706055.79999999993</v>
      </c>
      <c r="F19" s="243">
        <v>595079.80999999994</v>
      </c>
      <c r="G19" s="242">
        <f>D19-E19</f>
        <v>61901.20000000007</v>
      </c>
    </row>
    <row r="20" spans="1:7" ht="25.5" x14ac:dyDescent="0.25">
      <c r="A20" s="245" t="s">
        <v>193</v>
      </c>
      <c r="B20" s="243">
        <v>6160974.3700000001</v>
      </c>
      <c r="C20" s="243">
        <v>403899</v>
      </c>
      <c r="D20" s="244">
        <f>B20+C20</f>
        <v>6564873.3700000001</v>
      </c>
      <c r="E20" s="243">
        <v>6251586.1799999997</v>
      </c>
      <c r="F20" s="243">
        <v>4495655.9400000004</v>
      </c>
      <c r="G20" s="242">
        <f>D20-E20</f>
        <v>313287.19000000041</v>
      </c>
    </row>
    <row r="21" spans="1:7" x14ac:dyDescent="0.25">
      <c r="A21" s="245" t="s">
        <v>192</v>
      </c>
      <c r="B21" s="243">
        <v>667519</v>
      </c>
      <c r="C21" s="243">
        <v>-87134</v>
      </c>
      <c r="D21" s="244">
        <f>B21+C21</f>
        <v>580385</v>
      </c>
      <c r="E21" s="243">
        <v>497558.49000000005</v>
      </c>
      <c r="F21" s="243">
        <v>490649.26</v>
      </c>
      <c r="G21" s="242">
        <f>D21-E21</f>
        <v>82826.509999999951</v>
      </c>
    </row>
    <row r="22" spans="1:7" x14ac:dyDescent="0.25">
      <c r="A22" s="245" t="s">
        <v>191</v>
      </c>
      <c r="B22" s="243">
        <v>7650860.7300000004</v>
      </c>
      <c r="C22" s="243">
        <v>-3504901.96</v>
      </c>
      <c r="D22" s="244">
        <f>B22+C22</f>
        <v>4145958.7700000005</v>
      </c>
      <c r="E22" s="243">
        <v>1950795.79</v>
      </c>
      <c r="F22" s="243">
        <v>-1162219.49</v>
      </c>
      <c r="G22" s="242">
        <f>D22-E22</f>
        <v>2195162.9800000004</v>
      </c>
    </row>
    <row r="23" spans="1:7" x14ac:dyDescent="0.25">
      <c r="A23" s="245" t="s">
        <v>190</v>
      </c>
      <c r="B23" s="243">
        <v>8047205.2999999998</v>
      </c>
      <c r="C23" s="243">
        <v>3776291</v>
      </c>
      <c r="D23" s="244">
        <f>B23+C23</f>
        <v>11823496.300000001</v>
      </c>
      <c r="E23" s="243">
        <v>11779953.649999999</v>
      </c>
      <c r="F23" s="243">
        <v>10865844.65</v>
      </c>
      <c r="G23" s="242">
        <f>D23-E23</f>
        <v>43542.650000002235</v>
      </c>
    </row>
    <row r="24" spans="1:7" ht="25.5" x14ac:dyDescent="0.25">
      <c r="A24" s="245" t="s">
        <v>189</v>
      </c>
      <c r="B24" s="243">
        <v>2071526.8</v>
      </c>
      <c r="C24" s="243">
        <v>-49748</v>
      </c>
      <c r="D24" s="244">
        <f>B24+C24</f>
        <v>2021778.8</v>
      </c>
      <c r="E24" s="243">
        <v>1297866.3500000001</v>
      </c>
      <c r="F24" s="243">
        <v>1071571.6199999999</v>
      </c>
      <c r="G24" s="242">
        <f>D24-E24</f>
        <v>723912.45</v>
      </c>
    </row>
    <row r="25" spans="1:7" x14ac:dyDescent="0.25">
      <c r="A25" s="245" t="s">
        <v>188</v>
      </c>
      <c r="B25" s="243"/>
      <c r="C25" s="243"/>
      <c r="D25" s="244">
        <f>B25+C25</f>
        <v>0</v>
      </c>
      <c r="E25" s="243"/>
      <c r="F25" s="243"/>
      <c r="G25" s="242">
        <f>D25-E25</f>
        <v>0</v>
      </c>
    </row>
    <row r="26" spans="1:7" x14ac:dyDescent="0.25">
      <c r="A26" s="245" t="s">
        <v>187</v>
      </c>
      <c r="B26" s="243">
        <v>2396412.44</v>
      </c>
      <c r="C26" s="243">
        <v>991103.19</v>
      </c>
      <c r="D26" s="244">
        <f>B26+C26</f>
        <v>3387515.63</v>
      </c>
      <c r="E26" s="243">
        <v>3068121.84</v>
      </c>
      <c r="F26" s="243">
        <v>2910417.7700000005</v>
      </c>
      <c r="G26" s="242">
        <f>D26-E26</f>
        <v>319393.79000000004</v>
      </c>
    </row>
    <row r="27" spans="1:7" x14ac:dyDescent="0.25">
      <c r="A27" s="246" t="s">
        <v>186</v>
      </c>
      <c r="B27" s="244">
        <f>SUM(B28:B36)</f>
        <v>144642119.81999999</v>
      </c>
      <c r="C27" s="244">
        <f>SUM(C28:C36)</f>
        <v>53059695.640000001</v>
      </c>
      <c r="D27" s="244">
        <f>B27+C27</f>
        <v>197701815.45999998</v>
      </c>
      <c r="E27" s="244">
        <f>SUM(E28:E36)</f>
        <v>166182321.36000001</v>
      </c>
      <c r="F27" s="244">
        <f>SUM(F28:F36)</f>
        <v>138927620.18000001</v>
      </c>
      <c r="G27" s="242">
        <f>D27-E27</f>
        <v>31519494.099999964</v>
      </c>
    </row>
    <row r="28" spans="1:7" x14ac:dyDescent="0.25">
      <c r="A28" s="245" t="s">
        <v>185</v>
      </c>
      <c r="B28" s="243">
        <v>84741042.400000006</v>
      </c>
      <c r="C28" s="243">
        <v>13678950.82</v>
      </c>
      <c r="D28" s="244">
        <f>B28+C28</f>
        <v>98419993.219999999</v>
      </c>
      <c r="E28" s="243">
        <v>95807313.75</v>
      </c>
      <c r="F28" s="243">
        <v>91367720.140000001</v>
      </c>
      <c r="G28" s="242">
        <f>D28-E28</f>
        <v>2612679.4699999988</v>
      </c>
    </row>
    <row r="29" spans="1:7" x14ac:dyDescent="0.25">
      <c r="A29" s="245" t="s">
        <v>184</v>
      </c>
      <c r="B29" s="243">
        <v>5447594.5</v>
      </c>
      <c r="C29" s="243">
        <v>721981</v>
      </c>
      <c r="D29" s="244">
        <f>B29+C29</f>
        <v>6169575.5</v>
      </c>
      <c r="E29" s="243">
        <v>5493910.5999999996</v>
      </c>
      <c r="F29" s="243">
        <v>4779168.63</v>
      </c>
      <c r="G29" s="242">
        <f>D29-E29</f>
        <v>675664.90000000037</v>
      </c>
    </row>
    <row r="30" spans="1:7" ht="25.5" x14ac:dyDescent="0.25">
      <c r="A30" s="245" t="s">
        <v>183</v>
      </c>
      <c r="B30" s="243">
        <v>14547135.59</v>
      </c>
      <c r="C30" s="243">
        <v>9784942.0700000003</v>
      </c>
      <c r="D30" s="244">
        <f>B30+C30</f>
        <v>24332077.66</v>
      </c>
      <c r="E30" s="243">
        <v>20886977.379999999</v>
      </c>
      <c r="F30" s="243">
        <v>18047690.770000003</v>
      </c>
      <c r="G30" s="242">
        <f>D30-E30</f>
        <v>3445100.2800000012</v>
      </c>
    </row>
    <row r="31" spans="1:7" x14ac:dyDescent="0.25">
      <c r="A31" s="245" t="s">
        <v>182</v>
      </c>
      <c r="B31" s="243">
        <v>20606315.139999997</v>
      </c>
      <c r="C31" s="243">
        <v>-4203238.8</v>
      </c>
      <c r="D31" s="244">
        <f>B31+C31</f>
        <v>16403076.339999996</v>
      </c>
      <c r="E31" s="243">
        <v>13981398.680000002</v>
      </c>
      <c r="F31" s="243">
        <v>12156402.619999999</v>
      </c>
      <c r="G31" s="242">
        <f>D31-E31</f>
        <v>2421677.6599999946</v>
      </c>
    </row>
    <row r="32" spans="1:7" ht="25.5" x14ac:dyDescent="0.25">
      <c r="A32" s="245" t="s">
        <v>181</v>
      </c>
      <c r="B32" s="243">
        <v>8138504.7400000002</v>
      </c>
      <c r="C32" s="243">
        <v>2559173.5500000003</v>
      </c>
      <c r="D32" s="244">
        <f>B32+C32</f>
        <v>10697678.290000001</v>
      </c>
      <c r="E32" s="243">
        <v>7150302.5300000003</v>
      </c>
      <c r="F32" s="243">
        <v>5061252.58</v>
      </c>
      <c r="G32" s="242">
        <f>D32-E32</f>
        <v>3547375.7600000007</v>
      </c>
    </row>
    <row r="33" spans="1:7" x14ac:dyDescent="0.25">
      <c r="A33" s="245" t="s">
        <v>180</v>
      </c>
      <c r="B33" s="243">
        <v>1067467.54</v>
      </c>
      <c r="C33" s="243">
        <v>273905</v>
      </c>
      <c r="D33" s="244">
        <f>B33+C33</f>
        <v>1341372.54</v>
      </c>
      <c r="E33" s="243">
        <v>1159910</v>
      </c>
      <c r="F33" s="243">
        <v>519590</v>
      </c>
      <c r="G33" s="242">
        <f>D33-E33</f>
        <v>181462.54000000004</v>
      </c>
    </row>
    <row r="34" spans="1:7" x14ac:dyDescent="0.25">
      <c r="A34" s="245" t="s">
        <v>179</v>
      </c>
      <c r="B34" s="243">
        <v>2980396.39</v>
      </c>
      <c r="C34" s="243">
        <v>74790</v>
      </c>
      <c r="D34" s="244">
        <f>B34+C34</f>
        <v>3055186.39</v>
      </c>
      <c r="E34" s="243">
        <v>2580607.0600000005</v>
      </c>
      <c r="F34" s="243">
        <v>2429827.1300000004</v>
      </c>
      <c r="G34" s="242">
        <f>D34-E34</f>
        <v>474579.32999999961</v>
      </c>
    </row>
    <row r="35" spans="1:7" ht="15.75" thickBot="1" x14ac:dyDescent="0.3">
      <c r="A35" s="241" t="s">
        <v>178</v>
      </c>
      <c r="B35" s="239">
        <v>83139</v>
      </c>
      <c r="C35" s="239">
        <v>175530</v>
      </c>
      <c r="D35" s="240">
        <f>B35+C35</f>
        <v>258669</v>
      </c>
      <c r="E35" s="239">
        <v>258412.40000000002</v>
      </c>
      <c r="F35" s="239">
        <v>258412.40000000002</v>
      </c>
      <c r="G35" s="238">
        <f>D35-E35</f>
        <v>256.59999999997672</v>
      </c>
    </row>
    <row r="36" spans="1:7" x14ac:dyDescent="0.25">
      <c r="A36" s="245" t="s">
        <v>177</v>
      </c>
      <c r="B36" s="243">
        <v>7030524.5200000005</v>
      </c>
      <c r="C36" s="243">
        <v>29993662</v>
      </c>
      <c r="D36" s="244">
        <f>B36+C36</f>
        <v>37024186.520000003</v>
      </c>
      <c r="E36" s="243">
        <v>18863488.960000001</v>
      </c>
      <c r="F36" s="243">
        <v>4307555.91</v>
      </c>
      <c r="G36" s="242">
        <f>D36-E36</f>
        <v>18160697.560000002</v>
      </c>
    </row>
    <row r="37" spans="1:7" x14ac:dyDescent="0.25">
      <c r="A37" s="246" t="s">
        <v>176</v>
      </c>
      <c r="B37" s="244">
        <f>SUM(B38:B46)</f>
        <v>0</v>
      </c>
      <c r="C37" s="244">
        <f>SUM(C38:C46)</f>
        <v>19479304.920000002</v>
      </c>
      <c r="D37" s="244">
        <f>B37+C37</f>
        <v>19479304.920000002</v>
      </c>
      <c r="E37" s="244">
        <f>SUM(E38:E46)</f>
        <v>19392117</v>
      </c>
      <c r="F37" s="244">
        <f>SUM(F38:F46)</f>
        <v>19081080</v>
      </c>
      <c r="G37" s="242">
        <f>D37-E37</f>
        <v>87187.920000001788</v>
      </c>
    </row>
    <row r="38" spans="1:7" x14ac:dyDescent="0.25">
      <c r="A38" s="245" t="s">
        <v>175</v>
      </c>
      <c r="B38" s="243"/>
      <c r="C38" s="243"/>
      <c r="D38" s="244">
        <f>B38+C38</f>
        <v>0</v>
      </c>
      <c r="E38" s="243"/>
      <c r="F38" s="243"/>
      <c r="G38" s="242">
        <f>D38-E38</f>
        <v>0</v>
      </c>
    </row>
    <row r="39" spans="1:7" x14ac:dyDescent="0.25">
      <c r="A39" s="245" t="s">
        <v>174</v>
      </c>
      <c r="B39" s="243">
        <v>0</v>
      </c>
      <c r="C39" s="243">
        <v>19479304.920000002</v>
      </c>
      <c r="D39" s="244">
        <f>B39+C39</f>
        <v>19479304.920000002</v>
      </c>
      <c r="E39" s="243">
        <v>19392117</v>
      </c>
      <c r="F39" s="243">
        <v>19081080</v>
      </c>
      <c r="G39" s="242">
        <f>D39-E39</f>
        <v>87187.920000001788</v>
      </c>
    </row>
    <row r="40" spans="1:7" x14ac:dyDescent="0.25">
      <c r="A40" s="245" t="s">
        <v>173</v>
      </c>
      <c r="B40" s="243"/>
      <c r="C40" s="243"/>
      <c r="D40" s="244">
        <f>B40+C40</f>
        <v>0</v>
      </c>
      <c r="E40" s="243"/>
      <c r="F40" s="243"/>
      <c r="G40" s="242">
        <f>D40-E40</f>
        <v>0</v>
      </c>
    </row>
    <row r="41" spans="1:7" x14ac:dyDescent="0.25">
      <c r="A41" s="245" t="s">
        <v>172</v>
      </c>
      <c r="B41" s="243"/>
      <c r="C41" s="243"/>
      <c r="D41" s="244">
        <f>B41+C41</f>
        <v>0</v>
      </c>
      <c r="E41" s="243"/>
      <c r="F41" s="243"/>
      <c r="G41" s="242">
        <f>D41-E41</f>
        <v>0</v>
      </c>
    </row>
    <row r="42" spans="1:7" x14ac:dyDescent="0.25">
      <c r="A42" s="245" t="s">
        <v>171</v>
      </c>
      <c r="B42" s="243"/>
      <c r="C42" s="243"/>
      <c r="D42" s="244">
        <f>B42+C42</f>
        <v>0</v>
      </c>
      <c r="E42" s="243"/>
      <c r="F42" s="243"/>
      <c r="G42" s="242">
        <f>D42-E42</f>
        <v>0</v>
      </c>
    </row>
    <row r="43" spans="1:7" ht="25.5" x14ac:dyDescent="0.25">
      <c r="A43" s="245" t="s">
        <v>170</v>
      </c>
      <c r="B43" s="243"/>
      <c r="C43" s="243"/>
      <c r="D43" s="244">
        <f>B43+C43</f>
        <v>0</v>
      </c>
      <c r="E43" s="243"/>
      <c r="F43" s="243"/>
      <c r="G43" s="242">
        <f>D43-E43</f>
        <v>0</v>
      </c>
    </row>
    <row r="44" spans="1:7" x14ac:dyDescent="0.25">
      <c r="A44" s="245" t="s">
        <v>169</v>
      </c>
      <c r="B44" s="243"/>
      <c r="C44" s="243"/>
      <c r="D44" s="244">
        <f>B44+C44</f>
        <v>0</v>
      </c>
      <c r="E44" s="243"/>
      <c r="F44" s="243"/>
      <c r="G44" s="242">
        <f>D44-E44</f>
        <v>0</v>
      </c>
    </row>
    <row r="45" spans="1:7" x14ac:dyDescent="0.25">
      <c r="A45" s="245" t="s">
        <v>168</v>
      </c>
      <c r="B45" s="243"/>
      <c r="C45" s="243"/>
      <c r="D45" s="244">
        <f>B45+C45</f>
        <v>0</v>
      </c>
      <c r="E45" s="243"/>
      <c r="F45" s="243"/>
      <c r="G45" s="242">
        <f>D45-E45</f>
        <v>0</v>
      </c>
    </row>
    <row r="46" spans="1:7" x14ac:dyDescent="0.25">
      <c r="A46" s="245" t="s">
        <v>167</v>
      </c>
      <c r="B46" s="243"/>
      <c r="C46" s="243"/>
      <c r="D46" s="244">
        <f>B46+C46</f>
        <v>0</v>
      </c>
      <c r="E46" s="243"/>
      <c r="F46" s="243"/>
      <c r="G46" s="242">
        <f>D46-E46</f>
        <v>0</v>
      </c>
    </row>
    <row r="47" spans="1:7" x14ac:dyDescent="0.25">
      <c r="A47" s="246" t="s">
        <v>166</v>
      </c>
      <c r="B47" s="244">
        <f>SUM(B48:B56)</f>
        <v>5311212</v>
      </c>
      <c r="C47" s="244">
        <f>SUM(C48:C56)</f>
        <v>1023746.5600000002</v>
      </c>
      <c r="D47" s="244">
        <f>B47+C47</f>
        <v>6334958.5600000005</v>
      </c>
      <c r="E47" s="244">
        <f>SUM(E48:E56)</f>
        <v>2524509.23</v>
      </c>
      <c r="F47" s="244">
        <f>SUM(F48:F56)</f>
        <v>903273.03</v>
      </c>
      <c r="G47" s="242">
        <f>D47-E47</f>
        <v>3810449.3300000005</v>
      </c>
    </row>
    <row r="48" spans="1:7" x14ac:dyDescent="0.25">
      <c r="A48" s="245" t="s">
        <v>165</v>
      </c>
      <c r="B48" s="243">
        <v>1029997</v>
      </c>
      <c r="C48" s="243">
        <v>1909640.2400000002</v>
      </c>
      <c r="D48" s="244">
        <f>B48+C48</f>
        <v>2939637.24</v>
      </c>
      <c r="E48" s="243">
        <v>1252687.6000000001</v>
      </c>
      <c r="F48" s="243">
        <v>202180</v>
      </c>
      <c r="G48" s="242">
        <f>D48-E48</f>
        <v>1686949.6400000001</v>
      </c>
    </row>
    <row r="49" spans="1:7" x14ac:dyDescent="0.25">
      <c r="A49" s="245" t="s">
        <v>164</v>
      </c>
      <c r="B49" s="243"/>
      <c r="C49" s="243"/>
      <c r="D49" s="244">
        <f>B49+C49</f>
        <v>0</v>
      </c>
      <c r="E49" s="243"/>
      <c r="F49" s="243"/>
      <c r="G49" s="242">
        <f>D49-E49</f>
        <v>0</v>
      </c>
    </row>
    <row r="50" spans="1:7" x14ac:dyDescent="0.25">
      <c r="A50" s="245" t="s">
        <v>163</v>
      </c>
      <c r="B50" s="243"/>
      <c r="C50" s="243"/>
      <c r="D50" s="244">
        <f>B50+C50</f>
        <v>0</v>
      </c>
      <c r="E50" s="243"/>
      <c r="F50" s="243"/>
      <c r="G50" s="242">
        <f>D50-E50</f>
        <v>0</v>
      </c>
    </row>
    <row r="51" spans="1:7" x14ac:dyDescent="0.25">
      <c r="A51" s="245" t="s">
        <v>162</v>
      </c>
      <c r="B51" s="243">
        <v>500000</v>
      </c>
      <c r="C51" s="243">
        <v>-500000</v>
      </c>
      <c r="D51" s="244">
        <f>B51+C51</f>
        <v>0</v>
      </c>
      <c r="E51" s="243">
        <v>0</v>
      </c>
      <c r="F51" s="243">
        <v>0</v>
      </c>
      <c r="G51" s="242">
        <f>D51-E51</f>
        <v>0</v>
      </c>
    </row>
    <row r="52" spans="1:7" x14ac:dyDescent="0.25">
      <c r="A52" s="245" t="s">
        <v>161</v>
      </c>
      <c r="B52" s="243"/>
      <c r="C52" s="243"/>
      <c r="D52" s="244">
        <f>B52+C52</f>
        <v>0</v>
      </c>
      <c r="E52" s="243"/>
      <c r="F52" s="243"/>
      <c r="G52" s="242">
        <f>D52-E52</f>
        <v>0</v>
      </c>
    </row>
    <row r="53" spans="1:7" x14ac:dyDescent="0.25">
      <c r="A53" s="245" t="s">
        <v>160</v>
      </c>
      <c r="B53" s="243">
        <v>3781215</v>
      </c>
      <c r="C53" s="243">
        <v>-385893.68000000005</v>
      </c>
      <c r="D53" s="244">
        <f>B53+C53</f>
        <v>3395321.32</v>
      </c>
      <c r="E53" s="243">
        <v>1271821.6299999999</v>
      </c>
      <c r="F53" s="243">
        <v>701093.03</v>
      </c>
      <c r="G53" s="242">
        <f>D53-E53</f>
        <v>2123499.69</v>
      </c>
    </row>
    <row r="54" spans="1:7" x14ac:dyDescent="0.25">
      <c r="A54" s="245" t="s">
        <v>159</v>
      </c>
      <c r="B54" s="243"/>
      <c r="C54" s="243"/>
      <c r="D54" s="244">
        <f>B54+C54</f>
        <v>0</v>
      </c>
      <c r="E54" s="243"/>
      <c r="F54" s="243"/>
      <c r="G54" s="242">
        <f>D54-E54</f>
        <v>0</v>
      </c>
    </row>
    <row r="55" spans="1:7" x14ac:dyDescent="0.25">
      <c r="A55" s="245" t="s">
        <v>158</v>
      </c>
      <c r="B55" s="243"/>
      <c r="C55" s="243"/>
      <c r="D55" s="244">
        <f>B55+C55</f>
        <v>0</v>
      </c>
      <c r="E55" s="243"/>
      <c r="F55" s="243"/>
      <c r="G55" s="242">
        <f>D55-E55</f>
        <v>0</v>
      </c>
    </row>
    <row r="56" spans="1:7" x14ac:dyDescent="0.25">
      <c r="A56" s="245" t="s">
        <v>157</v>
      </c>
      <c r="B56" s="243"/>
      <c r="C56" s="243"/>
      <c r="D56" s="244">
        <f>B56+C56</f>
        <v>0</v>
      </c>
      <c r="E56" s="243"/>
      <c r="F56" s="243"/>
      <c r="G56" s="242">
        <f>D56-E56</f>
        <v>0</v>
      </c>
    </row>
    <row r="57" spans="1:7" x14ac:dyDescent="0.25">
      <c r="A57" s="246" t="s">
        <v>156</v>
      </c>
      <c r="B57" s="244">
        <f>SUM(B58:B60)</f>
        <v>117900000</v>
      </c>
      <c r="C57" s="244">
        <f>SUM(C58:C60)</f>
        <v>196696718.15000004</v>
      </c>
      <c r="D57" s="244">
        <f>B57+C57</f>
        <v>314596718.15000004</v>
      </c>
      <c r="E57" s="244">
        <f>SUM(E58:E60)</f>
        <v>185697020.53</v>
      </c>
      <c r="F57" s="244">
        <f>SUM(F58:F60)</f>
        <v>184488454.38000003</v>
      </c>
      <c r="G57" s="242">
        <f>D57-E57</f>
        <v>128899697.62000003</v>
      </c>
    </row>
    <row r="58" spans="1:7" x14ac:dyDescent="0.25">
      <c r="A58" s="245" t="s">
        <v>155</v>
      </c>
      <c r="B58" s="243">
        <v>117900000</v>
      </c>
      <c r="C58" s="243">
        <v>196696718.15000004</v>
      </c>
      <c r="D58" s="244">
        <f>B58+C58</f>
        <v>314596718.15000004</v>
      </c>
      <c r="E58" s="243">
        <v>185697020.53</v>
      </c>
      <c r="F58" s="243">
        <v>184488454.38000003</v>
      </c>
      <c r="G58" s="242">
        <f>D58-E58</f>
        <v>128899697.62000003</v>
      </c>
    </row>
    <row r="59" spans="1:7" x14ac:dyDescent="0.25">
      <c r="A59" s="245" t="s">
        <v>154</v>
      </c>
      <c r="B59" s="243"/>
      <c r="C59" s="243"/>
      <c r="D59" s="244">
        <f>B59+C59</f>
        <v>0</v>
      </c>
      <c r="E59" s="243"/>
      <c r="F59" s="243"/>
      <c r="G59" s="242">
        <f>D59-E59</f>
        <v>0</v>
      </c>
    </row>
    <row r="60" spans="1:7" x14ac:dyDescent="0.25">
      <c r="A60" s="245" t="s">
        <v>153</v>
      </c>
      <c r="B60" s="243"/>
      <c r="C60" s="243"/>
      <c r="D60" s="244">
        <f>B60+C60</f>
        <v>0</v>
      </c>
      <c r="E60" s="243"/>
      <c r="F60" s="243"/>
      <c r="G60" s="242">
        <f>D60-E60</f>
        <v>0</v>
      </c>
    </row>
    <row r="61" spans="1:7" x14ac:dyDescent="0.25">
      <c r="A61" s="246" t="s">
        <v>152</v>
      </c>
      <c r="B61" s="244">
        <f>SUM(B62:B68)</f>
        <v>68632616.799999997</v>
      </c>
      <c r="C61" s="244">
        <f>SUM(C62:C68)</f>
        <v>0</v>
      </c>
      <c r="D61" s="244">
        <f>B61+C61</f>
        <v>68632616.799999997</v>
      </c>
      <c r="E61" s="244">
        <f>SUM(E62:E68)</f>
        <v>0</v>
      </c>
      <c r="F61" s="244">
        <f>SUM(F62:F68)</f>
        <v>0</v>
      </c>
      <c r="G61" s="242">
        <f>D61-E61</f>
        <v>68632616.799999997</v>
      </c>
    </row>
    <row r="62" spans="1:7" x14ac:dyDescent="0.25">
      <c r="A62" s="245" t="s">
        <v>151</v>
      </c>
      <c r="B62" s="243"/>
      <c r="C62" s="243"/>
      <c r="D62" s="244">
        <f>B62+C62</f>
        <v>0</v>
      </c>
      <c r="E62" s="243"/>
      <c r="F62" s="243"/>
      <c r="G62" s="242">
        <f>D62-E62</f>
        <v>0</v>
      </c>
    </row>
    <row r="63" spans="1:7" ht="15.75" thickBot="1" x14ac:dyDescent="0.3">
      <c r="A63" s="241" t="s">
        <v>150</v>
      </c>
      <c r="B63" s="239"/>
      <c r="C63" s="239"/>
      <c r="D63" s="240">
        <f>B63+C63</f>
        <v>0</v>
      </c>
      <c r="E63" s="239"/>
      <c r="F63" s="239"/>
      <c r="G63" s="238">
        <f>D63-E63</f>
        <v>0</v>
      </c>
    </row>
    <row r="64" spans="1:7" x14ac:dyDescent="0.25">
      <c r="A64" s="245" t="s">
        <v>149</v>
      </c>
      <c r="B64" s="243"/>
      <c r="C64" s="243"/>
      <c r="D64" s="244">
        <f>B64+C64</f>
        <v>0</v>
      </c>
      <c r="E64" s="243"/>
      <c r="F64" s="243"/>
      <c r="G64" s="242">
        <f>D64-E64</f>
        <v>0</v>
      </c>
    </row>
    <row r="65" spans="1:7" x14ac:dyDescent="0.25">
      <c r="A65" s="245" t="s">
        <v>148</v>
      </c>
      <c r="B65" s="243"/>
      <c r="C65" s="243"/>
      <c r="D65" s="244">
        <f>B65+C65</f>
        <v>0</v>
      </c>
      <c r="E65" s="243"/>
      <c r="F65" s="243"/>
      <c r="G65" s="242">
        <f>D65-E65</f>
        <v>0</v>
      </c>
    </row>
    <row r="66" spans="1:7" x14ac:dyDescent="0.25">
      <c r="A66" s="245" t="s">
        <v>147</v>
      </c>
      <c r="B66" s="243"/>
      <c r="C66" s="243"/>
      <c r="D66" s="244">
        <f>B66+C66</f>
        <v>0</v>
      </c>
      <c r="E66" s="243"/>
      <c r="F66" s="243"/>
      <c r="G66" s="242">
        <f>D66-E66</f>
        <v>0</v>
      </c>
    </row>
    <row r="67" spans="1:7" x14ac:dyDescent="0.25">
      <c r="A67" s="245" t="s">
        <v>146</v>
      </c>
      <c r="B67" s="243"/>
      <c r="C67" s="243"/>
      <c r="D67" s="244">
        <f>B67+C67</f>
        <v>0</v>
      </c>
      <c r="E67" s="243"/>
      <c r="F67" s="243"/>
      <c r="G67" s="242">
        <f>D67-E67</f>
        <v>0</v>
      </c>
    </row>
    <row r="68" spans="1:7" ht="25.5" x14ac:dyDescent="0.25">
      <c r="A68" s="245" t="s">
        <v>145</v>
      </c>
      <c r="B68" s="243">
        <v>68632616.799999997</v>
      </c>
      <c r="C68" s="243">
        <v>0</v>
      </c>
      <c r="D68" s="244">
        <f>B68+C68</f>
        <v>68632616.799999997</v>
      </c>
      <c r="E68" s="243">
        <v>0</v>
      </c>
      <c r="F68" s="243">
        <v>0</v>
      </c>
      <c r="G68" s="242">
        <f>D68-E68</f>
        <v>68632616.799999997</v>
      </c>
    </row>
    <row r="69" spans="1:7" x14ac:dyDescent="0.25">
      <c r="A69" s="246" t="s">
        <v>144</v>
      </c>
      <c r="B69" s="244">
        <f>SUM(B70:B72)</f>
        <v>0</v>
      </c>
      <c r="C69" s="244">
        <f>SUM(C70:C72)</f>
        <v>0</v>
      </c>
      <c r="D69" s="244">
        <f>B69+C69</f>
        <v>0</v>
      </c>
      <c r="E69" s="244">
        <f>SUM(E70:E72)</f>
        <v>0</v>
      </c>
      <c r="F69" s="244">
        <f>SUM(F70:F72)</f>
        <v>0</v>
      </c>
      <c r="G69" s="242">
        <f>D69-E69</f>
        <v>0</v>
      </c>
    </row>
    <row r="70" spans="1:7" x14ac:dyDescent="0.25">
      <c r="A70" s="245" t="s">
        <v>143</v>
      </c>
      <c r="B70" s="243"/>
      <c r="C70" s="243"/>
      <c r="D70" s="244">
        <f>B70+C70</f>
        <v>0</v>
      </c>
      <c r="E70" s="243"/>
      <c r="F70" s="243"/>
      <c r="G70" s="242">
        <f>D70-E70</f>
        <v>0</v>
      </c>
    </row>
    <row r="71" spans="1:7" x14ac:dyDescent="0.25">
      <c r="A71" s="245" t="s">
        <v>142</v>
      </c>
      <c r="B71" s="243"/>
      <c r="C71" s="243"/>
      <c r="D71" s="244">
        <f>B71+C71</f>
        <v>0</v>
      </c>
      <c r="E71" s="243"/>
      <c r="F71" s="243"/>
      <c r="G71" s="242">
        <f>D71-E71</f>
        <v>0</v>
      </c>
    </row>
    <row r="72" spans="1:7" x14ac:dyDescent="0.25">
      <c r="A72" s="245" t="s">
        <v>141</v>
      </c>
      <c r="B72" s="243"/>
      <c r="C72" s="243"/>
      <c r="D72" s="244">
        <f>B72+C72</f>
        <v>0</v>
      </c>
      <c r="E72" s="243"/>
      <c r="F72" s="243"/>
      <c r="G72" s="242">
        <f>D72-E72</f>
        <v>0</v>
      </c>
    </row>
    <row r="73" spans="1:7" x14ac:dyDescent="0.25">
      <c r="A73" s="246" t="s">
        <v>140</v>
      </c>
      <c r="B73" s="244">
        <f>SUM(B74:B80)</f>
        <v>6754608</v>
      </c>
      <c r="C73" s="244">
        <f>SUM(C74:C80)</f>
        <v>87042948.590000004</v>
      </c>
      <c r="D73" s="244">
        <f>B73+C73</f>
        <v>93797556.590000004</v>
      </c>
      <c r="E73" s="244">
        <f>SUM(E74:E80)</f>
        <v>83605358.010000005</v>
      </c>
      <c r="F73" s="244">
        <f>SUM(F74:F80)</f>
        <v>81040394.299999997</v>
      </c>
      <c r="G73" s="242">
        <f>D73-E73</f>
        <v>10192198.579999998</v>
      </c>
    </row>
    <row r="74" spans="1:7" x14ac:dyDescent="0.25">
      <c r="A74" s="245" t="s">
        <v>139</v>
      </c>
      <c r="B74" s="243">
        <v>0</v>
      </c>
      <c r="C74" s="243">
        <v>16983455.920000002</v>
      </c>
      <c r="D74" s="244">
        <f>B74+C74</f>
        <v>16983455.920000002</v>
      </c>
      <c r="E74" s="243">
        <v>16983455.920000002</v>
      </c>
      <c r="F74" s="243">
        <v>16983455.920000002</v>
      </c>
      <c r="G74" s="242">
        <f>D74-E74</f>
        <v>0</v>
      </c>
    </row>
    <row r="75" spans="1:7" x14ac:dyDescent="0.25">
      <c r="A75" s="245" t="s">
        <v>138</v>
      </c>
      <c r="B75" s="243">
        <v>0</v>
      </c>
      <c r="C75" s="243">
        <v>30101895.920000002</v>
      </c>
      <c r="D75" s="244">
        <f>B75+C75</f>
        <v>30101895.920000002</v>
      </c>
      <c r="E75" s="243">
        <v>30070597.329999998</v>
      </c>
      <c r="F75" s="243">
        <v>30070597.329999998</v>
      </c>
      <c r="G75" s="242">
        <f>D75-E75</f>
        <v>31298.590000003576</v>
      </c>
    </row>
    <row r="76" spans="1:7" x14ac:dyDescent="0.25">
      <c r="A76" s="245" t="s">
        <v>137</v>
      </c>
      <c r="B76" s="243"/>
      <c r="C76" s="243"/>
      <c r="D76" s="244">
        <f>B76+C76</f>
        <v>0</v>
      </c>
      <c r="E76" s="243"/>
      <c r="F76" s="243"/>
      <c r="G76" s="242">
        <f>D76-E76</f>
        <v>0</v>
      </c>
    </row>
    <row r="77" spans="1:7" x14ac:dyDescent="0.25">
      <c r="A77" s="245" t="s">
        <v>136</v>
      </c>
      <c r="B77" s="243"/>
      <c r="C77" s="243"/>
      <c r="D77" s="244">
        <f>B77+C77</f>
        <v>0</v>
      </c>
      <c r="E77" s="243"/>
      <c r="F77" s="243"/>
      <c r="G77" s="242">
        <f>D77-E77</f>
        <v>0</v>
      </c>
    </row>
    <row r="78" spans="1:7" x14ac:dyDescent="0.25">
      <c r="A78" s="245" t="s">
        <v>135</v>
      </c>
      <c r="B78" s="243"/>
      <c r="C78" s="243"/>
      <c r="D78" s="244">
        <f>B78+C78</f>
        <v>0</v>
      </c>
      <c r="E78" s="243"/>
      <c r="F78" s="243"/>
      <c r="G78" s="242">
        <f>D78-E78</f>
        <v>0</v>
      </c>
    </row>
    <row r="79" spans="1:7" x14ac:dyDescent="0.25">
      <c r="A79" s="245" t="s">
        <v>134</v>
      </c>
      <c r="B79" s="243"/>
      <c r="C79" s="243"/>
      <c r="D79" s="244">
        <f>B79+C79</f>
        <v>0</v>
      </c>
      <c r="E79" s="243"/>
      <c r="F79" s="243"/>
      <c r="G79" s="242">
        <f>D79-E79</f>
        <v>0</v>
      </c>
    </row>
    <row r="80" spans="1:7" ht="15.75" thickBot="1" x14ac:dyDescent="0.3">
      <c r="A80" s="241" t="s">
        <v>133</v>
      </c>
      <c r="B80" s="239">
        <v>6754608</v>
      </c>
      <c r="C80" s="239">
        <v>39957596.75</v>
      </c>
      <c r="D80" s="240">
        <f>B80+C80</f>
        <v>46712204.75</v>
      </c>
      <c r="E80" s="239">
        <v>36551304.760000005</v>
      </c>
      <c r="F80" s="239">
        <v>33986341.049999997</v>
      </c>
      <c r="G80" s="238">
        <f>D80-E80</f>
        <v>10160899.989999995</v>
      </c>
    </row>
    <row r="81" spans="1:7" ht="15.75" thickBot="1" x14ac:dyDescent="0.3">
      <c r="A81" s="237" t="s">
        <v>132</v>
      </c>
      <c r="B81" s="236">
        <f>B73+B69+B61+B57+B47+B37+B27+B17+B9</f>
        <v>578850855.75</v>
      </c>
      <c r="C81" s="236">
        <f>C73+C69+C61+C57+C47+C37+C27+C17+C9</f>
        <v>370631441.71000004</v>
      </c>
      <c r="D81" s="236">
        <f>B81+C81</f>
        <v>949482297.46000004</v>
      </c>
      <c r="E81" s="236">
        <f>E73+E69+E61+E57+E47+E37+E27+E17+E9</f>
        <v>693922767.47000003</v>
      </c>
      <c r="F81" s="236">
        <f>F73+F69+F61+F57+F47+F37+F27+F17+F9</f>
        <v>646587490.44000006</v>
      </c>
      <c r="G81" s="235">
        <f>D81-E81</f>
        <v>255559529.99000001</v>
      </c>
    </row>
    <row r="82" spans="1:7" x14ac:dyDescent="0.25">
      <c r="A82" s="234"/>
      <c r="B82" s="233"/>
      <c r="C82" s="233"/>
      <c r="D82" s="233"/>
      <c r="E82" s="233"/>
      <c r="F82" s="233"/>
      <c r="G82" s="233"/>
    </row>
    <row r="83" spans="1:7" x14ac:dyDescent="0.25">
      <c r="A83" s="234"/>
      <c r="B83" s="233"/>
      <c r="C83" s="233"/>
      <c r="D83" s="233"/>
      <c r="E83" s="233"/>
      <c r="F83" s="233"/>
      <c r="G83" s="233"/>
    </row>
    <row r="84" spans="1:7" x14ac:dyDescent="0.25">
      <c r="A84" s="234"/>
      <c r="B84" s="233"/>
      <c r="C84" s="233"/>
      <c r="D84" s="233"/>
      <c r="E84" s="233"/>
      <c r="F84" s="233"/>
      <c r="G84" s="233"/>
    </row>
    <row r="85" spans="1:7" x14ac:dyDescent="0.25">
      <c r="A85" s="234"/>
      <c r="B85" s="233"/>
      <c r="C85" s="233"/>
      <c r="D85" s="233"/>
      <c r="E85" s="233"/>
      <c r="F85" s="233"/>
      <c r="G85" s="233"/>
    </row>
    <row r="86" spans="1:7" x14ac:dyDescent="0.25">
      <c r="A86" s="234"/>
      <c r="B86" s="233"/>
      <c r="C86" s="233"/>
      <c r="D86" s="233"/>
      <c r="E86" s="233"/>
      <c r="F86" s="233"/>
      <c r="G86" s="233"/>
    </row>
    <row r="87" spans="1:7" x14ac:dyDescent="0.25">
      <c r="A87" s="234"/>
      <c r="B87" s="233"/>
      <c r="C87" s="233"/>
      <c r="D87" s="233"/>
      <c r="E87" s="233"/>
      <c r="F87" s="233"/>
      <c r="G87" s="233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  <row r="91" spans="1:7" ht="16.5" x14ac:dyDescent="0.25">
      <c r="A91" s="1"/>
      <c r="B91" s="1"/>
      <c r="C91" s="1"/>
      <c r="D91" s="1"/>
      <c r="E91" s="1"/>
      <c r="F91" s="1"/>
      <c r="G91" s="1"/>
    </row>
  </sheetData>
  <sheetProtection sheet="1" scenarios="1" formatColumns="0" formatRows="0"/>
  <mergeCells count="7">
    <mergeCell ref="A7:A8"/>
    <mergeCell ref="A1:G1"/>
    <mergeCell ref="A2:G2"/>
    <mergeCell ref="A3:G3"/>
    <mergeCell ref="A4:G4"/>
    <mergeCell ref="A5:G5"/>
    <mergeCell ref="A6:E6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3E1A2-AD24-4C82-B29E-11E91C92D976}">
  <dimension ref="A1:I160"/>
  <sheetViews>
    <sheetView view="pageBreakPreview" topLeftCell="A73" zoomScaleNormal="100" zoomScaleSheetLayoutView="100" workbookViewId="0">
      <selection activeCell="J40" sqref="J40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14.28515625" customWidth="1"/>
    <col min="4" max="4" width="12.5703125" customWidth="1"/>
    <col min="5" max="6" width="13.5703125" customWidth="1"/>
    <col min="7" max="7" width="13" customWidth="1"/>
    <col min="8" max="8" width="12.7109375" customWidth="1"/>
  </cols>
  <sheetData>
    <row r="1" spans="1:8" ht="15.75" x14ac:dyDescent="0.25">
      <c r="A1" s="306" t="s">
        <v>42</v>
      </c>
      <c r="B1" s="305"/>
      <c r="C1" s="305"/>
      <c r="D1" s="305"/>
      <c r="E1" s="305"/>
      <c r="F1" s="305"/>
      <c r="G1" s="305"/>
      <c r="H1" s="304"/>
    </row>
    <row r="2" spans="1:8" ht="15.75" x14ac:dyDescent="0.25">
      <c r="A2" s="303" t="str">
        <f>'[1]ETCA-I-01'!A3:G3</f>
        <v>Comision Estatal del Agua</v>
      </c>
      <c r="B2" s="106"/>
      <c r="C2" s="106"/>
      <c r="D2" s="106"/>
      <c r="E2" s="106"/>
      <c r="F2" s="106"/>
      <c r="G2" s="106"/>
      <c r="H2" s="302"/>
    </row>
    <row r="3" spans="1:8" x14ac:dyDescent="0.25">
      <c r="A3" s="301" t="s">
        <v>300</v>
      </c>
      <c r="B3" s="300"/>
      <c r="C3" s="300"/>
      <c r="D3" s="300"/>
      <c r="E3" s="300"/>
      <c r="F3" s="300"/>
      <c r="G3" s="300"/>
      <c r="H3" s="299"/>
    </row>
    <row r="4" spans="1:8" x14ac:dyDescent="0.25">
      <c r="A4" s="301" t="s">
        <v>299</v>
      </c>
      <c r="B4" s="300"/>
      <c r="C4" s="300"/>
      <c r="D4" s="300"/>
      <c r="E4" s="300"/>
      <c r="F4" s="300"/>
      <c r="G4" s="300"/>
      <c r="H4" s="299"/>
    </row>
    <row r="5" spans="1:8" x14ac:dyDescent="0.25">
      <c r="A5" s="301" t="str">
        <f>'ETCA-II-02'!A4:I4</f>
        <v>Del 01 de Enero al 31 de Diciembre de 2019</v>
      </c>
      <c r="B5" s="300"/>
      <c r="C5" s="300"/>
      <c r="D5" s="300"/>
      <c r="E5" s="300"/>
      <c r="F5" s="300"/>
      <c r="G5" s="300"/>
      <c r="H5" s="299"/>
    </row>
    <row r="6" spans="1:8" ht="15.75" thickBot="1" x14ac:dyDescent="0.3">
      <c r="A6" s="290" t="s">
        <v>40</v>
      </c>
      <c r="B6" s="298"/>
      <c r="C6" s="298"/>
      <c r="D6" s="298"/>
      <c r="E6" s="298"/>
      <c r="F6" s="298"/>
      <c r="G6" s="298"/>
      <c r="H6" s="297"/>
    </row>
    <row r="7" spans="1:8" ht="15.75" thickBot="1" x14ac:dyDescent="0.3">
      <c r="A7" s="296" t="s">
        <v>298</v>
      </c>
      <c r="B7" s="295"/>
      <c r="C7" s="294" t="s">
        <v>297</v>
      </c>
      <c r="D7" s="293"/>
      <c r="E7" s="293"/>
      <c r="F7" s="293"/>
      <c r="G7" s="292"/>
      <c r="H7" s="291" t="s">
        <v>296</v>
      </c>
    </row>
    <row r="8" spans="1:8" ht="18.75" thickBot="1" x14ac:dyDescent="0.3">
      <c r="A8" s="290"/>
      <c r="B8" s="289"/>
      <c r="C8" s="287" t="s">
        <v>295</v>
      </c>
      <c r="D8" s="288" t="s">
        <v>294</v>
      </c>
      <c r="E8" s="287" t="s">
        <v>293</v>
      </c>
      <c r="F8" s="287" t="s">
        <v>110</v>
      </c>
      <c r="G8" s="287" t="s">
        <v>292</v>
      </c>
      <c r="H8" s="286"/>
    </row>
    <row r="9" spans="1:8" x14ac:dyDescent="0.25">
      <c r="A9" s="285"/>
      <c r="B9" s="283"/>
      <c r="C9" s="283"/>
      <c r="D9" s="284"/>
      <c r="E9" s="283"/>
      <c r="F9" s="283"/>
      <c r="G9" s="283"/>
      <c r="H9" s="282"/>
    </row>
    <row r="10" spans="1:8" x14ac:dyDescent="0.25">
      <c r="A10" s="281" t="s">
        <v>291</v>
      </c>
      <c r="B10" s="280"/>
      <c r="C10" s="279">
        <f>+C11+C19+C29+C39+C49+C59+C63+C72+C76</f>
        <v>512550855.75</v>
      </c>
      <c r="D10" s="279">
        <f>+D11+D19+D29+D39+D49+D59+D63+D72+D76</f>
        <v>214857954.00999999</v>
      </c>
      <c r="E10" s="279">
        <f>+E11+E19+E29+E39+E49+E59+E63+E72+E76</f>
        <v>727408809.75999999</v>
      </c>
      <c r="F10" s="279">
        <f>+F11+F19+F29+F39+F49+F59+F63+F72+F76</f>
        <v>574789549.67000008</v>
      </c>
      <c r="G10" s="279">
        <f>+G11+G19+G29+G39+G49+G59+G63+G72+G76</f>
        <v>527489413.45999998</v>
      </c>
      <c r="H10" s="279">
        <f>+H11+H19+H29+H39+H49+H59+H63+H72+H76</f>
        <v>152619260.08999997</v>
      </c>
    </row>
    <row r="11" spans="1:8" x14ac:dyDescent="0.25">
      <c r="A11" s="272" t="s">
        <v>289</v>
      </c>
      <c r="B11" s="271"/>
      <c r="C11" s="267">
        <f>SUM(C12:C18)</f>
        <v>205993811.70999998</v>
      </c>
      <c r="D11" s="267">
        <f>SUM(D12:D18)</f>
        <v>11605204.49</v>
      </c>
      <c r="E11" s="267">
        <f>SUM(E12:E18)</f>
        <v>217599016.19999996</v>
      </c>
      <c r="F11" s="267">
        <f>SUM(F12:F18)</f>
        <v>209735800.22</v>
      </c>
      <c r="G11" s="267">
        <f>SUM(G12:G18)</f>
        <v>201718401.25999996</v>
      </c>
      <c r="H11" s="267">
        <f>SUM(H12:H18)</f>
        <v>7863215.979999966</v>
      </c>
    </row>
    <row r="12" spans="1:8" x14ac:dyDescent="0.25">
      <c r="A12" s="269"/>
      <c r="B12" s="268" t="s">
        <v>288</v>
      </c>
      <c r="C12" s="270">
        <v>116272081.35999997</v>
      </c>
      <c r="D12" s="270">
        <v>3024155.49</v>
      </c>
      <c r="E12" s="267">
        <f>C12+D12</f>
        <v>119296236.84999996</v>
      </c>
      <c r="F12" s="270">
        <v>116154134.29000001</v>
      </c>
      <c r="G12" s="270">
        <v>112024731.86999999</v>
      </c>
      <c r="H12" s="266">
        <f>+E12-F12</f>
        <v>3142102.5599999577</v>
      </c>
    </row>
    <row r="13" spans="1:8" x14ac:dyDescent="0.25">
      <c r="A13" s="269"/>
      <c r="B13" s="268" t="s">
        <v>287</v>
      </c>
      <c r="C13" s="270">
        <v>2501479.84</v>
      </c>
      <c r="D13" s="270">
        <v>-693905.25</v>
      </c>
      <c r="E13" s="267">
        <f>C13+D13</f>
        <v>1807574.5899999999</v>
      </c>
      <c r="F13" s="270">
        <v>1541864.8900000001</v>
      </c>
      <c r="G13" s="270">
        <v>1475821.47</v>
      </c>
      <c r="H13" s="266">
        <f>+E13-F13</f>
        <v>265709.69999999972</v>
      </c>
    </row>
    <row r="14" spans="1:8" x14ac:dyDescent="0.25">
      <c r="A14" s="269"/>
      <c r="B14" s="268" t="s">
        <v>286</v>
      </c>
      <c r="C14" s="270">
        <v>10186764.629999999</v>
      </c>
      <c r="D14" s="270">
        <v>3226262.25</v>
      </c>
      <c r="E14" s="267">
        <f>C14+D14</f>
        <v>13413026.879999999</v>
      </c>
      <c r="F14" s="270">
        <v>11464146.810000002</v>
      </c>
      <c r="G14" s="270">
        <v>11311413.239999998</v>
      </c>
      <c r="H14" s="266">
        <f>+E14-F14</f>
        <v>1948880.0699999966</v>
      </c>
    </row>
    <row r="15" spans="1:8" x14ac:dyDescent="0.25">
      <c r="A15" s="269"/>
      <c r="B15" s="268" t="s">
        <v>285</v>
      </c>
      <c r="C15" s="270">
        <v>39996929.230000004</v>
      </c>
      <c r="D15" s="270">
        <v>2069639</v>
      </c>
      <c r="E15" s="267">
        <f>C15+D15</f>
        <v>42066568.230000004</v>
      </c>
      <c r="F15" s="270">
        <v>41032923.989999995</v>
      </c>
      <c r="G15" s="270">
        <v>37617699.229999997</v>
      </c>
      <c r="H15" s="266">
        <f>+E15-F15</f>
        <v>1033644.2400000095</v>
      </c>
    </row>
    <row r="16" spans="1:8" x14ac:dyDescent="0.25">
      <c r="A16" s="269"/>
      <c r="B16" s="268" t="s">
        <v>284</v>
      </c>
      <c r="C16" s="270">
        <v>36222358.650000006</v>
      </c>
      <c r="D16" s="270">
        <v>3880061</v>
      </c>
      <c r="E16" s="267">
        <f>C16+D16</f>
        <v>40102419.650000006</v>
      </c>
      <c r="F16" s="270">
        <v>38629540.200000003</v>
      </c>
      <c r="G16" s="270">
        <v>38523990.409999996</v>
      </c>
      <c r="H16" s="266">
        <f>+E16-F16</f>
        <v>1472879.450000003</v>
      </c>
    </row>
    <row r="17" spans="1:8" x14ac:dyDescent="0.25">
      <c r="A17" s="269"/>
      <c r="B17" s="268" t="s">
        <v>283</v>
      </c>
      <c r="C17" s="270"/>
      <c r="D17" s="270"/>
      <c r="E17" s="267">
        <f>C17+D17</f>
        <v>0</v>
      </c>
      <c r="F17" s="270"/>
      <c r="G17" s="270"/>
      <c r="H17" s="266">
        <f>+E17-F17</f>
        <v>0</v>
      </c>
    </row>
    <row r="18" spans="1:8" x14ac:dyDescent="0.25">
      <c r="A18" s="269"/>
      <c r="B18" s="268" t="s">
        <v>282</v>
      </c>
      <c r="C18" s="270">
        <v>814198</v>
      </c>
      <c r="D18" s="270">
        <v>98992</v>
      </c>
      <c r="E18" s="267">
        <f>C18+D18</f>
        <v>913190</v>
      </c>
      <c r="F18" s="270">
        <v>913190.04</v>
      </c>
      <c r="G18" s="270">
        <v>764745.04</v>
      </c>
      <c r="H18" s="266">
        <f>+E18-F18</f>
        <v>-4.0000000037252903E-2</v>
      </c>
    </row>
    <row r="19" spans="1:8" x14ac:dyDescent="0.25">
      <c r="A19" s="272" t="s">
        <v>281</v>
      </c>
      <c r="B19" s="271"/>
      <c r="C19" s="267">
        <f>SUM(C20:C28)</f>
        <v>29616487.420000006</v>
      </c>
      <c r="D19" s="267">
        <f>SUM(D20:D28)</f>
        <v>1723823.3599999999</v>
      </c>
      <c r="E19" s="267">
        <f>SUM(E20:E28)</f>
        <v>31340310.780000001</v>
      </c>
      <c r="F19" s="267">
        <f>SUM(F20:F28)</f>
        <v>26785641.120000001</v>
      </c>
      <c r="G19" s="267">
        <f>SUM(G20:G28)</f>
        <v>20428267.289999999</v>
      </c>
      <c r="H19" s="267">
        <f>SUM(H20:H28)</f>
        <v>4554669.6600000029</v>
      </c>
    </row>
    <row r="20" spans="1:8" x14ac:dyDescent="0.25">
      <c r="A20" s="269"/>
      <c r="B20" s="268" t="s">
        <v>280</v>
      </c>
      <c r="C20" s="270">
        <v>2140406.7799999998</v>
      </c>
      <c r="D20" s="270">
        <v>-92060.87</v>
      </c>
      <c r="E20" s="267">
        <f>C20+D20</f>
        <v>2048345.9099999997</v>
      </c>
      <c r="F20" s="270">
        <v>1233703.02</v>
      </c>
      <c r="G20" s="270">
        <v>1161267.73</v>
      </c>
      <c r="H20" s="266">
        <f>+E20-F20</f>
        <v>814642.88999999966</v>
      </c>
    </row>
    <row r="21" spans="1:8" x14ac:dyDescent="0.25">
      <c r="A21" s="269"/>
      <c r="B21" s="268" t="s">
        <v>279</v>
      </c>
      <c r="C21" s="270">
        <v>481582</v>
      </c>
      <c r="D21" s="270">
        <v>286375</v>
      </c>
      <c r="E21" s="267">
        <f>C21+D21</f>
        <v>767957</v>
      </c>
      <c r="F21" s="270">
        <v>706055.79999999993</v>
      </c>
      <c r="G21" s="270">
        <v>595079.80999999994</v>
      </c>
      <c r="H21" s="266">
        <f>+E21-F21</f>
        <v>61901.20000000007</v>
      </c>
    </row>
    <row r="22" spans="1:8" x14ac:dyDescent="0.25">
      <c r="A22" s="269"/>
      <c r="B22" s="268" t="s">
        <v>278</v>
      </c>
      <c r="C22" s="270">
        <v>6160974.3700000001</v>
      </c>
      <c r="D22" s="270">
        <v>403899</v>
      </c>
      <c r="E22" s="267">
        <f>C22+D22</f>
        <v>6564873.3700000001</v>
      </c>
      <c r="F22" s="270">
        <v>6251586.1799999997</v>
      </c>
      <c r="G22" s="270">
        <v>4495655.9400000004</v>
      </c>
      <c r="H22" s="266">
        <f>+E22-F22</f>
        <v>313287.19000000041</v>
      </c>
    </row>
    <row r="23" spans="1:8" x14ac:dyDescent="0.25">
      <c r="A23" s="269"/>
      <c r="B23" s="268" t="s">
        <v>277</v>
      </c>
      <c r="C23" s="270">
        <v>667519</v>
      </c>
      <c r="D23" s="270">
        <v>-87134</v>
      </c>
      <c r="E23" s="267">
        <f>C23+D23</f>
        <v>580385</v>
      </c>
      <c r="F23" s="270">
        <v>497558.49000000005</v>
      </c>
      <c r="G23" s="270">
        <v>490649.26</v>
      </c>
      <c r="H23" s="266">
        <f>+E23-F23</f>
        <v>82826.509999999951</v>
      </c>
    </row>
    <row r="24" spans="1:8" x14ac:dyDescent="0.25">
      <c r="A24" s="269"/>
      <c r="B24" s="268" t="s">
        <v>276</v>
      </c>
      <c r="C24" s="270">
        <v>7650860.7300000004</v>
      </c>
      <c r="D24" s="270">
        <v>-3504901.96</v>
      </c>
      <c r="E24" s="267">
        <f>C24+D24</f>
        <v>4145958.7700000005</v>
      </c>
      <c r="F24" s="270">
        <v>1950795.79</v>
      </c>
      <c r="G24" s="270">
        <v>-1162219.49</v>
      </c>
      <c r="H24" s="266">
        <f>+E24-F24</f>
        <v>2195162.9800000004</v>
      </c>
    </row>
    <row r="25" spans="1:8" x14ac:dyDescent="0.25">
      <c r="A25" s="269"/>
      <c r="B25" s="268" t="s">
        <v>275</v>
      </c>
      <c r="C25" s="270">
        <v>8047205.2999999998</v>
      </c>
      <c r="D25" s="270">
        <v>3776291</v>
      </c>
      <c r="E25" s="267">
        <f>C25+D25</f>
        <v>11823496.300000001</v>
      </c>
      <c r="F25" s="270">
        <v>11779953.649999999</v>
      </c>
      <c r="G25" s="270">
        <v>10865844.65</v>
      </c>
      <c r="H25" s="266">
        <f>+E25-F25</f>
        <v>43542.650000002235</v>
      </c>
    </row>
    <row r="26" spans="1:8" x14ac:dyDescent="0.25">
      <c r="A26" s="269"/>
      <c r="B26" s="268" t="s">
        <v>274</v>
      </c>
      <c r="C26" s="270">
        <v>2071526.8</v>
      </c>
      <c r="D26" s="270">
        <v>-49748</v>
      </c>
      <c r="E26" s="267">
        <f>C26+D26</f>
        <v>2021778.8</v>
      </c>
      <c r="F26" s="270">
        <v>1297866.3500000001</v>
      </c>
      <c r="G26" s="270">
        <v>1071571.6199999999</v>
      </c>
      <c r="H26" s="266">
        <f>+E26-F26</f>
        <v>723912.45</v>
      </c>
    </row>
    <row r="27" spans="1:8" x14ac:dyDescent="0.25">
      <c r="A27" s="269"/>
      <c r="B27" s="268" t="s">
        <v>273</v>
      </c>
      <c r="C27" s="270"/>
      <c r="D27" s="270"/>
      <c r="E27" s="267">
        <f>C27+D27</f>
        <v>0</v>
      </c>
      <c r="F27" s="270"/>
      <c r="G27" s="270"/>
      <c r="H27" s="266">
        <f>+E27-F27</f>
        <v>0</v>
      </c>
    </row>
    <row r="28" spans="1:8" x14ac:dyDescent="0.25">
      <c r="A28" s="269"/>
      <c r="B28" s="268" t="s">
        <v>272</v>
      </c>
      <c r="C28" s="270">
        <v>2396412.44</v>
      </c>
      <c r="D28" s="270">
        <v>991103.19</v>
      </c>
      <c r="E28" s="267">
        <f>C28+D28</f>
        <v>3387515.63</v>
      </c>
      <c r="F28" s="270">
        <v>3068121.84</v>
      </c>
      <c r="G28" s="270">
        <v>2910417.7700000005</v>
      </c>
      <c r="H28" s="266">
        <f>+E28-F28</f>
        <v>319393.79000000004</v>
      </c>
    </row>
    <row r="29" spans="1:8" x14ac:dyDescent="0.25">
      <c r="A29" s="272" t="s">
        <v>271</v>
      </c>
      <c r="B29" s="271"/>
      <c r="C29" s="267">
        <f>SUM(C30:C38)</f>
        <v>144642119.81999999</v>
      </c>
      <c r="D29" s="267">
        <f>SUM(D30:D38)</f>
        <v>53059695.640000001</v>
      </c>
      <c r="E29" s="267">
        <f>SUM(E30:E38)</f>
        <v>197701815.45999998</v>
      </c>
      <c r="F29" s="267">
        <f>SUM(F30:F38)</f>
        <v>166182321.36000001</v>
      </c>
      <c r="G29" s="267">
        <f>SUM(G30:G38)</f>
        <v>138927620.18000001</v>
      </c>
      <c r="H29" s="267">
        <f>SUM(H30:H38)</f>
        <v>31519494.099999998</v>
      </c>
    </row>
    <row r="30" spans="1:8" s="278" customFormat="1" x14ac:dyDescent="0.25">
      <c r="A30" s="269"/>
      <c r="B30" s="268" t="s">
        <v>270</v>
      </c>
      <c r="C30" s="270">
        <v>84741042.400000006</v>
      </c>
      <c r="D30" s="270">
        <v>13678950.82</v>
      </c>
      <c r="E30" s="267">
        <f>C30+D30</f>
        <v>98419993.219999999</v>
      </c>
      <c r="F30" s="270">
        <v>95807313.75</v>
      </c>
      <c r="G30" s="270">
        <v>91367720.140000001</v>
      </c>
      <c r="H30" s="266">
        <f>+E30-F30</f>
        <v>2612679.4699999988</v>
      </c>
    </row>
    <row r="31" spans="1:8" x14ac:dyDescent="0.25">
      <c r="A31" s="269"/>
      <c r="B31" s="268" t="s">
        <v>269</v>
      </c>
      <c r="C31" s="270">
        <v>5447594.5</v>
      </c>
      <c r="D31" s="270">
        <v>721981</v>
      </c>
      <c r="E31" s="267">
        <f>C31+D31</f>
        <v>6169575.5</v>
      </c>
      <c r="F31" s="270">
        <v>5493910.5999999996</v>
      </c>
      <c r="G31" s="270">
        <v>4779168.63</v>
      </c>
      <c r="H31" s="266">
        <f>+E31-F31</f>
        <v>675664.90000000037</v>
      </c>
    </row>
    <row r="32" spans="1:8" x14ac:dyDescent="0.25">
      <c r="A32" s="269"/>
      <c r="B32" s="268" t="s">
        <v>268</v>
      </c>
      <c r="C32" s="270">
        <v>14547135.59</v>
      </c>
      <c r="D32" s="270">
        <v>9784942.0700000003</v>
      </c>
      <c r="E32" s="267">
        <f>C32+D32</f>
        <v>24332077.66</v>
      </c>
      <c r="F32" s="270">
        <v>20886977.379999999</v>
      </c>
      <c r="G32" s="270">
        <v>18047690.770000003</v>
      </c>
      <c r="H32" s="266">
        <f>+E32-F32</f>
        <v>3445100.2800000012</v>
      </c>
    </row>
    <row r="33" spans="1:8" x14ac:dyDescent="0.25">
      <c r="A33" s="269"/>
      <c r="B33" s="268" t="s">
        <v>267</v>
      </c>
      <c r="C33" s="270">
        <v>20606315.139999997</v>
      </c>
      <c r="D33" s="270">
        <v>-4203238.8</v>
      </c>
      <c r="E33" s="267">
        <f>C33+D33</f>
        <v>16403076.339999996</v>
      </c>
      <c r="F33" s="270">
        <v>13981398.680000002</v>
      </c>
      <c r="G33" s="270">
        <v>12156402.619999999</v>
      </c>
      <c r="H33" s="266">
        <f>+E33-F33</f>
        <v>2421677.6599999946</v>
      </c>
    </row>
    <row r="34" spans="1:8" x14ac:dyDescent="0.25">
      <c r="A34" s="269"/>
      <c r="B34" s="268" t="s">
        <v>266</v>
      </c>
      <c r="C34" s="270">
        <v>8138504.7400000002</v>
      </c>
      <c r="D34" s="270">
        <v>2559173.5500000003</v>
      </c>
      <c r="E34" s="267">
        <f>C34+D34</f>
        <v>10697678.290000001</v>
      </c>
      <c r="F34" s="270">
        <v>7150302.5300000003</v>
      </c>
      <c r="G34" s="270">
        <v>5061252.58</v>
      </c>
      <c r="H34" s="266">
        <f>+E34-F34</f>
        <v>3547375.7600000007</v>
      </c>
    </row>
    <row r="35" spans="1:8" x14ac:dyDescent="0.25">
      <c r="A35" s="269"/>
      <c r="B35" s="268" t="s">
        <v>265</v>
      </c>
      <c r="C35" s="270">
        <v>1067467.54</v>
      </c>
      <c r="D35" s="270">
        <v>273905</v>
      </c>
      <c r="E35" s="267">
        <f>C35+D35</f>
        <v>1341372.54</v>
      </c>
      <c r="F35" s="270">
        <v>1159910</v>
      </c>
      <c r="G35" s="270">
        <v>519590</v>
      </c>
      <c r="H35" s="266">
        <f>+E35-F35</f>
        <v>181462.54000000004</v>
      </c>
    </row>
    <row r="36" spans="1:8" x14ac:dyDescent="0.25">
      <c r="A36" s="269"/>
      <c r="B36" s="268" t="s">
        <v>264</v>
      </c>
      <c r="C36" s="270">
        <v>2980396.39</v>
      </c>
      <c r="D36" s="270">
        <v>74790</v>
      </c>
      <c r="E36" s="267">
        <f>C36+D36</f>
        <v>3055186.39</v>
      </c>
      <c r="F36" s="270">
        <v>2580607.0600000005</v>
      </c>
      <c r="G36" s="270">
        <v>2429827.1300000004</v>
      </c>
      <c r="H36" s="266">
        <f>+E36-F36</f>
        <v>474579.32999999961</v>
      </c>
    </row>
    <row r="37" spans="1:8" x14ac:dyDescent="0.25">
      <c r="A37" s="269"/>
      <c r="B37" s="268" t="s">
        <v>263</v>
      </c>
      <c r="C37" s="270">
        <v>83139</v>
      </c>
      <c r="D37" s="270">
        <v>175530</v>
      </c>
      <c r="E37" s="267">
        <f>C37+D37</f>
        <v>258669</v>
      </c>
      <c r="F37" s="270">
        <v>258412.40000000002</v>
      </c>
      <c r="G37" s="270">
        <v>258412.40000000002</v>
      </c>
      <c r="H37" s="266">
        <f>+E37-F37</f>
        <v>256.59999999997672</v>
      </c>
    </row>
    <row r="38" spans="1:8" ht="15.75" thickBot="1" x14ac:dyDescent="0.3">
      <c r="A38" s="277"/>
      <c r="B38" s="276" t="s">
        <v>262</v>
      </c>
      <c r="C38" s="274">
        <v>7030524.5200000005</v>
      </c>
      <c r="D38" s="274">
        <v>29993662</v>
      </c>
      <c r="E38" s="275">
        <f>C38+D38</f>
        <v>37024186.520000003</v>
      </c>
      <c r="F38" s="274">
        <v>18863488.960000001</v>
      </c>
      <c r="G38" s="274">
        <v>4307555.91</v>
      </c>
      <c r="H38" s="273">
        <f>+E38-F38</f>
        <v>18160697.560000002</v>
      </c>
    </row>
    <row r="39" spans="1:8" x14ac:dyDescent="0.25">
      <c r="A39" s="272" t="s">
        <v>261</v>
      </c>
      <c r="B39" s="271"/>
      <c r="C39" s="267">
        <f>SUM(C40:C48)</f>
        <v>0</v>
      </c>
      <c r="D39" s="267">
        <f>SUM(D40:D48)</f>
        <v>19479304.920000002</v>
      </c>
      <c r="E39" s="267">
        <f>SUM(E40:E48)</f>
        <v>19479304.920000002</v>
      </c>
      <c r="F39" s="267">
        <f>SUM(F40:F48)</f>
        <v>19392117</v>
      </c>
      <c r="G39" s="267">
        <f>SUM(G40:G48)</f>
        <v>19081080</v>
      </c>
      <c r="H39" s="267">
        <f>SUM(H40:H48)</f>
        <v>87187.920000001788</v>
      </c>
    </row>
    <row r="40" spans="1:8" x14ac:dyDescent="0.25">
      <c r="A40" s="269"/>
      <c r="B40" s="268" t="s">
        <v>260</v>
      </c>
      <c r="C40" s="270"/>
      <c r="D40" s="270"/>
      <c r="E40" s="267">
        <f>C40+D40</f>
        <v>0</v>
      </c>
      <c r="F40" s="270"/>
      <c r="G40" s="270"/>
      <c r="H40" s="266">
        <f>+E40-F40</f>
        <v>0</v>
      </c>
    </row>
    <row r="41" spans="1:8" x14ac:dyDescent="0.25">
      <c r="A41" s="269"/>
      <c r="B41" s="268" t="s">
        <v>259</v>
      </c>
      <c r="C41" s="270">
        <v>0</v>
      </c>
      <c r="D41" s="270">
        <v>19479304.920000002</v>
      </c>
      <c r="E41" s="267">
        <f>C41+D41</f>
        <v>19479304.920000002</v>
      </c>
      <c r="F41" s="270">
        <v>19392117</v>
      </c>
      <c r="G41" s="270">
        <v>19081080</v>
      </c>
      <c r="H41" s="266">
        <f>+E41-F41</f>
        <v>87187.920000001788</v>
      </c>
    </row>
    <row r="42" spans="1:8" x14ac:dyDescent="0.25">
      <c r="A42" s="269"/>
      <c r="B42" s="268" t="s">
        <v>258</v>
      </c>
      <c r="C42" s="270"/>
      <c r="D42" s="270"/>
      <c r="E42" s="267">
        <f>C42+D42</f>
        <v>0</v>
      </c>
      <c r="F42" s="270"/>
      <c r="G42" s="270"/>
      <c r="H42" s="266">
        <f>+E42-F42</f>
        <v>0</v>
      </c>
    </row>
    <row r="43" spans="1:8" x14ac:dyDescent="0.25">
      <c r="A43" s="269"/>
      <c r="B43" s="268" t="s">
        <v>257</v>
      </c>
      <c r="C43" s="270"/>
      <c r="D43" s="270"/>
      <c r="E43" s="267">
        <f>C43+D43</f>
        <v>0</v>
      </c>
      <c r="F43" s="270"/>
      <c r="G43" s="270"/>
      <c r="H43" s="266">
        <f>+E43-F43</f>
        <v>0</v>
      </c>
    </row>
    <row r="44" spans="1:8" x14ac:dyDescent="0.25">
      <c r="A44" s="269"/>
      <c r="B44" s="268" t="s">
        <v>256</v>
      </c>
      <c r="C44" s="270"/>
      <c r="D44" s="270"/>
      <c r="E44" s="267">
        <f>C44+D44</f>
        <v>0</v>
      </c>
      <c r="F44" s="270"/>
      <c r="G44" s="270"/>
      <c r="H44" s="266">
        <f>+E44-F44</f>
        <v>0</v>
      </c>
    </row>
    <row r="45" spans="1:8" x14ac:dyDescent="0.25">
      <c r="A45" s="269"/>
      <c r="B45" s="268" t="s">
        <v>255</v>
      </c>
      <c r="C45" s="270"/>
      <c r="D45" s="270"/>
      <c r="E45" s="267">
        <f>C45+D45</f>
        <v>0</v>
      </c>
      <c r="F45" s="270"/>
      <c r="G45" s="270"/>
      <c r="H45" s="266">
        <f>+E45-F45</f>
        <v>0</v>
      </c>
    </row>
    <row r="46" spans="1:8" x14ac:dyDescent="0.25">
      <c r="A46" s="269"/>
      <c r="B46" s="268" t="s">
        <v>254</v>
      </c>
      <c r="C46" s="270"/>
      <c r="D46" s="270"/>
      <c r="E46" s="267">
        <f>C46+D46</f>
        <v>0</v>
      </c>
      <c r="F46" s="270"/>
      <c r="G46" s="270"/>
      <c r="H46" s="266">
        <f>+E46-F46</f>
        <v>0</v>
      </c>
    </row>
    <row r="47" spans="1:8" x14ac:dyDescent="0.25">
      <c r="A47" s="269"/>
      <c r="B47" s="268" t="s">
        <v>253</v>
      </c>
      <c r="C47" s="270"/>
      <c r="D47" s="270"/>
      <c r="E47" s="267">
        <f>C47+D47</f>
        <v>0</v>
      </c>
      <c r="F47" s="270"/>
      <c r="G47" s="270"/>
      <c r="H47" s="266">
        <f>+E47-F47</f>
        <v>0</v>
      </c>
    </row>
    <row r="48" spans="1:8" x14ac:dyDescent="0.25">
      <c r="A48" s="269"/>
      <c r="B48" s="268" t="s">
        <v>252</v>
      </c>
      <c r="C48" s="270"/>
      <c r="D48" s="270"/>
      <c r="E48" s="267">
        <f>C48+D48</f>
        <v>0</v>
      </c>
      <c r="F48" s="270"/>
      <c r="G48" s="270"/>
      <c r="H48" s="266">
        <f>+E48-F48</f>
        <v>0</v>
      </c>
    </row>
    <row r="49" spans="1:8" x14ac:dyDescent="0.25">
      <c r="A49" s="272" t="s">
        <v>251</v>
      </c>
      <c r="B49" s="271"/>
      <c r="C49" s="267">
        <f>SUM(C50:C58)</f>
        <v>5311212</v>
      </c>
      <c r="D49" s="267">
        <f>SUM(D50:D58)</f>
        <v>1023746.5600000002</v>
      </c>
      <c r="E49" s="267">
        <f>SUM(E50:E58)</f>
        <v>6334958.5600000005</v>
      </c>
      <c r="F49" s="267">
        <f>SUM(F50:F58)</f>
        <v>2524509.23</v>
      </c>
      <c r="G49" s="267">
        <f>SUM(G50:G58)</f>
        <v>903273.03</v>
      </c>
      <c r="H49" s="267">
        <f>SUM(H50:H58)</f>
        <v>3810449.33</v>
      </c>
    </row>
    <row r="50" spans="1:8" x14ac:dyDescent="0.25">
      <c r="A50" s="269"/>
      <c r="B50" s="268" t="s">
        <v>250</v>
      </c>
      <c r="C50" s="270">
        <v>1029997</v>
      </c>
      <c r="D50" s="270">
        <v>1909640.2400000002</v>
      </c>
      <c r="E50" s="267">
        <f>C50+D50</f>
        <v>2939637.24</v>
      </c>
      <c r="F50" s="270">
        <v>1252687.6000000001</v>
      </c>
      <c r="G50" s="270">
        <v>202180</v>
      </c>
      <c r="H50" s="266">
        <f>+E50-F50</f>
        <v>1686949.6400000001</v>
      </c>
    </row>
    <row r="51" spans="1:8" x14ac:dyDescent="0.25">
      <c r="A51" s="269"/>
      <c r="B51" s="268" t="s">
        <v>249</v>
      </c>
      <c r="C51" s="270"/>
      <c r="D51" s="270"/>
      <c r="E51" s="267">
        <f>C51+D51</f>
        <v>0</v>
      </c>
      <c r="F51" s="270"/>
      <c r="G51" s="270"/>
      <c r="H51" s="266">
        <f>+E51-F51</f>
        <v>0</v>
      </c>
    </row>
    <row r="52" spans="1:8" x14ac:dyDescent="0.25">
      <c r="A52" s="269"/>
      <c r="B52" s="268" t="s">
        <v>248</v>
      </c>
      <c r="C52" s="270"/>
      <c r="D52" s="270"/>
      <c r="E52" s="267">
        <f>C52+D52</f>
        <v>0</v>
      </c>
      <c r="F52" s="270"/>
      <c r="G52" s="270"/>
      <c r="H52" s="266">
        <f>+E52-F52</f>
        <v>0</v>
      </c>
    </row>
    <row r="53" spans="1:8" x14ac:dyDescent="0.25">
      <c r="A53" s="269"/>
      <c r="B53" s="268" t="s">
        <v>247</v>
      </c>
      <c r="C53" s="270">
        <v>500000</v>
      </c>
      <c r="D53" s="270">
        <v>-500000</v>
      </c>
      <c r="E53" s="267">
        <f>C53+D53</f>
        <v>0</v>
      </c>
      <c r="F53" s="270">
        <v>0</v>
      </c>
      <c r="G53" s="270">
        <v>0</v>
      </c>
      <c r="H53" s="266">
        <f>+E53-F53</f>
        <v>0</v>
      </c>
    </row>
    <row r="54" spans="1:8" x14ac:dyDescent="0.25">
      <c r="A54" s="269"/>
      <c r="B54" s="268" t="s">
        <v>246</v>
      </c>
      <c r="C54" s="270"/>
      <c r="D54" s="270"/>
      <c r="E54" s="267">
        <f>C54+D54</f>
        <v>0</v>
      </c>
      <c r="F54" s="270"/>
      <c r="G54" s="270"/>
      <c r="H54" s="266">
        <f>+E54-F54</f>
        <v>0</v>
      </c>
    </row>
    <row r="55" spans="1:8" x14ac:dyDescent="0.25">
      <c r="A55" s="269"/>
      <c r="B55" s="268" t="s">
        <v>245</v>
      </c>
      <c r="C55" s="270">
        <v>3781215</v>
      </c>
      <c r="D55" s="270">
        <v>-385893.68000000005</v>
      </c>
      <c r="E55" s="267">
        <f>C55+D55</f>
        <v>3395321.32</v>
      </c>
      <c r="F55" s="270">
        <v>1271821.6299999999</v>
      </c>
      <c r="G55" s="270">
        <v>701093.03</v>
      </c>
      <c r="H55" s="266">
        <f>+E55-F55</f>
        <v>2123499.69</v>
      </c>
    </row>
    <row r="56" spans="1:8" x14ac:dyDescent="0.25">
      <c r="A56" s="269"/>
      <c r="B56" s="268" t="s">
        <v>244</v>
      </c>
      <c r="C56" s="270"/>
      <c r="D56" s="270"/>
      <c r="E56" s="267">
        <f>C56+D56</f>
        <v>0</v>
      </c>
      <c r="F56" s="270"/>
      <c r="G56" s="270"/>
      <c r="H56" s="266">
        <f>+E56-F56</f>
        <v>0</v>
      </c>
    </row>
    <row r="57" spans="1:8" x14ac:dyDescent="0.25">
      <c r="A57" s="269"/>
      <c r="B57" s="268" t="s">
        <v>243</v>
      </c>
      <c r="C57" s="270"/>
      <c r="D57" s="270"/>
      <c r="E57" s="267">
        <f>C57+D57</f>
        <v>0</v>
      </c>
      <c r="F57" s="270"/>
      <c r="G57" s="270"/>
      <c r="H57" s="266">
        <f>+E57-F57</f>
        <v>0</v>
      </c>
    </row>
    <row r="58" spans="1:8" x14ac:dyDescent="0.25">
      <c r="A58" s="269"/>
      <c r="B58" s="268" t="s">
        <v>242</v>
      </c>
      <c r="C58" s="270"/>
      <c r="D58" s="270"/>
      <c r="E58" s="267">
        <f>C58+D58</f>
        <v>0</v>
      </c>
      <c r="F58" s="270"/>
      <c r="G58" s="270"/>
      <c r="H58" s="266">
        <f>+E58-F58</f>
        <v>0</v>
      </c>
    </row>
    <row r="59" spans="1:8" x14ac:dyDescent="0.25">
      <c r="A59" s="272" t="s">
        <v>241</v>
      </c>
      <c r="B59" s="271"/>
      <c r="C59" s="267">
        <f>SUM(C60:C62)</f>
        <v>51600000</v>
      </c>
      <c r="D59" s="267">
        <f>SUM(D60:D62)</f>
        <v>40923230.450000003</v>
      </c>
      <c r="E59" s="267">
        <f>SUM(E60:E62)</f>
        <v>92523230.450000003</v>
      </c>
      <c r="F59" s="267">
        <f>SUM(F60:F62)</f>
        <v>66563802.730000004</v>
      </c>
      <c r="G59" s="267">
        <f>SUM(G60:G62)</f>
        <v>65390377.400000013</v>
      </c>
      <c r="H59" s="267">
        <f>SUM(H60:H62)</f>
        <v>25959427.719999999</v>
      </c>
    </row>
    <row r="60" spans="1:8" x14ac:dyDescent="0.25">
      <c r="A60" s="269"/>
      <c r="B60" s="268" t="s">
        <v>240</v>
      </c>
      <c r="C60" s="270">
        <v>51600000</v>
      </c>
      <c r="D60" s="270">
        <v>40923230.450000003</v>
      </c>
      <c r="E60" s="267">
        <f>C60+D60</f>
        <v>92523230.450000003</v>
      </c>
      <c r="F60" s="270">
        <v>66563802.730000004</v>
      </c>
      <c r="G60" s="270">
        <v>65390377.400000013</v>
      </c>
      <c r="H60" s="266">
        <f>+E60-F60</f>
        <v>25959427.719999999</v>
      </c>
    </row>
    <row r="61" spans="1:8" x14ac:dyDescent="0.25">
      <c r="A61" s="269"/>
      <c r="B61" s="268" t="s">
        <v>239</v>
      </c>
      <c r="C61" s="270"/>
      <c r="D61" s="270"/>
      <c r="E61" s="267">
        <f>C61+D61</f>
        <v>0</v>
      </c>
      <c r="F61" s="270"/>
      <c r="G61" s="270"/>
      <c r="H61" s="266">
        <f>+E61-F61</f>
        <v>0</v>
      </c>
    </row>
    <row r="62" spans="1:8" x14ac:dyDescent="0.25">
      <c r="A62" s="269"/>
      <c r="B62" s="268" t="s">
        <v>238</v>
      </c>
      <c r="C62" s="270"/>
      <c r="D62" s="270"/>
      <c r="E62" s="267">
        <f>C62+D62</f>
        <v>0</v>
      </c>
      <c r="F62" s="270"/>
      <c r="G62" s="270"/>
      <c r="H62" s="266">
        <f>+E62-F62</f>
        <v>0</v>
      </c>
    </row>
    <row r="63" spans="1:8" x14ac:dyDescent="0.25">
      <c r="A63" s="272" t="s">
        <v>237</v>
      </c>
      <c r="B63" s="271"/>
      <c r="C63" s="267">
        <f>SUM(C64:C71)</f>
        <v>68632616.799999997</v>
      </c>
      <c r="D63" s="267">
        <f>SUM(D64:D71)</f>
        <v>0</v>
      </c>
      <c r="E63" s="267">
        <f>SUM(E64:E71)</f>
        <v>68632616.799999997</v>
      </c>
      <c r="F63" s="267">
        <f>SUM(F64:F71)</f>
        <v>0</v>
      </c>
      <c r="G63" s="267">
        <f>SUM(G64:G71)</f>
        <v>0</v>
      </c>
      <c r="H63" s="267">
        <f>SUM(H64:H71)</f>
        <v>68632616.799999997</v>
      </c>
    </row>
    <row r="64" spans="1:8" x14ac:dyDescent="0.25">
      <c r="A64" s="269"/>
      <c r="B64" s="268" t="s">
        <v>236</v>
      </c>
      <c r="C64" s="270"/>
      <c r="D64" s="270"/>
      <c r="E64" s="267">
        <f>C64+D64</f>
        <v>0</v>
      </c>
      <c r="F64" s="270"/>
      <c r="G64" s="270"/>
      <c r="H64" s="266">
        <f>+E64-F64</f>
        <v>0</v>
      </c>
    </row>
    <row r="65" spans="1:8" x14ac:dyDescent="0.25">
      <c r="A65" s="269"/>
      <c r="B65" s="268" t="s">
        <v>235</v>
      </c>
      <c r="C65" s="270"/>
      <c r="D65" s="270"/>
      <c r="E65" s="267">
        <f>C65+D65</f>
        <v>0</v>
      </c>
      <c r="F65" s="270"/>
      <c r="G65" s="270"/>
      <c r="H65" s="266">
        <f>+E65-F65</f>
        <v>0</v>
      </c>
    </row>
    <row r="66" spans="1:8" x14ac:dyDescent="0.25">
      <c r="A66" s="269"/>
      <c r="B66" s="268" t="s">
        <v>234</v>
      </c>
      <c r="C66" s="270"/>
      <c r="D66" s="270"/>
      <c r="E66" s="267">
        <f>C66+D66</f>
        <v>0</v>
      </c>
      <c r="F66" s="270"/>
      <c r="G66" s="270"/>
      <c r="H66" s="266">
        <f>+E66-F66</f>
        <v>0</v>
      </c>
    </row>
    <row r="67" spans="1:8" x14ac:dyDescent="0.25">
      <c r="A67" s="269"/>
      <c r="B67" s="268" t="s">
        <v>233</v>
      </c>
      <c r="C67" s="270"/>
      <c r="D67" s="270"/>
      <c r="E67" s="267">
        <f>C67+D67</f>
        <v>0</v>
      </c>
      <c r="F67" s="270"/>
      <c r="G67" s="270"/>
      <c r="H67" s="266">
        <f>+E67-F67</f>
        <v>0</v>
      </c>
    </row>
    <row r="68" spans="1:8" x14ac:dyDescent="0.25">
      <c r="A68" s="269"/>
      <c r="B68" s="268" t="s">
        <v>232</v>
      </c>
      <c r="C68" s="270"/>
      <c r="D68" s="270"/>
      <c r="E68" s="267">
        <f>C68+D68</f>
        <v>0</v>
      </c>
      <c r="F68" s="270"/>
      <c r="G68" s="270"/>
      <c r="H68" s="266">
        <f>+E68-F68</f>
        <v>0</v>
      </c>
    </row>
    <row r="69" spans="1:8" x14ac:dyDescent="0.25">
      <c r="A69" s="269"/>
      <c r="B69" s="268" t="s">
        <v>231</v>
      </c>
      <c r="C69" s="270"/>
      <c r="D69" s="270"/>
      <c r="E69" s="267">
        <f>C69+D69</f>
        <v>0</v>
      </c>
      <c r="F69" s="270"/>
      <c r="G69" s="270"/>
      <c r="H69" s="266">
        <f>+E69-F69</f>
        <v>0</v>
      </c>
    </row>
    <row r="70" spans="1:8" x14ac:dyDescent="0.25">
      <c r="A70" s="269"/>
      <c r="B70" s="268" t="s">
        <v>230</v>
      </c>
      <c r="C70" s="270"/>
      <c r="D70" s="270"/>
      <c r="E70" s="267">
        <f>C70+D70</f>
        <v>0</v>
      </c>
      <c r="F70" s="270"/>
      <c r="G70" s="270"/>
      <c r="H70" s="266">
        <f>+E70-F70</f>
        <v>0</v>
      </c>
    </row>
    <row r="71" spans="1:8" x14ac:dyDescent="0.25">
      <c r="A71" s="269"/>
      <c r="B71" s="268" t="s">
        <v>229</v>
      </c>
      <c r="C71" s="270">
        <v>68632616.799999997</v>
      </c>
      <c r="D71" s="270">
        <v>0</v>
      </c>
      <c r="E71" s="267">
        <f>C71+D71</f>
        <v>68632616.799999997</v>
      </c>
      <c r="F71" s="270">
        <v>0</v>
      </c>
      <c r="G71" s="270">
        <v>0</v>
      </c>
      <c r="H71" s="266">
        <f>+E71-F71</f>
        <v>68632616.799999997</v>
      </c>
    </row>
    <row r="72" spans="1:8" x14ac:dyDescent="0.25">
      <c r="A72" s="272" t="s">
        <v>228</v>
      </c>
      <c r="B72" s="271"/>
      <c r="C72" s="267">
        <f>SUM(C73:C75)</f>
        <v>0</v>
      </c>
      <c r="D72" s="267">
        <f>SUM(D73:D75)</f>
        <v>0</v>
      </c>
      <c r="E72" s="267">
        <f>SUM(E73:E75)</f>
        <v>0</v>
      </c>
      <c r="F72" s="267">
        <f>SUM(F73:F75)</f>
        <v>0</v>
      </c>
      <c r="G72" s="267">
        <f>SUM(G73:G75)</f>
        <v>0</v>
      </c>
      <c r="H72" s="267">
        <f>SUM(H73:H75)</f>
        <v>0</v>
      </c>
    </row>
    <row r="73" spans="1:8" ht="15.75" thickBot="1" x14ac:dyDescent="0.3">
      <c r="A73" s="277"/>
      <c r="B73" s="276" t="s">
        <v>227</v>
      </c>
      <c r="C73" s="274"/>
      <c r="D73" s="274"/>
      <c r="E73" s="275">
        <f>C73+D73</f>
        <v>0</v>
      </c>
      <c r="F73" s="274"/>
      <c r="G73" s="274"/>
      <c r="H73" s="273">
        <f>+E73-F73</f>
        <v>0</v>
      </c>
    </row>
    <row r="74" spans="1:8" x14ac:dyDescent="0.25">
      <c r="A74" s="269"/>
      <c r="B74" s="268" t="s">
        <v>226</v>
      </c>
      <c r="C74" s="270"/>
      <c r="D74" s="270"/>
      <c r="E74" s="267">
        <f>C74+D74</f>
        <v>0</v>
      </c>
      <c r="F74" s="270"/>
      <c r="G74" s="270"/>
      <c r="H74" s="266">
        <f>+E74-F74</f>
        <v>0</v>
      </c>
    </row>
    <row r="75" spans="1:8" x14ac:dyDescent="0.25">
      <c r="A75" s="269"/>
      <c r="B75" s="268" t="s">
        <v>225</v>
      </c>
      <c r="C75" s="270"/>
      <c r="D75" s="270"/>
      <c r="E75" s="267">
        <f>C75+D75</f>
        <v>0</v>
      </c>
      <c r="F75" s="270"/>
      <c r="G75" s="270"/>
      <c r="H75" s="266">
        <f>+E75-F75</f>
        <v>0</v>
      </c>
    </row>
    <row r="76" spans="1:8" x14ac:dyDescent="0.25">
      <c r="A76" s="272" t="s">
        <v>224</v>
      </c>
      <c r="B76" s="271"/>
      <c r="C76" s="267">
        <f>SUM(C77:C83)</f>
        <v>6754608</v>
      </c>
      <c r="D76" s="267">
        <f>SUM(D77:D83)</f>
        <v>87042948.590000004</v>
      </c>
      <c r="E76" s="267">
        <f>SUM(E77:E83)</f>
        <v>93797556.590000004</v>
      </c>
      <c r="F76" s="267">
        <f>SUM(F77:F83)</f>
        <v>83605358.010000005</v>
      </c>
      <c r="G76" s="267">
        <f>SUM(G77:G83)</f>
        <v>81040394.299999997</v>
      </c>
      <c r="H76" s="267">
        <f>SUM(H77:H83)</f>
        <v>10192198.579999998</v>
      </c>
    </row>
    <row r="77" spans="1:8" x14ac:dyDescent="0.25">
      <c r="A77" s="269"/>
      <c r="B77" s="268" t="s">
        <v>223</v>
      </c>
      <c r="C77" s="270">
        <v>0</v>
      </c>
      <c r="D77" s="270">
        <v>16983455.920000002</v>
      </c>
      <c r="E77" s="267">
        <f>C77+D77</f>
        <v>16983455.920000002</v>
      </c>
      <c r="F77" s="270">
        <v>16983455.920000002</v>
      </c>
      <c r="G77" s="270">
        <v>16983455.920000002</v>
      </c>
      <c r="H77" s="266">
        <f>+E77-F77</f>
        <v>0</v>
      </c>
    </row>
    <row r="78" spans="1:8" x14ac:dyDescent="0.25">
      <c r="A78" s="269"/>
      <c r="B78" s="268" t="s">
        <v>222</v>
      </c>
      <c r="C78" s="270">
        <v>0</v>
      </c>
      <c r="D78" s="270">
        <v>30101895.920000002</v>
      </c>
      <c r="E78" s="267">
        <f>C78+D78</f>
        <v>30101895.920000002</v>
      </c>
      <c r="F78" s="270">
        <v>30070597.329999998</v>
      </c>
      <c r="G78" s="270">
        <v>30070597.329999998</v>
      </c>
      <c r="H78" s="266">
        <f>+E78-F78</f>
        <v>31298.590000003576</v>
      </c>
    </row>
    <row r="79" spans="1:8" x14ac:dyDescent="0.25">
      <c r="A79" s="269"/>
      <c r="B79" s="268" t="s">
        <v>221</v>
      </c>
      <c r="C79" s="270"/>
      <c r="D79" s="270"/>
      <c r="E79" s="267">
        <f>C79+D79</f>
        <v>0</v>
      </c>
      <c r="F79" s="270"/>
      <c r="G79" s="270"/>
      <c r="H79" s="266">
        <f>+E79-F79</f>
        <v>0</v>
      </c>
    </row>
    <row r="80" spans="1:8" x14ac:dyDescent="0.25">
      <c r="A80" s="269"/>
      <c r="B80" s="268" t="s">
        <v>220</v>
      </c>
      <c r="C80" s="270"/>
      <c r="D80" s="270"/>
      <c r="E80" s="267">
        <f>C80+D80</f>
        <v>0</v>
      </c>
      <c r="F80" s="270"/>
      <c r="G80" s="270"/>
      <c r="H80" s="266">
        <f>+E80-F80</f>
        <v>0</v>
      </c>
    </row>
    <row r="81" spans="1:8" x14ac:dyDescent="0.25">
      <c r="A81" s="269"/>
      <c r="B81" s="268" t="s">
        <v>219</v>
      </c>
      <c r="C81" s="270"/>
      <c r="D81" s="270"/>
      <c r="E81" s="267">
        <f>C81+D81</f>
        <v>0</v>
      </c>
      <c r="F81" s="270"/>
      <c r="G81" s="270"/>
      <c r="H81" s="266">
        <f>+E81-F81</f>
        <v>0</v>
      </c>
    </row>
    <row r="82" spans="1:8" x14ac:dyDescent="0.25">
      <c r="A82" s="269"/>
      <c r="B82" s="268" t="s">
        <v>218</v>
      </c>
      <c r="C82" s="270"/>
      <c r="D82" s="270"/>
      <c r="E82" s="267">
        <f>C82+D82</f>
        <v>0</v>
      </c>
      <c r="F82" s="270"/>
      <c r="G82" s="270"/>
      <c r="H82" s="266">
        <f>+E82-F82</f>
        <v>0</v>
      </c>
    </row>
    <row r="83" spans="1:8" x14ac:dyDescent="0.25">
      <c r="A83" s="269"/>
      <c r="B83" s="268" t="s">
        <v>217</v>
      </c>
      <c r="C83" s="270">
        <v>6754608</v>
      </c>
      <c r="D83" s="270">
        <v>39957596.75</v>
      </c>
      <c r="E83" s="267">
        <f>C83+D83</f>
        <v>46712204.75</v>
      </c>
      <c r="F83" s="270">
        <v>36551304.760000005</v>
      </c>
      <c r="G83" s="270">
        <v>33986341.049999997</v>
      </c>
      <c r="H83" s="266">
        <f>+E83-F83</f>
        <v>10160899.989999995</v>
      </c>
    </row>
    <row r="84" spans="1:8" x14ac:dyDescent="0.25">
      <c r="A84" s="281" t="s">
        <v>290</v>
      </c>
      <c r="B84" s="280"/>
      <c r="C84" s="279">
        <f>+C85+C93+C103+C113+C123+C133+C137+C146+C150</f>
        <v>66300000</v>
      </c>
      <c r="D84" s="279">
        <f>+D85+D93+D103+D113+D123+D133+D137+D146+D150</f>
        <v>155773487.70000002</v>
      </c>
      <c r="E84" s="279">
        <f>+E85+E93+E103+E113+E123+E133+E137+E146+E150</f>
        <v>222073487.70000002</v>
      </c>
      <c r="F84" s="279">
        <f>+F85+F93+F103+F113+F123+F133+F137+F146+F150</f>
        <v>119133217.8</v>
      </c>
      <c r="G84" s="279">
        <f>+G85+G93+G103+G113+G123+G133+G137+G146+G150</f>
        <v>119098076.98</v>
      </c>
      <c r="H84" s="279">
        <f>+H85+H93+H103+H113+H123+H133+H137+H146+H150</f>
        <v>102940269.90000002</v>
      </c>
    </row>
    <row r="85" spans="1:8" x14ac:dyDescent="0.25">
      <c r="A85" s="272" t="s">
        <v>289</v>
      </c>
      <c r="B85" s="271"/>
      <c r="C85" s="267">
        <f>SUM(C86:C92)</f>
        <v>0</v>
      </c>
      <c r="D85" s="267">
        <f>SUM(D86:D92)</f>
        <v>0</v>
      </c>
      <c r="E85" s="267">
        <f>SUM(E86:E92)</f>
        <v>0</v>
      </c>
      <c r="F85" s="267">
        <f>SUM(F86:F92)</f>
        <v>0</v>
      </c>
      <c r="G85" s="267">
        <f>SUM(G86:G92)</f>
        <v>0</v>
      </c>
      <c r="H85" s="267">
        <f>SUM(H86:H92)</f>
        <v>0</v>
      </c>
    </row>
    <row r="86" spans="1:8" x14ac:dyDescent="0.25">
      <c r="A86" s="269"/>
      <c r="B86" s="268" t="s">
        <v>288</v>
      </c>
      <c r="C86" s="270"/>
      <c r="D86" s="270"/>
      <c r="E86" s="267">
        <f>C86+D86</f>
        <v>0</v>
      </c>
      <c r="F86" s="270"/>
      <c r="G86" s="270"/>
      <c r="H86" s="266">
        <f>+E86-F86</f>
        <v>0</v>
      </c>
    </row>
    <row r="87" spans="1:8" x14ac:dyDescent="0.25">
      <c r="A87" s="269"/>
      <c r="B87" s="268" t="s">
        <v>287</v>
      </c>
      <c r="C87" s="270"/>
      <c r="D87" s="270"/>
      <c r="E87" s="267">
        <f>C87+D87</f>
        <v>0</v>
      </c>
      <c r="F87" s="270"/>
      <c r="G87" s="270"/>
      <c r="H87" s="266">
        <f>+E87-F87</f>
        <v>0</v>
      </c>
    </row>
    <row r="88" spans="1:8" x14ac:dyDescent="0.25">
      <c r="A88" s="269"/>
      <c r="B88" s="268" t="s">
        <v>286</v>
      </c>
      <c r="C88" s="270"/>
      <c r="D88" s="270"/>
      <c r="E88" s="267">
        <f>C88+D88</f>
        <v>0</v>
      </c>
      <c r="F88" s="270"/>
      <c r="G88" s="270"/>
      <c r="H88" s="266">
        <f>+E88-F88</f>
        <v>0</v>
      </c>
    </row>
    <row r="89" spans="1:8" x14ac:dyDescent="0.25">
      <c r="A89" s="269"/>
      <c r="B89" s="268" t="s">
        <v>285</v>
      </c>
      <c r="C89" s="270"/>
      <c r="D89" s="270"/>
      <c r="E89" s="267">
        <f>C89+D89</f>
        <v>0</v>
      </c>
      <c r="F89" s="270"/>
      <c r="G89" s="270"/>
      <c r="H89" s="266">
        <f>+E89-F89</f>
        <v>0</v>
      </c>
    </row>
    <row r="90" spans="1:8" x14ac:dyDescent="0.25">
      <c r="A90" s="269"/>
      <c r="B90" s="268" t="s">
        <v>284</v>
      </c>
      <c r="C90" s="270"/>
      <c r="D90" s="270"/>
      <c r="E90" s="267">
        <f>C90+D90</f>
        <v>0</v>
      </c>
      <c r="F90" s="270"/>
      <c r="G90" s="270"/>
      <c r="H90" s="266">
        <f>+E90-F90</f>
        <v>0</v>
      </c>
    </row>
    <row r="91" spans="1:8" x14ac:dyDescent="0.25">
      <c r="A91" s="269"/>
      <c r="B91" s="268" t="s">
        <v>283</v>
      </c>
      <c r="C91" s="270"/>
      <c r="D91" s="270"/>
      <c r="E91" s="267">
        <f>C91+D91</f>
        <v>0</v>
      </c>
      <c r="F91" s="270"/>
      <c r="G91" s="270"/>
      <c r="H91" s="266">
        <f>+E91-F91</f>
        <v>0</v>
      </c>
    </row>
    <row r="92" spans="1:8" x14ac:dyDescent="0.25">
      <c r="A92" s="269"/>
      <c r="B92" s="268" t="s">
        <v>282</v>
      </c>
      <c r="C92" s="270"/>
      <c r="D92" s="270"/>
      <c r="E92" s="267">
        <f>C92+D92</f>
        <v>0</v>
      </c>
      <c r="F92" s="270"/>
      <c r="G92" s="270"/>
      <c r="H92" s="266">
        <f>+E92-F92</f>
        <v>0</v>
      </c>
    </row>
    <row r="93" spans="1:8" x14ac:dyDescent="0.25">
      <c r="A93" s="272" t="s">
        <v>281</v>
      </c>
      <c r="B93" s="271"/>
      <c r="C93" s="267">
        <f>SUM(C94:C102)</f>
        <v>0</v>
      </c>
      <c r="D93" s="267">
        <f>SUM(D94:D102)</f>
        <v>0</v>
      </c>
      <c r="E93" s="267">
        <f>SUM(E94:E102)</f>
        <v>0</v>
      </c>
      <c r="F93" s="267">
        <f>SUM(F94:F102)</f>
        <v>0</v>
      </c>
      <c r="G93" s="267">
        <f>SUM(G94:G102)</f>
        <v>0</v>
      </c>
      <c r="H93" s="267">
        <f>SUM(H94:H102)</f>
        <v>0</v>
      </c>
    </row>
    <row r="94" spans="1:8" x14ac:dyDescent="0.25">
      <c r="A94" s="269"/>
      <c r="B94" s="268" t="s">
        <v>280</v>
      </c>
      <c r="C94" s="270"/>
      <c r="D94" s="270"/>
      <c r="E94" s="267">
        <f>C94+D94</f>
        <v>0</v>
      </c>
      <c r="F94" s="270"/>
      <c r="G94" s="270"/>
      <c r="H94" s="266">
        <f>+E94-F94</f>
        <v>0</v>
      </c>
    </row>
    <row r="95" spans="1:8" x14ac:dyDescent="0.25">
      <c r="A95" s="269"/>
      <c r="B95" s="268" t="s">
        <v>279</v>
      </c>
      <c r="C95" s="270"/>
      <c r="D95" s="270"/>
      <c r="E95" s="267">
        <f>C95+D95</f>
        <v>0</v>
      </c>
      <c r="F95" s="270"/>
      <c r="G95" s="270"/>
      <c r="H95" s="266">
        <f>+E95-F95</f>
        <v>0</v>
      </c>
    </row>
    <row r="96" spans="1:8" x14ac:dyDescent="0.25">
      <c r="A96" s="269"/>
      <c r="B96" s="268" t="s">
        <v>278</v>
      </c>
      <c r="C96" s="270"/>
      <c r="D96" s="270"/>
      <c r="E96" s="267">
        <f>C96+D96</f>
        <v>0</v>
      </c>
      <c r="F96" s="270"/>
      <c r="G96" s="270"/>
      <c r="H96" s="266">
        <f>+E96-F96</f>
        <v>0</v>
      </c>
    </row>
    <row r="97" spans="1:8" x14ac:dyDescent="0.25">
      <c r="A97" s="269"/>
      <c r="B97" s="268" t="s">
        <v>277</v>
      </c>
      <c r="C97" s="270"/>
      <c r="D97" s="270"/>
      <c r="E97" s="267">
        <f>C97+D97</f>
        <v>0</v>
      </c>
      <c r="F97" s="270"/>
      <c r="G97" s="270"/>
      <c r="H97" s="266">
        <f>+E97-F97</f>
        <v>0</v>
      </c>
    </row>
    <row r="98" spans="1:8" x14ac:dyDescent="0.25">
      <c r="A98" s="269"/>
      <c r="B98" s="268" t="s">
        <v>276</v>
      </c>
      <c r="C98" s="270"/>
      <c r="D98" s="270"/>
      <c r="E98" s="267">
        <f>C98+D98</f>
        <v>0</v>
      </c>
      <c r="F98" s="270"/>
      <c r="G98" s="270"/>
      <c r="H98" s="266">
        <f>+E98-F98</f>
        <v>0</v>
      </c>
    </row>
    <row r="99" spans="1:8" x14ac:dyDescent="0.25">
      <c r="A99" s="269"/>
      <c r="B99" s="268" t="s">
        <v>275</v>
      </c>
      <c r="C99" s="270"/>
      <c r="D99" s="270"/>
      <c r="E99" s="267">
        <f>C99+D99</f>
        <v>0</v>
      </c>
      <c r="F99" s="270"/>
      <c r="G99" s="270"/>
      <c r="H99" s="266">
        <f>+E99-F99</f>
        <v>0</v>
      </c>
    </row>
    <row r="100" spans="1:8" x14ac:dyDescent="0.25">
      <c r="A100" s="269"/>
      <c r="B100" s="268" t="s">
        <v>274</v>
      </c>
      <c r="C100" s="270"/>
      <c r="D100" s="270"/>
      <c r="E100" s="267">
        <f>C100+D100</f>
        <v>0</v>
      </c>
      <c r="F100" s="270"/>
      <c r="G100" s="270"/>
      <c r="H100" s="266">
        <f>+E100-F100</f>
        <v>0</v>
      </c>
    </row>
    <row r="101" spans="1:8" x14ac:dyDescent="0.25">
      <c r="A101" s="269"/>
      <c r="B101" s="268" t="s">
        <v>273</v>
      </c>
      <c r="C101" s="270"/>
      <c r="D101" s="270"/>
      <c r="E101" s="267">
        <f>C101+D101</f>
        <v>0</v>
      </c>
      <c r="F101" s="270"/>
      <c r="G101" s="270"/>
      <c r="H101" s="266">
        <f>+E101-F101</f>
        <v>0</v>
      </c>
    </row>
    <row r="102" spans="1:8" x14ac:dyDescent="0.25">
      <c r="A102" s="269"/>
      <c r="B102" s="268" t="s">
        <v>272</v>
      </c>
      <c r="C102" s="270"/>
      <c r="D102" s="270"/>
      <c r="E102" s="267">
        <f>C102+D102</f>
        <v>0</v>
      </c>
      <c r="F102" s="270"/>
      <c r="G102" s="270"/>
      <c r="H102" s="266">
        <f>+E102-F102</f>
        <v>0</v>
      </c>
    </row>
    <row r="103" spans="1:8" x14ac:dyDescent="0.25">
      <c r="A103" s="272" t="s">
        <v>271</v>
      </c>
      <c r="B103" s="271"/>
      <c r="C103" s="267">
        <f>SUM(C104:C112)</f>
        <v>0</v>
      </c>
      <c r="D103" s="267">
        <f>SUM(D104:D112)</f>
        <v>0</v>
      </c>
      <c r="E103" s="267">
        <f>SUM(E104:E112)</f>
        <v>0</v>
      </c>
      <c r="F103" s="267">
        <f>SUM(F104:F112)</f>
        <v>0</v>
      </c>
      <c r="G103" s="267">
        <f>SUM(G104:G112)</f>
        <v>0</v>
      </c>
      <c r="H103" s="267">
        <f>SUM(H104:H112)</f>
        <v>0</v>
      </c>
    </row>
    <row r="104" spans="1:8" s="278" customFormat="1" x14ac:dyDescent="0.25">
      <c r="A104" s="269"/>
      <c r="B104" s="268" t="s">
        <v>270</v>
      </c>
      <c r="C104" s="270"/>
      <c r="D104" s="270"/>
      <c r="E104" s="267">
        <f>C104+D104</f>
        <v>0</v>
      </c>
      <c r="F104" s="270"/>
      <c r="G104" s="270"/>
      <c r="H104" s="266">
        <f>+E104-F104</f>
        <v>0</v>
      </c>
    </row>
    <row r="105" spans="1:8" x14ac:dyDescent="0.25">
      <c r="A105" s="269"/>
      <c r="B105" s="268" t="s">
        <v>269</v>
      </c>
      <c r="C105" s="270"/>
      <c r="D105" s="270"/>
      <c r="E105" s="267">
        <f>C105+D105</f>
        <v>0</v>
      </c>
      <c r="F105" s="270"/>
      <c r="G105" s="270"/>
      <c r="H105" s="266">
        <f>+E105-F105</f>
        <v>0</v>
      </c>
    </row>
    <row r="106" spans="1:8" x14ac:dyDescent="0.25">
      <c r="A106" s="269"/>
      <c r="B106" s="268" t="s">
        <v>268</v>
      </c>
      <c r="C106" s="270"/>
      <c r="D106" s="270"/>
      <c r="E106" s="267">
        <f>C106+D106</f>
        <v>0</v>
      </c>
      <c r="F106" s="270"/>
      <c r="G106" s="270"/>
      <c r="H106" s="266">
        <f>+E106-F106</f>
        <v>0</v>
      </c>
    </row>
    <row r="107" spans="1:8" x14ac:dyDescent="0.25">
      <c r="A107" s="269"/>
      <c r="B107" s="268" t="s">
        <v>267</v>
      </c>
      <c r="C107" s="270"/>
      <c r="D107" s="270"/>
      <c r="E107" s="267">
        <f>C107+D107</f>
        <v>0</v>
      </c>
      <c r="F107" s="270"/>
      <c r="G107" s="270"/>
      <c r="H107" s="266">
        <f>+E107-F107</f>
        <v>0</v>
      </c>
    </row>
    <row r="108" spans="1:8" ht="15.75" thickBot="1" x14ac:dyDescent="0.3">
      <c r="A108" s="277"/>
      <c r="B108" s="276" t="s">
        <v>266</v>
      </c>
      <c r="C108" s="274"/>
      <c r="D108" s="274"/>
      <c r="E108" s="275">
        <f>C108+D108</f>
        <v>0</v>
      </c>
      <c r="F108" s="274"/>
      <c r="G108" s="274"/>
      <c r="H108" s="273">
        <f>+E108-F108</f>
        <v>0</v>
      </c>
    </row>
    <row r="109" spans="1:8" x14ac:dyDescent="0.25">
      <c r="A109" s="269"/>
      <c r="B109" s="268" t="s">
        <v>265</v>
      </c>
      <c r="C109" s="270"/>
      <c r="D109" s="270"/>
      <c r="E109" s="267">
        <f>C109+D109</f>
        <v>0</v>
      </c>
      <c r="F109" s="270"/>
      <c r="G109" s="270"/>
      <c r="H109" s="266">
        <f>+E109-F109</f>
        <v>0</v>
      </c>
    </row>
    <row r="110" spans="1:8" x14ac:dyDescent="0.25">
      <c r="A110" s="269"/>
      <c r="B110" s="268" t="s">
        <v>264</v>
      </c>
      <c r="C110" s="270"/>
      <c r="D110" s="270"/>
      <c r="E110" s="267">
        <f>C110+D110</f>
        <v>0</v>
      </c>
      <c r="F110" s="270"/>
      <c r="G110" s="270"/>
      <c r="H110" s="266">
        <f>+E110-F110</f>
        <v>0</v>
      </c>
    </row>
    <row r="111" spans="1:8" x14ac:dyDescent="0.25">
      <c r="A111" s="269"/>
      <c r="B111" s="268" t="s">
        <v>263</v>
      </c>
      <c r="C111" s="270"/>
      <c r="D111" s="270"/>
      <c r="E111" s="267">
        <f>C111+D111</f>
        <v>0</v>
      </c>
      <c r="F111" s="270"/>
      <c r="G111" s="270"/>
      <c r="H111" s="266">
        <f>+E111-F111</f>
        <v>0</v>
      </c>
    </row>
    <row r="112" spans="1:8" x14ac:dyDescent="0.25">
      <c r="A112" s="269"/>
      <c r="B112" s="268" t="s">
        <v>262</v>
      </c>
      <c r="C112" s="270"/>
      <c r="D112" s="270"/>
      <c r="E112" s="267">
        <f>C112+D112</f>
        <v>0</v>
      </c>
      <c r="F112" s="270"/>
      <c r="G112" s="270"/>
      <c r="H112" s="266">
        <f>+E112-F112</f>
        <v>0</v>
      </c>
    </row>
    <row r="113" spans="1:8" x14ac:dyDescent="0.25">
      <c r="A113" s="272" t="s">
        <v>261</v>
      </c>
      <c r="B113" s="271"/>
      <c r="C113" s="267">
        <f>SUM(C114:C122)</f>
        <v>0</v>
      </c>
      <c r="D113" s="267">
        <f>SUM(D114:D122)</f>
        <v>0</v>
      </c>
      <c r="E113" s="267">
        <f>SUM(E114:E122)</f>
        <v>0</v>
      </c>
      <c r="F113" s="267">
        <f>SUM(F114:F122)</f>
        <v>0</v>
      </c>
      <c r="G113" s="267">
        <f>SUM(G114:G122)</f>
        <v>0</v>
      </c>
      <c r="H113" s="267">
        <f>SUM(H114:H122)</f>
        <v>0</v>
      </c>
    </row>
    <row r="114" spans="1:8" x14ac:dyDescent="0.25">
      <c r="A114" s="269"/>
      <c r="B114" s="268" t="s">
        <v>260</v>
      </c>
      <c r="C114" s="270"/>
      <c r="D114" s="270"/>
      <c r="E114" s="267">
        <f>C114+D114</f>
        <v>0</v>
      </c>
      <c r="F114" s="270"/>
      <c r="G114" s="270"/>
      <c r="H114" s="266">
        <f>+E114-F114</f>
        <v>0</v>
      </c>
    </row>
    <row r="115" spans="1:8" x14ac:dyDescent="0.25">
      <c r="A115" s="269"/>
      <c r="B115" s="268" t="s">
        <v>259</v>
      </c>
      <c r="C115" s="270"/>
      <c r="D115" s="270"/>
      <c r="E115" s="267">
        <f>C115+D115</f>
        <v>0</v>
      </c>
      <c r="F115" s="270"/>
      <c r="G115" s="270"/>
      <c r="H115" s="266">
        <f>+E115-F115</f>
        <v>0</v>
      </c>
    </row>
    <row r="116" spans="1:8" x14ac:dyDescent="0.25">
      <c r="A116" s="269"/>
      <c r="B116" s="268" t="s">
        <v>258</v>
      </c>
      <c r="C116" s="270"/>
      <c r="D116" s="270"/>
      <c r="E116" s="267">
        <f>C116+D116</f>
        <v>0</v>
      </c>
      <c r="F116" s="270"/>
      <c r="G116" s="270"/>
      <c r="H116" s="266">
        <f>+E116-F116</f>
        <v>0</v>
      </c>
    </row>
    <row r="117" spans="1:8" x14ac:dyDescent="0.25">
      <c r="A117" s="269"/>
      <c r="B117" s="268" t="s">
        <v>257</v>
      </c>
      <c r="C117" s="270"/>
      <c r="D117" s="270"/>
      <c r="E117" s="267">
        <f>C117+D117</f>
        <v>0</v>
      </c>
      <c r="F117" s="270"/>
      <c r="G117" s="270"/>
      <c r="H117" s="266">
        <f>+E117-F117</f>
        <v>0</v>
      </c>
    </row>
    <row r="118" spans="1:8" x14ac:dyDescent="0.25">
      <c r="A118" s="269"/>
      <c r="B118" s="268" t="s">
        <v>256</v>
      </c>
      <c r="C118" s="270"/>
      <c r="D118" s="270"/>
      <c r="E118" s="267">
        <f>C118+D118</f>
        <v>0</v>
      </c>
      <c r="F118" s="270"/>
      <c r="G118" s="270"/>
      <c r="H118" s="266">
        <f>+E118-F118</f>
        <v>0</v>
      </c>
    </row>
    <row r="119" spans="1:8" x14ac:dyDescent="0.25">
      <c r="A119" s="269"/>
      <c r="B119" s="268" t="s">
        <v>255</v>
      </c>
      <c r="C119" s="270"/>
      <c r="D119" s="270"/>
      <c r="E119" s="267">
        <f>C119+D119</f>
        <v>0</v>
      </c>
      <c r="F119" s="270"/>
      <c r="G119" s="270"/>
      <c r="H119" s="266">
        <f>+E119-F119</f>
        <v>0</v>
      </c>
    </row>
    <row r="120" spans="1:8" x14ac:dyDescent="0.25">
      <c r="A120" s="269"/>
      <c r="B120" s="268" t="s">
        <v>254</v>
      </c>
      <c r="C120" s="270"/>
      <c r="D120" s="270"/>
      <c r="E120" s="267">
        <f>C120+D120</f>
        <v>0</v>
      </c>
      <c r="F120" s="270"/>
      <c r="G120" s="270"/>
      <c r="H120" s="266">
        <f>+E120-F120</f>
        <v>0</v>
      </c>
    </row>
    <row r="121" spans="1:8" x14ac:dyDescent="0.25">
      <c r="A121" s="269"/>
      <c r="B121" s="268" t="s">
        <v>253</v>
      </c>
      <c r="C121" s="270"/>
      <c r="D121" s="270"/>
      <c r="E121" s="267">
        <f>C121+D121</f>
        <v>0</v>
      </c>
      <c r="F121" s="270"/>
      <c r="G121" s="270"/>
      <c r="H121" s="266">
        <f>+E121-F121</f>
        <v>0</v>
      </c>
    </row>
    <row r="122" spans="1:8" x14ac:dyDescent="0.25">
      <c r="A122" s="269"/>
      <c r="B122" s="268" t="s">
        <v>252</v>
      </c>
      <c r="C122" s="270"/>
      <c r="D122" s="270"/>
      <c r="E122" s="267">
        <f>C122+D122</f>
        <v>0</v>
      </c>
      <c r="F122" s="270"/>
      <c r="G122" s="270"/>
      <c r="H122" s="266">
        <f>+E122-F122</f>
        <v>0</v>
      </c>
    </row>
    <row r="123" spans="1:8" x14ac:dyDescent="0.25">
      <c r="A123" s="272" t="s">
        <v>251</v>
      </c>
      <c r="B123" s="271"/>
      <c r="C123" s="267">
        <f>SUM(C124:C132)</f>
        <v>0</v>
      </c>
      <c r="D123" s="267">
        <f>SUM(D124:D132)</f>
        <v>0</v>
      </c>
      <c r="E123" s="267">
        <f>SUM(E124:E132)</f>
        <v>0</v>
      </c>
      <c r="F123" s="267">
        <f>SUM(F124:F132)</f>
        <v>0</v>
      </c>
      <c r="G123" s="267">
        <f>SUM(G124:G132)</f>
        <v>0</v>
      </c>
      <c r="H123" s="267">
        <f>SUM(H124:H132)</f>
        <v>0</v>
      </c>
    </row>
    <row r="124" spans="1:8" x14ac:dyDescent="0.25">
      <c r="A124" s="269"/>
      <c r="B124" s="268" t="s">
        <v>250</v>
      </c>
      <c r="C124" s="270">
        <v>0</v>
      </c>
      <c r="D124" s="270"/>
      <c r="E124" s="267">
        <f>C124+D124</f>
        <v>0</v>
      </c>
      <c r="F124" s="270"/>
      <c r="G124" s="270"/>
      <c r="H124" s="266">
        <f>+E124-F124</f>
        <v>0</v>
      </c>
    </row>
    <row r="125" spans="1:8" x14ac:dyDescent="0.25">
      <c r="A125" s="269"/>
      <c r="B125" s="268" t="s">
        <v>249</v>
      </c>
      <c r="C125" s="270"/>
      <c r="D125" s="270"/>
      <c r="E125" s="267">
        <f>C125+D125</f>
        <v>0</v>
      </c>
      <c r="F125" s="270"/>
      <c r="G125" s="270"/>
      <c r="H125" s="266">
        <f>+E125-F125</f>
        <v>0</v>
      </c>
    </row>
    <row r="126" spans="1:8" x14ac:dyDescent="0.25">
      <c r="A126" s="269"/>
      <c r="B126" s="268" t="s">
        <v>248</v>
      </c>
      <c r="C126" s="270"/>
      <c r="D126" s="270"/>
      <c r="E126" s="267">
        <f>C126+D126</f>
        <v>0</v>
      </c>
      <c r="F126" s="270"/>
      <c r="G126" s="270"/>
      <c r="H126" s="266">
        <f>+E126-F126</f>
        <v>0</v>
      </c>
    </row>
    <row r="127" spans="1:8" x14ac:dyDescent="0.25">
      <c r="A127" s="269"/>
      <c r="B127" s="268" t="s">
        <v>247</v>
      </c>
      <c r="C127" s="270"/>
      <c r="D127" s="270"/>
      <c r="E127" s="267">
        <f>C127+D127</f>
        <v>0</v>
      </c>
      <c r="F127" s="270"/>
      <c r="G127" s="270"/>
      <c r="H127" s="266">
        <f>+E127-F127</f>
        <v>0</v>
      </c>
    </row>
    <row r="128" spans="1:8" x14ac:dyDescent="0.25">
      <c r="A128" s="269"/>
      <c r="B128" s="268" t="s">
        <v>246</v>
      </c>
      <c r="C128" s="270"/>
      <c r="D128" s="270"/>
      <c r="E128" s="267">
        <f>C128+D128</f>
        <v>0</v>
      </c>
      <c r="F128" s="270"/>
      <c r="G128" s="270"/>
      <c r="H128" s="266">
        <f>+E128-F128</f>
        <v>0</v>
      </c>
    </row>
    <row r="129" spans="1:8" x14ac:dyDescent="0.25">
      <c r="A129" s="269"/>
      <c r="B129" s="268" t="s">
        <v>245</v>
      </c>
      <c r="C129" s="270"/>
      <c r="D129" s="270"/>
      <c r="E129" s="267">
        <f>C129+D129</f>
        <v>0</v>
      </c>
      <c r="F129" s="270"/>
      <c r="G129" s="270"/>
      <c r="H129" s="266">
        <f>+E129-F129</f>
        <v>0</v>
      </c>
    </row>
    <row r="130" spans="1:8" x14ac:dyDescent="0.25">
      <c r="A130" s="269"/>
      <c r="B130" s="268" t="s">
        <v>244</v>
      </c>
      <c r="C130" s="270"/>
      <c r="D130" s="270"/>
      <c r="E130" s="267">
        <f>C130+D130</f>
        <v>0</v>
      </c>
      <c r="F130" s="270"/>
      <c r="G130" s="270"/>
      <c r="H130" s="266">
        <f>+E130-F130</f>
        <v>0</v>
      </c>
    </row>
    <row r="131" spans="1:8" x14ac:dyDescent="0.25">
      <c r="A131" s="269"/>
      <c r="B131" s="268" t="s">
        <v>243</v>
      </c>
      <c r="C131" s="270"/>
      <c r="D131" s="270"/>
      <c r="E131" s="267">
        <f>C131+D131</f>
        <v>0</v>
      </c>
      <c r="F131" s="270"/>
      <c r="G131" s="270"/>
      <c r="H131" s="266">
        <f>+E131-F131</f>
        <v>0</v>
      </c>
    </row>
    <row r="132" spans="1:8" x14ac:dyDescent="0.25">
      <c r="A132" s="269"/>
      <c r="B132" s="268" t="s">
        <v>242</v>
      </c>
      <c r="C132" s="270"/>
      <c r="D132" s="270"/>
      <c r="E132" s="267">
        <f>C132+D132</f>
        <v>0</v>
      </c>
      <c r="F132" s="270"/>
      <c r="G132" s="270"/>
      <c r="H132" s="266">
        <f>+E132-F132</f>
        <v>0</v>
      </c>
    </row>
    <row r="133" spans="1:8" x14ac:dyDescent="0.25">
      <c r="A133" s="272" t="s">
        <v>241</v>
      </c>
      <c r="B133" s="271"/>
      <c r="C133" s="267">
        <f>SUM(C134:C136)</f>
        <v>66300000</v>
      </c>
      <c r="D133" s="267">
        <f>SUM(D134:D136)</f>
        <v>155773487.70000002</v>
      </c>
      <c r="E133" s="267">
        <f>SUM(E134:E136)</f>
        <v>222073487.70000002</v>
      </c>
      <c r="F133" s="267">
        <f>SUM(F134:F136)</f>
        <v>119133217.8</v>
      </c>
      <c r="G133" s="267">
        <f>SUM(G134:G136)</f>
        <v>119098076.98</v>
      </c>
      <c r="H133" s="267">
        <f>SUM(H134:H136)</f>
        <v>102940269.90000002</v>
      </c>
    </row>
    <row r="134" spans="1:8" x14ac:dyDescent="0.25">
      <c r="A134" s="269"/>
      <c r="B134" s="268" t="s">
        <v>240</v>
      </c>
      <c r="C134" s="270">
        <v>66300000</v>
      </c>
      <c r="D134" s="270">
        <v>155773487.70000002</v>
      </c>
      <c r="E134" s="267">
        <f>C134+D134</f>
        <v>222073487.70000002</v>
      </c>
      <c r="F134" s="270">
        <v>119133217.8</v>
      </c>
      <c r="G134" s="270">
        <v>119098076.98</v>
      </c>
      <c r="H134" s="266">
        <f>+E134-F134</f>
        <v>102940269.90000002</v>
      </c>
    </row>
    <row r="135" spans="1:8" x14ac:dyDescent="0.25">
      <c r="A135" s="269"/>
      <c r="B135" s="268" t="s">
        <v>239</v>
      </c>
      <c r="C135" s="270"/>
      <c r="D135" s="270"/>
      <c r="E135" s="267">
        <f>C135+D135</f>
        <v>0</v>
      </c>
      <c r="F135" s="270"/>
      <c r="G135" s="270"/>
      <c r="H135" s="266">
        <f>+E135-F135</f>
        <v>0</v>
      </c>
    </row>
    <row r="136" spans="1:8" x14ac:dyDescent="0.25">
      <c r="A136" s="269"/>
      <c r="B136" s="268" t="s">
        <v>238</v>
      </c>
      <c r="C136" s="270"/>
      <c r="D136" s="270"/>
      <c r="E136" s="267">
        <f>C136+D136</f>
        <v>0</v>
      </c>
      <c r="F136" s="270"/>
      <c r="G136" s="270"/>
      <c r="H136" s="266">
        <f>+E136-F136</f>
        <v>0</v>
      </c>
    </row>
    <row r="137" spans="1:8" x14ac:dyDescent="0.25">
      <c r="A137" s="272" t="s">
        <v>237</v>
      </c>
      <c r="B137" s="271"/>
      <c r="C137" s="267">
        <f>SUM(C138:C145)</f>
        <v>0</v>
      </c>
      <c r="D137" s="267">
        <f>SUM(D138:D145)</f>
        <v>0</v>
      </c>
      <c r="E137" s="267">
        <f>SUM(E138:E145)</f>
        <v>0</v>
      </c>
      <c r="F137" s="267">
        <f>SUM(F138:F145)</f>
        <v>0</v>
      </c>
      <c r="G137" s="267">
        <f>SUM(G138:G145)</f>
        <v>0</v>
      </c>
      <c r="H137" s="267">
        <f>SUM(H138:H145)</f>
        <v>0</v>
      </c>
    </row>
    <row r="138" spans="1:8" x14ac:dyDescent="0.25">
      <c r="A138" s="269"/>
      <c r="B138" s="268" t="s">
        <v>236</v>
      </c>
      <c r="C138" s="270"/>
      <c r="D138" s="270"/>
      <c r="E138" s="267">
        <f>C138+D138</f>
        <v>0</v>
      </c>
      <c r="F138" s="270"/>
      <c r="G138" s="270"/>
      <c r="H138" s="266">
        <f>+E138-F138</f>
        <v>0</v>
      </c>
    </row>
    <row r="139" spans="1:8" x14ac:dyDescent="0.25">
      <c r="A139" s="269"/>
      <c r="B139" s="268" t="s">
        <v>235</v>
      </c>
      <c r="C139" s="270"/>
      <c r="D139" s="270"/>
      <c r="E139" s="267">
        <f>C139+D139</f>
        <v>0</v>
      </c>
      <c r="F139" s="270"/>
      <c r="G139" s="270"/>
      <c r="H139" s="266">
        <f>+E139-F139</f>
        <v>0</v>
      </c>
    </row>
    <row r="140" spans="1:8" x14ac:dyDescent="0.25">
      <c r="A140" s="269"/>
      <c r="B140" s="268" t="s">
        <v>234</v>
      </c>
      <c r="C140" s="270"/>
      <c r="D140" s="270"/>
      <c r="E140" s="267">
        <f>C140+D140</f>
        <v>0</v>
      </c>
      <c r="F140" s="270"/>
      <c r="G140" s="270"/>
      <c r="H140" s="266">
        <f>+E140-F140</f>
        <v>0</v>
      </c>
    </row>
    <row r="141" spans="1:8" x14ac:dyDescent="0.25">
      <c r="A141" s="269"/>
      <c r="B141" s="268" t="s">
        <v>233</v>
      </c>
      <c r="C141" s="270"/>
      <c r="D141" s="270"/>
      <c r="E141" s="267">
        <f>C141+D141</f>
        <v>0</v>
      </c>
      <c r="F141" s="270"/>
      <c r="G141" s="270"/>
      <c r="H141" s="266">
        <f>+E141-F141</f>
        <v>0</v>
      </c>
    </row>
    <row r="142" spans="1:8" x14ac:dyDescent="0.25">
      <c r="A142" s="269"/>
      <c r="B142" s="268" t="s">
        <v>232</v>
      </c>
      <c r="C142" s="270"/>
      <c r="D142" s="270"/>
      <c r="E142" s="267">
        <f>C142+D142</f>
        <v>0</v>
      </c>
      <c r="F142" s="270"/>
      <c r="G142" s="270"/>
      <c r="H142" s="266">
        <f>+E142-F142</f>
        <v>0</v>
      </c>
    </row>
    <row r="143" spans="1:8" ht="15.75" thickBot="1" x14ac:dyDescent="0.3">
      <c r="A143" s="277"/>
      <c r="B143" s="276" t="s">
        <v>231</v>
      </c>
      <c r="C143" s="274"/>
      <c r="D143" s="274"/>
      <c r="E143" s="275">
        <f>C143+D143</f>
        <v>0</v>
      </c>
      <c r="F143" s="274"/>
      <c r="G143" s="274"/>
      <c r="H143" s="273">
        <f>+E143-F143</f>
        <v>0</v>
      </c>
    </row>
    <row r="144" spans="1:8" x14ac:dyDescent="0.25">
      <c r="A144" s="269"/>
      <c r="B144" s="268" t="s">
        <v>230</v>
      </c>
      <c r="C144" s="270"/>
      <c r="D144" s="270"/>
      <c r="E144" s="267">
        <f>C144+D144</f>
        <v>0</v>
      </c>
      <c r="F144" s="270"/>
      <c r="G144" s="270"/>
      <c r="H144" s="266">
        <f>+E144-F144</f>
        <v>0</v>
      </c>
    </row>
    <row r="145" spans="1:9" x14ac:dyDescent="0.25">
      <c r="A145" s="269"/>
      <c r="B145" s="268" t="s">
        <v>229</v>
      </c>
      <c r="C145" s="270"/>
      <c r="D145" s="270"/>
      <c r="E145" s="267">
        <f>C145+D145</f>
        <v>0</v>
      </c>
      <c r="F145" s="270"/>
      <c r="G145" s="270"/>
      <c r="H145" s="266">
        <f>+E145-F145</f>
        <v>0</v>
      </c>
    </row>
    <row r="146" spans="1:9" x14ac:dyDescent="0.25">
      <c r="A146" s="272" t="s">
        <v>228</v>
      </c>
      <c r="B146" s="271"/>
      <c r="C146" s="267">
        <f>SUM(C147:C149)</f>
        <v>0</v>
      </c>
      <c r="D146" s="267">
        <f>SUM(D147:D149)</f>
        <v>0</v>
      </c>
      <c r="E146" s="267">
        <f>SUM(E147:E149)</f>
        <v>0</v>
      </c>
      <c r="F146" s="267">
        <f>SUM(F147:F149)</f>
        <v>0</v>
      </c>
      <c r="G146" s="267">
        <f>SUM(G147:G149)</f>
        <v>0</v>
      </c>
      <c r="H146" s="267">
        <f>SUM(H147:H149)</f>
        <v>0</v>
      </c>
    </row>
    <row r="147" spans="1:9" x14ac:dyDescent="0.25">
      <c r="A147" s="269"/>
      <c r="B147" s="268" t="s">
        <v>227</v>
      </c>
      <c r="C147" s="270"/>
      <c r="D147" s="270"/>
      <c r="E147" s="267">
        <f>C147+D147</f>
        <v>0</v>
      </c>
      <c r="F147" s="270"/>
      <c r="G147" s="270"/>
      <c r="H147" s="266">
        <f>+E147-F147</f>
        <v>0</v>
      </c>
    </row>
    <row r="148" spans="1:9" x14ac:dyDescent="0.25">
      <c r="A148" s="269"/>
      <c r="B148" s="268" t="s">
        <v>226</v>
      </c>
      <c r="C148" s="270"/>
      <c r="D148" s="270"/>
      <c r="E148" s="267">
        <f>C148+D148</f>
        <v>0</v>
      </c>
      <c r="F148" s="270"/>
      <c r="G148" s="270"/>
      <c r="H148" s="266">
        <f>+E148-F148</f>
        <v>0</v>
      </c>
    </row>
    <row r="149" spans="1:9" x14ac:dyDescent="0.25">
      <c r="A149" s="269"/>
      <c r="B149" s="268" t="s">
        <v>225</v>
      </c>
      <c r="C149" s="270"/>
      <c r="D149" s="270"/>
      <c r="E149" s="267">
        <f>C149+D149</f>
        <v>0</v>
      </c>
      <c r="F149" s="270"/>
      <c r="G149" s="270"/>
      <c r="H149" s="266">
        <f>+E149-F149</f>
        <v>0</v>
      </c>
    </row>
    <row r="150" spans="1:9" x14ac:dyDescent="0.25">
      <c r="A150" s="272" t="s">
        <v>224</v>
      </c>
      <c r="B150" s="271"/>
      <c r="C150" s="267">
        <f>SUM(C151:C157)</f>
        <v>0</v>
      </c>
      <c r="D150" s="267">
        <f>SUM(D151:D157)</f>
        <v>0</v>
      </c>
      <c r="E150" s="267">
        <f>SUM(E151:E157)</f>
        <v>0</v>
      </c>
      <c r="F150" s="267">
        <f>SUM(F151:F157)</f>
        <v>0</v>
      </c>
      <c r="G150" s="267">
        <f>SUM(G151:G157)</f>
        <v>0</v>
      </c>
      <c r="H150" s="267">
        <f>SUM(H151:H157)</f>
        <v>0</v>
      </c>
    </row>
    <row r="151" spans="1:9" x14ac:dyDescent="0.25">
      <c r="A151" s="269"/>
      <c r="B151" s="268" t="s">
        <v>223</v>
      </c>
      <c r="C151" s="270"/>
      <c r="D151" s="270"/>
      <c r="E151" s="267">
        <f>C151+D151</f>
        <v>0</v>
      </c>
      <c r="F151" s="270"/>
      <c r="G151" s="270"/>
      <c r="H151" s="266">
        <f>+E151-F151</f>
        <v>0</v>
      </c>
    </row>
    <row r="152" spans="1:9" x14ac:dyDescent="0.25">
      <c r="A152" s="269"/>
      <c r="B152" s="268" t="s">
        <v>222</v>
      </c>
      <c r="C152" s="270"/>
      <c r="D152" s="270"/>
      <c r="E152" s="267">
        <f>C152+D152</f>
        <v>0</v>
      </c>
      <c r="F152" s="270"/>
      <c r="G152" s="270"/>
      <c r="H152" s="266">
        <f>+E152-F152</f>
        <v>0</v>
      </c>
    </row>
    <row r="153" spans="1:9" x14ac:dyDescent="0.25">
      <c r="A153" s="269"/>
      <c r="B153" s="268" t="s">
        <v>221</v>
      </c>
      <c r="C153" s="270"/>
      <c r="D153" s="270"/>
      <c r="E153" s="267">
        <f>C153+D153</f>
        <v>0</v>
      </c>
      <c r="F153" s="270"/>
      <c r="G153" s="270"/>
      <c r="H153" s="266">
        <f>+E153-F153</f>
        <v>0</v>
      </c>
    </row>
    <row r="154" spans="1:9" x14ac:dyDescent="0.25">
      <c r="A154" s="269"/>
      <c r="B154" s="268" t="s">
        <v>220</v>
      </c>
      <c r="C154" s="270"/>
      <c r="D154" s="270"/>
      <c r="E154" s="267">
        <f>C154+D154</f>
        <v>0</v>
      </c>
      <c r="F154" s="270"/>
      <c r="G154" s="270"/>
      <c r="H154" s="266">
        <f>+E154-F154</f>
        <v>0</v>
      </c>
    </row>
    <row r="155" spans="1:9" x14ac:dyDescent="0.25">
      <c r="A155" s="269"/>
      <c r="B155" s="268" t="s">
        <v>219</v>
      </c>
      <c r="C155" s="270"/>
      <c r="D155" s="270"/>
      <c r="E155" s="267">
        <f>C155+D155</f>
        <v>0</v>
      </c>
      <c r="F155" s="270"/>
      <c r="G155" s="270"/>
      <c r="H155" s="266">
        <f>+E155-F155</f>
        <v>0</v>
      </c>
      <c r="I155" s="108" t="str">
        <f>IF((C159-'ETCA II-04'!B81)&gt;0.9,"ERROR!!!!! EL MONTO NO COINCIDE CON LO REPORTADO EN EL FORMATO ETCA-II-04 EN EL TOTAL DEL GASTO","")</f>
        <v/>
      </c>
    </row>
    <row r="156" spans="1:9" x14ac:dyDescent="0.25">
      <c r="A156" s="269"/>
      <c r="B156" s="268" t="s">
        <v>218</v>
      </c>
      <c r="C156" s="270"/>
      <c r="D156" s="270"/>
      <c r="E156" s="267">
        <f>C156+D156</f>
        <v>0</v>
      </c>
      <c r="F156" s="270"/>
      <c r="G156" s="270"/>
      <c r="H156" s="266">
        <f>+E156-F156</f>
        <v>0</v>
      </c>
      <c r="I156" s="108" t="str">
        <f>IF((D159-'ETCA II-04'!C81)&gt;0.9,"ERROR!!!!! EL MONTO NO COINCIDE CON LO REPORTADO EN EL FORMATO ETCA-II-04 EN EL TOTAL DEL GASTO","")</f>
        <v/>
      </c>
    </row>
    <row r="157" spans="1:9" x14ac:dyDescent="0.25">
      <c r="A157" s="269"/>
      <c r="B157" s="268" t="s">
        <v>217</v>
      </c>
      <c r="C157" s="270"/>
      <c r="D157" s="270"/>
      <c r="E157" s="267">
        <f>C157+D157</f>
        <v>0</v>
      </c>
      <c r="F157" s="270"/>
      <c r="G157" s="270"/>
      <c r="H157" s="266">
        <f>+E157-F157</f>
        <v>0</v>
      </c>
      <c r="I157" s="108" t="str">
        <f>IF((E159-'ETCA II-04'!D81)&gt;0.9,"ERROR!!!!! EL MONTO NO COINCIDE CON LO REPORTADO EN EL FORMATO ETCA-II-04 EN EL TOTAL DEL GASTO","")</f>
        <v/>
      </c>
    </row>
    <row r="158" spans="1:9" x14ac:dyDescent="0.25">
      <c r="A158" s="269"/>
      <c r="B158" s="268"/>
      <c r="C158" s="267"/>
      <c r="D158" s="267"/>
      <c r="E158" s="267">
        <f>C158+D158</f>
        <v>0</v>
      </c>
      <c r="F158" s="267"/>
      <c r="G158" s="267"/>
      <c r="H158" s="266"/>
      <c r="I158" s="108" t="str">
        <f>IF((H159-'ETCA II-04'!G81)&gt;0.9,"ERROR!!!!! EL MONTO NO COINCIDE CON LO REPORTADO EN EL FORMATO ETCA-II-04 EN EL TOTAL DEL GASTO","")</f>
        <v/>
      </c>
    </row>
    <row r="159" spans="1:9" x14ac:dyDescent="0.25">
      <c r="A159" s="265" t="s">
        <v>216</v>
      </c>
      <c r="B159" s="264"/>
      <c r="C159" s="263">
        <f>+C10+C84</f>
        <v>578850855.75</v>
      </c>
      <c r="D159" s="263">
        <f>+D10+D84</f>
        <v>370631441.71000004</v>
      </c>
      <c r="E159" s="263">
        <f>+E10+E84</f>
        <v>949482297.46000004</v>
      </c>
      <c r="F159" s="263">
        <f>+F10+F84</f>
        <v>693922767.47000003</v>
      </c>
      <c r="G159" s="263">
        <f>+G10+G84</f>
        <v>646587490.43999994</v>
      </c>
      <c r="H159" s="263">
        <f>+H10+H84</f>
        <v>255559529.99000001</v>
      </c>
      <c r="I159" s="108" t="str">
        <f>IF((F159-'ETCA II-04'!E81)&gt;0.9,"ERROR!!!!! EL MONTO NO COINCIDE CON LO REPORTADO EN EL FORMATO ETCA-II-04 EN EL TOTAL DEL GASTO","")</f>
        <v/>
      </c>
    </row>
    <row r="160" spans="1:9" ht="15.75" thickBot="1" x14ac:dyDescent="0.3">
      <c r="A160" s="262"/>
      <c r="B160" s="261"/>
      <c r="C160" s="260"/>
      <c r="D160" s="260"/>
      <c r="E160" s="260"/>
      <c r="F160" s="260"/>
      <c r="G160" s="260"/>
      <c r="H160" s="259"/>
      <c r="I160" s="108" t="str">
        <f>IF((G159-'ETCA II-04'!F81)&gt;0.9,"ERROR!!!!! EL MONTO NO COINCIDE CON LO REPORTADO EN EL FORMATO ETCA-II-04 EN EL TOTAL DEL GASTO","")</f>
        <v/>
      </c>
    </row>
  </sheetData>
  <sheetProtection formatColumns="0" formatRows="0"/>
  <mergeCells count="30">
    <mergeCell ref="A133:B133"/>
    <mergeCell ref="A137:B137"/>
    <mergeCell ref="A146:B146"/>
    <mergeCell ref="A150:B150"/>
    <mergeCell ref="A59:B59"/>
    <mergeCell ref="A63:B63"/>
    <mergeCell ref="A159:B159"/>
    <mergeCell ref="A76:B76"/>
    <mergeCell ref="A84:B84"/>
    <mergeCell ref="A85:B85"/>
    <mergeCell ref="A93:B93"/>
    <mergeCell ref="A103:B103"/>
    <mergeCell ref="A113:B113"/>
    <mergeCell ref="A123:B123"/>
    <mergeCell ref="A72:B72"/>
    <mergeCell ref="A7:B8"/>
    <mergeCell ref="C7:G7"/>
    <mergeCell ref="H7:H8"/>
    <mergeCell ref="A10:B10"/>
    <mergeCell ref="A11:B11"/>
    <mergeCell ref="A19:B19"/>
    <mergeCell ref="A29:B29"/>
    <mergeCell ref="A39:B39"/>
    <mergeCell ref="A49:B49"/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89AA-A8B6-481B-8732-54516CDE565C}">
  <dimension ref="A1:H40"/>
  <sheetViews>
    <sheetView view="pageBreakPreview" zoomScaleNormal="100" zoomScaleSheetLayoutView="100" workbookViewId="0">
      <selection activeCell="J40" sqref="J40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</row>
    <row r="2" spans="1:8" s="104" customFormat="1" ht="15.75" x14ac:dyDescent="0.25">
      <c r="A2" s="107" t="s">
        <v>215</v>
      </c>
      <c r="B2" s="107"/>
      <c r="C2" s="107"/>
      <c r="D2" s="107"/>
      <c r="E2" s="107"/>
      <c r="F2" s="107"/>
      <c r="G2" s="107"/>
    </row>
    <row r="3" spans="1:8" s="104" customFormat="1" ht="15.75" x14ac:dyDescent="0.25">
      <c r="A3" s="107" t="s">
        <v>317</v>
      </c>
      <c r="B3" s="107"/>
      <c r="C3" s="107"/>
      <c r="D3" s="107"/>
      <c r="E3" s="107"/>
      <c r="F3" s="107"/>
      <c r="G3" s="107"/>
    </row>
    <row r="4" spans="1:8" s="104" customFormat="1" ht="15.75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8" s="104" customFormat="1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8" s="26" customFormat="1" ht="17.25" thickBot="1" x14ac:dyDescent="0.3">
      <c r="A6" s="258" t="s">
        <v>316</v>
      </c>
      <c r="B6" s="258"/>
      <c r="C6" s="258"/>
      <c r="D6" s="258"/>
      <c r="E6" s="258"/>
      <c r="F6" s="103"/>
      <c r="G6" s="332"/>
    </row>
    <row r="7" spans="1:8" s="330" customFormat="1" ht="38.25" x14ac:dyDescent="0.25">
      <c r="A7" s="99" t="s">
        <v>113</v>
      </c>
      <c r="B7" s="256" t="s">
        <v>211</v>
      </c>
      <c r="C7" s="256" t="s">
        <v>111</v>
      </c>
      <c r="D7" s="256" t="s">
        <v>210</v>
      </c>
      <c r="E7" s="254" t="s">
        <v>209</v>
      </c>
      <c r="F7" s="254" t="s">
        <v>208</v>
      </c>
      <c r="G7" s="331" t="s">
        <v>207</v>
      </c>
    </row>
    <row r="8" spans="1:8" s="328" customFormat="1" ht="15.75" customHeight="1" thickBot="1" x14ac:dyDescent="0.3">
      <c r="A8" s="95"/>
      <c r="B8" s="251" t="s">
        <v>26</v>
      </c>
      <c r="C8" s="251" t="s">
        <v>25</v>
      </c>
      <c r="D8" s="251" t="s">
        <v>206</v>
      </c>
      <c r="E8" s="251" t="s">
        <v>23</v>
      </c>
      <c r="F8" s="251" t="s">
        <v>22</v>
      </c>
      <c r="G8" s="329" t="s">
        <v>205</v>
      </c>
    </row>
    <row r="9" spans="1:8" ht="21.75" customHeight="1" x14ac:dyDescent="0.25">
      <c r="A9" s="327" t="s">
        <v>315</v>
      </c>
      <c r="B9" s="325">
        <v>380252418.94999999</v>
      </c>
      <c r="C9" s="325">
        <v>85868028.409999996</v>
      </c>
      <c r="D9" s="326">
        <f>C9+B9</f>
        <v>466120447.36000001</v>
      </c>
      <c r="E9" s="325">
        <v>422095879.69999999</v>
      </c>
      <c r="F9" s="325">
        <v>380155368.73000002</v>
      </c>
      <c r="G9" s="324">
        <f>D9-E9</f>
        <v>44024567.660000026</v>
      </c>
    </row>
    <row r="10" spans="1:8" ht="22.5" customHeight="1" x14ac:dyDescent="0.25">
      <c r="A10" s="327" t="s">
        <v>314</v>
      </c>
      <c r="B10" s="325">
        <v>191843828.80000001</v>
      </c>
      <c r="C10" s="325">
        <v>197720464.71000004</v>
      </c>
      <c r="D10" s="326">
        <f>C10+B10</f>
        <v>389564293.51000005</v>
      </c>
      <c r="E10" s="325">
        <v>188221529.75999999</v>
      </c>
      <c r="F10" s="325">
        <v>185391727.41000003</v>
      </c>
      <c r="G10" s="324">
        <f>D10-E10</f>
        <v>201342763.75000006</v>
      </c>
    </row>
    <row r="11" spans="1:8" ht="22.5" customHeight="1" x14ac:dyDescent="0.25">
      <c r="A11" s="327" t="s">
        <v>313</v>
      </c>
      <c r="B11" s="325">
        <v>6754608</v>
      </c>
      <c r="C11" s="325">
        <v>87042948.590000004</v>
      </c>
      <c r="D11" s="326">
        <f>C11+B11</f>
        <v>93797556.590000004</v>
      </c>
      <c r="E11" s="325">
        <v>83605358.01000002</v>
      </c>
      <c r="F11" s="325">
        <v>81040394.300000012</v>
      </c>
      <c r="G11" s="324">
        <f>D11-E11</f>
        <v>10192198.579999983</v>
      </c>
    </row>
    <row r="12" spans="1:8" ht="23.25" customHeight="1" x14ac:dyDescent="0.25">
      <c r="A12" s="327" t="s">
        <v>171</v>
      </c>
      <c r="B12" s="325"/>
      <c r="C12" s="325"/>
      <c r="D12" s="326">
        <f>C12+B12</f>
        <v>0</v>
      </c>
      <c r="E12" s="325"/>
      <c r="F12" s="325"/>
      <c r="G12" s="324">
        <f>D12-E12</f>
        <v>0</v>
      </c>
    </row>
    <row r="13" spans="1:8" ht="22.5" customHeight="1" x14ac:dyDescent="0.25">
      <c r="A13" s="327" t="s">
        <v>143</v>
      </c>
      <c r="B13" s="325"/>
      <c r="C13" s="325"/>
      <c r="D13" s="326">
        <f>C13+B13</f>
        <v>0</v>
      </c>
      <c r="E13" s="325"/>
      <c r="F13" s="325"/>
      <c r="G13" s="324">
        <f>D13-E13</f>
        <v>0</v>
      </c>
    </row>
    <row r="14" spans="1:8" ht="10.5" customHeight="1" thickBot="1" x14ac:dyDescent="0.3">
      <c r="A14" s="323"/>
      <c r="B14" s="321"/>
      <c r="C14" s="321"/>
      <c r="D14" s="322"/>
      <c r="E14" s="321"/>
      <c r="F14" s="321"/>
      <c r="G14" s="320"/>
    </row>
    <row r="15" spans="1:8" ht="16.5" customHeight="1" thickBot="1" x14ac:dyDescent="0.3">
      <c r="A15" s="319" t="s">
        <v>132</v>
      </c>
      <c r="B15" s="317">
        <f>SUM(B9:B14)</f>
        <v>578850855.75</v>
      </c>
      <c r="C15" s="317">
        <f>SUM(C9:C14)</f>
        <v>370631441.71000004</v>
      </c>
      <c r="D15" s="318">
        <f>C15+B15</f>
        <v>949482297.46000004</v>
      </c>
      <c r="E15" s="317">
        <f>SUM(E9:E14)</f>
        <v>693922767.47000003</v>
      </c>
      <c r="F15" s="317">
        <f>SUM(F9:F14)</f>
        <v>646587490.44000006</v>
      </c>
      <c r="G15" s="316">
        <f>D15-E15</f>
        <v>255559529.99000001</v>
      </c>
      <c r="H15" s="108" t="str">
        <f>IF((B15-'ETCA II-04'!B81)&gt;0.9,"ERROR!!!!! EL MONTO NO COINCIDE CON LO REPORTADO EN EL FORMATO ETCA-II-04 EN EL TOTAL APROBADO ANUAL DEL ANALÍTICO DE EGRESOS","")</f>
        <v/>
      </c>
    </row>
    <row r="16" spans="1:8" ht="16.5" customHeight="1" x14ac:dyDescent="0.25">
      <c r="A16" s="315"/>
      <c r="B16" s="313"/>
      <c r="C16" s="313"/>
      <c r="D16" s="314"/>
      <c r="E16" s="313"/>
      <c r="F16" s="313"/>
      <c r="G16" s="313"/>
      <c r="H16" s="108" t="str">
        <f>IF((C15-'ETCA II-04'!C81)&gt;0.9,"ERROR!!!!! EL MONTO NO COINCIDE CON LO REPORTADO EN EL FORMATO ETCA-II-04 EN EL TOTAL DE AMPLIACIONES/REDUCCIONES ANUAL DEL ANALÍTICO DE EGRESOS","")</f>
        <v/>
      </c>
    </row>
    <row r="17" spans="1:8" ht="16.5" customHeight="1" x14ac:dyDescent="0.25">
      <c r="A17" s="315"/>
      <c r="B17" s="313"/>
      <c r="C17" s="313"/>
      <c r="D17" s="314"/>
      <c r="E17" s="313"/>
      <c r="F17" s="313"/>
      <c r="G17" s="313"/>
      <c r="H17" s="108" t="str">
        <f>IF((D15-'ETCA II-04'!D81)&gt;0.9,"ERROR!!!!! EL MONTO NO COINCIDE CON LO REPORTADO EN EL FORMATO ETCA-II-04 EN EL TOTAL MODIFICADO ANUAL DEL ANALÍTICO DE EGRESOS","")</f>
        <v/>
      </c>
    </row>
    <row r="18" spans="1:8" ht="16.5" customHeight="1" x14ac:dyDescent="0.25">
      <c r="A18" s="315"/>
      <c r="B18" s="313"/>
      <c r="C18" s="313"/>
      <c r="D18" s="314"/>
      <c r="E18" s="313"/>
      <c r="F18" s="313"/>
      <c r="G18" s="313"/>
      <c r="H18" s="108" t="str">
        <f>IF((E15-'ETCA II-04'!E81)&gt;0.9,"ERROR!!!!! EL MONTO NO COINCIDE CON LO REPORTADO EN EL FORMATO ETCA-II-04 EN EL TOTAL DEVENGADO ANUAL DEL ANALÍTICO DE EGRESOS","")</f>
        <v/>
      </c>
    </row>
    <row r="19" spans="1:8" ht="16.5" customHeight="1" x14ac:dyDescent="0.25">
      <c r="A19" s="315"/>
      <c r="B19" s="313"/>
      <c r="C19" s="313"/>
      <c r="D19" s="314"/>
      <c r="E19" s="313"/>
      <c r="F19" s="313"/>
      <c r="G19" s="313"/>
      <c r="H19" s="108" t="str">
        <f>IF((F15-'ETCA II-04'!F81)&gt;0.9,"ERROR!!!!! EL MONTO NO COINCIDE CON LO REPORTADO EN EL FORMATO ETCA-II-04 EN EL TOTAL PAGADO ANUAL DEL ANALÍTICO DE EGRESOS","")</f>
        <v/>
      </c>
    </row>
    <row r="20" spans="1:8" ht="16.5" customHeight="1" x14ac:dyDescent="0.25">
      <c r="A20" s="315"/>
      <c r="B20" s="313"/>
      <c r="C20" s="313"/>
      <c r="D20" s="314"/>
      <c r="E20" s="313"/>
      <c r="F20" s="313"/>
      <c r="G20" s="313"/>
      <c r="H20" s="108"/>
    </row>
    <row r="21" spans="1:8" ht="16.5" customHeight="1" x14ac:dyDescent="0.25">
      <c r="A21" s="315"/>
      <c r="B21" s="313"/>
      <c r="C21" s="313"/>
      <c r="D21" s="314"/>
      <c r="E21" s="313"/>
      <c r="F21" s="313"/>
      <c r="G21" s="313"/>
      <c r="H21" s="108"/>
    </row>
    <row r="22" spans="1:8" ht="16.5" customHeight="1" x14ac:dyDescent="0.25">
      <c r="A22" s="315"/>
      <c r="B22" s="313"/>
      <c r="C22" s="313"/>
      <c r="D22" s="314"/>
      <c r="E22" s="313"/>
      <c r="F22" s="313"/>
      <c r="G22" s="313"/>
      <c r="H22" s="108"/>
    </row>
    <row r="23" spans="1:8" ht="16.5" customHeight="1" x14ac:dyDescent="0.25">
      <c r="A23" s="315"/>
      <c r="B23" s="313"/>
      <c r="C23" s="313"/>
      <c r="D23" s="314"/>
      <c r="E23" s="313"/>
      <c r="F23" s="313"/>
      <c r="G23" s="313"/>
      <c r="H23" s="108"/>
    </row>
    <row r="24" spans="1:8" ht="16.5" customHeight="1" x14ac:dyDescent="0.25">
      <c r="A24" s="315"/>
      <c r="B24" s="313"/>
      <c r="C24" s="313"/>
      <c r="D24" s="314"/>
      <c r="E24" s="313"/>
      <c r="F24" s="313"/>
      <c r="G24" s="313"/>
      <c r="H24" s="108"/>
    </row>
    <row r="25" spans="1:8" ht="16.5" customHeight="1" x14ac:dyDescent="0.25">
      <c r="A25" s="315"/>
      <c r="B25" s="313"/>
      <c r="C25" s="313"/>
      <c r="D25" s="314"/>
      <c r="E25" s="313"/>
      <c r="F25" s="313"/>
      <c r="G25" s="313"/>
      <c r="H25" s="108"/>
    </row>
    <row r="26" spans="1:8" ht="18.75" customHeight="1" x14ac:dyDescent="0.25">
      <c r="H26" s="108" t="str">
        <f>IF(C15&lt;&gt;'ETCA II-04'!C81,"ERROR!!!!! EL MONTO NO COINCIDE CON LO REPORTADO EN EL FORMATO ETCA-II-11 EN EL TOTAL DE AMPLIACIONES/REDUCCIONES DEL ANALÍTICO DE EGRESOS","")</f>
        <v/>
      </c>
    </row>
    <row r="27" spans="1:8" s="179" customFormat="1" ht="15.75" x14ac:dyDescent="0.25">
      <c r="A27" s="312" t="s">
        <v>312</v>
      </c>
      <c r="B27" s="312"/>
      <c r="C27" s="312"/>
      <c r="D27" s="312"/>
      <c r="E27" s="312"/>
      <c r="F27" s="312"/>
      <c r="G27" s="307"/>
      <c r="H27" s="108" t="str">
        <f>IF(D15&lt;&gt;'ETCA II-04'!D81,"ERROR!!!!! EL MONTO NO COINCIDE CON LO REPORTADO EN EL FORMATO ETCA-II-11 EN EL TOTAL MODIFICADO ANUAL DEL ANALÍTICO DE EGRESOS","")</f>
        <v/>
      </c>
    </row>
    <row r="28" spans="1:8" s="179" customFormat="1" ht="13.5" x14ac:dyDescent="0.25">
      <c r="A28" s="310" t="s">
        <v>311</v>
      </c>
      <c r="B28" s="307"/>
      <c r="C28" s="307"/>
      <c r="D28" s="307"/>
      <c r="E28" s="307"/>
      <c r="F28" s="307"/>
      <c r="G28" s="307"/>
      <c r="H28" s="108" t="str">
        <f>IF(E15&lt;&gt;'ETCA II-04'!D81,"ERROR!!!!!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9" spans="1:8" s="179" customFormat="1" ht="28.5" customHeight="1" x14ac:dyDescent="0.25">
      <c r="A29" s="309" t="s">
        <v>310</v>
      </c>
      <c r="B29" s="309"/>
      <c r="C29" s="309"/>
      <c r="D29" s="309"/>
      <c r="E29" s="309"/>
      <c r="F29" s="309"/>
      <c r="G29" s="309"/>
      <c r="H29" s="108" t="str">
        <f>IF(F15&lt;&gt;'ETCA II-04'!F81,"ERROR!!!!! EL MONTO NO COINCIDE CON LO REPORTADO EN EL FORMATO ETCA-II-11 EN EL TOTAL PAGADO ANUAL DEL ANALÍTICO DE EGRESOS","")</f>
        <v/>
      </c>
    </row>
    <row r="30" spans="1:8" s="179" customFormat="1" ht="13.5" x14ac:dyDescent="0.25">
      <c r="A30" s="310" t="s">
        <v>309</v>
      </c>
      <c r="B30" s="307"/>
      <c r="C30" s="307"/>
      <c r="D30" s="307"/>
      <c r="E30" s="307"/>
      <c r="F30" s="307"/>
      <c r="G30" s="307"/>
      <c r="H30" s="108" t="str">
        <f>IF(G15&lt;&gt;'ETCA II-04'!G81,"ERROR!!!!! EL MONTO NO COINCIDE CON LO REPORTADO EN EL FORMATO ETCA-II-11 EN EL TOTAL DEL SUBEJERCICIO DEL ANALÍTICO DE EGRESOS","")</f>
        <v/>
      </c>
    </row>
    <row r="31" spans="1:8" s="179" customFormat="1" ht="25.5" customHeight="1" x14ac:dyDescent="0.25">
      <c r="A31" s="309" t="s">
        <v>308</v>
      </c>
      <c r="B31" s="309"/>
      <c r="C31" s="309"/>
      <c r="D31" s="309"/>
      <c r="E31" s="309"/>
      <c r="F31" s="309"/>
      <c r="G31" s="309"/>
    </row>
    <row r="32" spans="1:8" s="179" customFormat="1" ht="13.5" x14ac:dyDescent="0.25">
      <c r="A32" s="311" t="s">
        <v>307</v>
      </c>
      <c r="B32" s="311"/>
      <c r="C32" s="311"/>
      <c r="D32" s="311"/>
      <c r="E32" s="307"/>
      <c r="F32" s="307"/>
      <c r="G32" s="307"/>
    </row>
    <row r="33" spans="1:7" s="179" customFormat="1" ht="13.5" customHeight="1" x14ac:dyDescent="0.25">
      <c r="A33" s="309" t="s">
        <v>306</v>
      </c>
      <c r="B33" s="309"/>
      <c r="C33" s="309"/>
      <c r="D33" s="309"/>
      <c r="E33" s="309"/>
      <c r="F33" s="309"/>
      <c r="G33" s="309"/>
    </row>
    <row r="34" spans="1:7" s="179" customFormat="1" ht="13.5" x14ac:dyDescent="0.25">
      <c r="A34" s="310" t="s">
        <v>305</v>
      </c>
      <c r="B34" s="307"/>
      <c r="C34" s="307"/>
      <c r="D34" s="307"/>
      <c r="E34" s="307"/>
      <c r="F34" s="307"/>
      <c r="G34" s="307"/>
    </row>
    <row r="35" spans="1:7" s="179" customFormat="1" ht="13.5" customHeight="1" x14ac:dyDescent="0.25">
      <c r="A35" s="309" t="s">
        <v>304</v>
      </c>
      <c r="B35" s="309"/>
      <c r="C35" s="309"/>
      <c r="D35" s="309"/>
      <c r="E35" s="309"/>
      <c r="F35" s="309"/>
      <c r="G35" s="309"/>
    </row>
    <row r="36" spans="1:7" s="179" customFormat="1" ht="13.5" x14ac:dyDescent="0.25">
      <c r="A36" s="308" t="s">
        <v>301</v>
      </c>
      <c r="B36" s="307"/>
      <c r="C36" s="307"/>
      <c r="D36" s="307"/>
      <c r="E36" s="307"/>
      <c r="F36" s="307"/>
      <c r="G36" s="307"/>
    </row>
    <row r="37" spans="1:7" s="179" customFormat="1" ht="13.5" x14ac:dyDescent="0.25">
      <c r="A37" s="310" t="s">
        <v>303</v>
      </c>
      <c r="B37" s="307"/>
      <c r="C37" s="307"/>
      <c r="D37" s="307"/>
      <c r="E37" s="307"/>
      <c r="F37" s="307"/>
      <c r="G37" s="307"/>
    </row>
    <row r="38" spans="1:7" s="179" customFormat="1" ht="13.5" customHeight="1" x14ac:dyDescent="0.25">
      <c r="A38" s="309" t="s">
        <v>302</v>
      </c>
      <c r="B38" s="309"/>
      <c r="C38" s="309"/>
      <c r="D38" s="309"/>
      <c r="E38" s="309"/>
      <c r="F38" s="309"/>
      <c r="G38" s="309"/>
    </row>
    <row r="39" spans="1:7" s="179" customFormat="1" ht="13.5" x14ac:dyDescent="0.25">
      <c r="A39" s="308" t="s">
        <v>301</v>
      </c>
      <c r="B39" s="307"/>
      <c r="C39" s="307"/>
      <c r="D39" s="307"/>
      <c r="E39" s="307"/>
      <c r="F39" s="307"/>
      <c r="G39" s="307"/>
    </row>
    <row r="40" spans="1:7" ht="8.25" customHeight="1" x14ac:dyDescent="0.25"/>
  </sheetData>
  <sheetProtection password="C115" sheet="1" scenarios="1" formatColumns="0" formatRows="0" insertHyperlinks="0"/>
  <mergeCells count="14">
    <mergeCell ref="A7:A8"/>
    <mergeCell ref="A1:G1"/>
    <mergeCell ref="A2:G2"/>
    <mergeCell ref="A3:G3"/>
    <mergeCell ref="A4:G4"/>
    <mergeCell ref="A5:G5"/>
    <mergeCell ref="A6:E6"/>
    <mergeCell ref="A35:G35"/>
    <mergeCell ref="A38:G38"/>
    <mergeCell ref="A27:F27"/>
    <mergeCell ref="A29:G29"/>
    <mergeCell ref="A31:G31"/>
    <mergeCell ref="A32:D32"/>
    <mergeCell ref="A33:G33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CA07-A5EE-4620-9504-301F2515BEE9}">
  <dimension ref="A1:Q44"/>
  <sheetViews>
    <sheetView view="pageBreakPreview" zoomScale="115" zoomScaleNormal="100" zoomScaleSheetLayoutView="115" workbookViewId="0">
      <selection activeCell="J40" sqref="J4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8" width="14.5703125" style="1" bestFit="1" customWidth="1"/>
    <col min="9" max="11" width="11" style="1" bestFit="1" customWidth="1"/>
    <col min="12" max="12" width="13.5703125" style="1" bestFit="1" customWidth="1"/>
    <col min="13" max="13" width="12.5703125" style="1" customWidth="1"/>
    <col min="14" max="14" width="9" style="1" customWidth="1"/>
    <col min="15" max="15" width="11.28515625" style="1"/>
    <col min="16" max="17" width="12.85546875" style="1" bestFit="1" customWidth="1"/>
    <col min="18" max="16384" width="11.28515625" style="1"/>
  </cols>
  <sheetData>
    <row r="1" spans="1:17" x14ac:dyDescent="0.25">
      <c r="A1" s="107" t="s">
        <v>42</v>
      </c>
      <c r="B1" s="107"/>
      <c r="C1" s="107"/>
      <c r="D1" s="107"/>
      <c r="E1" s="107"/>
      <c r="F1" s="107"/>
      <c r="G1" s="107"/>
    </row>
    <row r="2" spans="1:17" s="26" customFormat="1" x14ac:dyDescent="0.25">
      <c r="A2" s="107" t="s">
        <v>215</v>
      </c>
      <c r="B2" s="107"/>
      <c r="C2" s="107"/>
      <c r="D2" s="107"/>
      <c r="E2" s="107"/>
      <c r="F2" s="107"/>
      <c r="G2" s="107"/>
    </row>
    <row r="3" spans="1:17" s="26" customFormat="1" x14ac:dyDescent="0.25">
      <c r="A3" s="107" t="s">
        <v>327</v>
      </c>
      <c r="B3" s="107"/>
      <c r="C3" s="107"/>
      <c r="D3" s="107"/>
      <c r="E3" s="107"/>
      <c r="F3" s="107"/>
      <c r="G3" s="107"/>
    </row>
    <row r="4" spans="1:17" s="26" customFormat="1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17" s="26" customFormat="1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17" s="26" customFormat="1" ht="17.25" thickBot="1" x14ac:dyDescent="0.3">
      <c r="A6" s="258" t="s">
        <v>328</v>
      </c>
      <c r="B6" s="258"/>
      <c r="C6" s="258"/>
      <c r="D6" s="258"/>
      <c r="E6" s="258"/>
      <c r="F6" s="103"/>
      <c r="G6" s="332"/>
    </row>
    <row r="7" spans="1:17" s="348" customFormat="1" ht="38.25" x14ac:dyDescent="0.25">
      <c r="A7" s="349" t="s">
        <v>327</v>
      </c>
      <c r="B7" s="256" t="s">
        <v>211</v>
      </c>
      <c r="C7" s="256" t="s">
        <v>111</v>
      </c>
      <c r="D7" s="256" t="s">
        <v>210</v>
      </c>
      <c r="E7" s="256" t="s">
        <v>209</v>
      </c>
      <c r="F7" s="256" t="s">
        <v>208</v>
      </c>
      <c r="G7" s="331" t="s">
        <v>207</v>
      </c>
      <c r="H7" s="334"/>
    </row>
    <row r="8" spans="1:17" s="344" customFormat="1" ht="17.25" thickBot="1" x14ac:dyDescent="0.3">
      <c r="A8" s="347"/>
      <c r="B8" s="346" t="s">
        <v>26</v>
      </c>
      <c r="C8" s="346" t="s">
        <v>25</v>
      </c>
      <c r="D8" s="346" t="s">
        <v>206</v>
      </c>
      <c r="E8" s="346" t="s">
        <v>23</v>
      </c>
      <c r="F8" s="346" t="s">
        <v>22</v>
      </c>
      <c r="G8" s="345" t="s">
        <v>205</v>
      </c>
    </row>
    <row r="9" spans="1:17" ht="21" customHeight="1" x14ac:dyDescent="0.25">
      <c r="A9" s="343" t="s">
        <v>326</v>
      </c>
      <c r="B9" s="325">
        <v>3005627.8692494174</v>
      </c>
      <c r="C9" s="342">
        <v>628644</v>
      </c>
      <c r="D9" s="342">
        <f>IF($A9="","",B9+C9)</f>
        <v>3634271.8692494174</v>
      </c>
      <c r="E9" s="325">
        <v>3634272.2011553785</v>
      </c>
      <c r="F9" s="325">
        <v>3559248.5195778678</v>
      </c>
      <c r="G9" s="338">
        <f>IF($A9="","",D9-E9)</f>
        <v>-0.33190596103668213</v>
      </c>
      <c r="H9" s="334"/>
      <c r="I9" s="334"/>
      <c r="J9" s="334"/>
      <c r="K9" s="334"/>
      <c r="L9" s="334"/>
      <c r="M9" s="334"/>
      <c r="N9" s="334"/>
      <c r="O9" s="334"/>
      <c r="P9" s="341"/>
      <c r="Q9" s="341"/>
    </row>
    <row r="10" spans="1:17" ht="21" customHeight="1" x14ac:dyDescent="0.25">
      <c r="A10" s="343" t="s">
        <v>325</v>
      </c>
      <c r="B10" s="325">
        <f>25299502.3172807+68632617+14619259.19+30093117-44712376</f>
        <v>93932119.507280707</v>
      </c>
      <c r="C10" s="342">
        <f>36944795.4100024+43870959.13</f>
        <v>80815754.540002406</v>
      </c>
      <c r="D10" s="342">
        <f>IF($A10="","",B10+C10)</f>
        <v>174747874.04728311</v>
      </c>
      <c r="E10" s="325">
        <f>31309270.8472783+44815827.7</f>
        <v>76125098.5472783</v>
      </c>
      <c r="F10" s="325">
        <v>74553618.801855832</v>
      </c>
      <c r="G10" s="338">
        <f>IF($A10="","",D10-E10)</f>
        <v>98622775.500004813</v>
      </c>
      <c r="H10" s="334"/>
      <c r="J10" s="334"/>
      <c r="K10" s="334"/>
      <c r="L10" s="334"/>
      <c r="M10" s="334"/>
      <c r="N10" s="334"/>
      <c r="O10" s="334"/>
      <c r="P10" s="341"/>
      <c r="Q10" s="341"/>
    </row>
    <row r="11" spans="1:17" ht="21" customHeight="1" x14ac:dyDescent="0.25">
      <c r="A11" s="343" t="s">
        <v>324</v>
      </c>
      <c r="B11" s="325">
        <v>6122860.7456979705</v>
      </c>
      <c r="C11" s="342">
        <f>790638.45+790638.45+825248.33+825248.32+1000000+722270</f>
        <v>4954043.55</v>
      </c>
      <c r="D11" s="342">
        <f>IF($A11="","",B11+C11)</f>
        <v>11076904.29569797</v>
      </c>
      <c r="E11" s="325">
        <f>6845131.02505311+500000+500000+825248.33+825248.32+790638.45+790638.44</f>
        <v>11076904.565053109</v>
      </c>
      <c r="F11" s="325">
        <v>10848239.755441759</v>
      </c>
      <c r="G11" s="338">
        <f>IF($A11="","",D11-E11)</f>
        <v>-0.26935513876378536</v>
      </c>
      <c r="H11" s="334"/>
      <c r="I11" s="334"/>
      <c r="J11" s="334"/>
      <c r="K11" s="334"/>
      <c r="L11" s="334"/>
      <c r="M11" s="334"/>
      <c r="N11" s="334"/>
      <c r="O11" s="334"/>
      <c r="P11" s="341"/>
      <c r="Q11" s="341"/>
    </row>
    <row r="12" spans="1:17" ht="24.75" customHeight="1" x14ac:dyDescent="0.25">
      <c r="A12" s="343" t="s">
        <v>323</v>
      </c>
      <c r="B12" s="325">
        <f>9994252.80709833+92920000-0.35</f>
        <v>102914252.45709834</v>
      </c>
      <c r="C12" s="342">
        <v>174753278.60999799</v>
      </c>
      <c r="D12" s="342">
        <f>IF($A12="","",B12+C12)</f>
        <v>277667531.06709635</v>
      </c>
      <c r="E12" s="325">
        <f>10330190.3847297+107067143.4+58181647.31</f>
        <v>175578981.09472972</v>
      </c>
      <c r="F12" s="325">
        <v>171954436.52562258</v>
      </c>
      <c r="G12" s="338">
        <f>IF($A12="","",D12-E12)</f>
        <v>102088549.97236663</v>
      </c>
      <c r="H12" s="334"/>
      <c r="I12" s="334"/>
      <c r="J12" s="334"/>
      <c r="K12" s="334"/>
      <c r="L12" s="334"/>
      <c r="M12" s="334"/>
      <c r="N12" s="334"/>
      <c r="O12" s="334"/>
      <c r="P12" s="341"/>
      <c r="Q12" s="341"/>
    </row>
    <row r="13" spans="1:17" ht="24" customHeight="1" x14ac:dyDescent="0.25">
      <c r="A13" s="343" t="s">
        <v>322</v>
      </c>
      <c r="B13" s="325">
        <f>7538959.89119896+24980000</f>
        <v>32518959.891198959</v>
      </c>
      <c r="C13" s="342">
        <f>1154441.58+1599793.44+860949.66</f>
        <v>3615184.68</v>
      </c>
      <c r="D13" s="342">
        <f>IF($A13="","",B13+C13)</f>
        <v>36134144.571198963</v>
      </c>
      <c r="E13" s="325">
        <f>8399909.94880449+1599793.44+1154441.58</f>
        <v>11154144.96880449</v>
      </c>
      <c r="F13" s="325">
        <v>10923885.655772587</v>
      </c>
      <c r="G13" s="338">
        <f>IF($A13="","",D13-E13)</f>
        <v>24979999.602394473</v>
      </c>
      <c r="H13" s="334"/>
      <c r="I13" s="334"/>
      <c r="J13" s="334"/>
      <c r="K13" s="334"/>
      <c r="L13" s="334"/>
      <c r="M13" s="334"/>
      <c r="N13" s="334"/>
      <c r="O13" s="334"/>
      <c r="P13" s="341"/>
      <c r="Q13" s="341"/>
    </row>
    <row r="14" spans="1:17" ht="21" customHeight="1" x14ac:dyDescent="0.25">
      <c r="A14" s="343" t="s">
        <v>321</v>
      </c>
      <c r="B14" s="325">
        <v>5822758.5729953265</v>
      </c>
      <c r="C14" s="342">
        <v>0</v>
      </c>
      <c r="D14" s="342">
        <f>IF($A14="","",B14+C14)</f>
        <v>5822758.5729953265</v>
      </c>
      <c r="E14" s="325">
        <v>4822450.1610008338</v>
      </c>
      <c r="F14" s="325">
        <v>4722898.4639134994</v>
      </c>
      <c r="G14" s="338">
        <f>IF($A14="","",D14-E14)</f>
        <v>1000308.4119944926</v>
      </c>
      <c r="H14" s="334"/>
      <c r="I14" s="334"/>
      <c r="J14" s="334"/>
      <c r="K14" s="334"/>
      <c r="L14" s="334"/>
      <c r="M14" s="334"/>
      <c r="N14" s="334"/>
      <c r="O14" s="334"/>
      <c r="P14" s="341"/>
      <c r="Q14" s="341"/>
    </row>
    <row r="15" spans="1:17" ht="21" customHeight="1" x14ac:dyDescent="0.25">
      <c r="A15" s="343" t="s">
        <v>320</v>
      </c>
      <c r="B15" s="325">
        <v>3631456.0882340474</v>
      </c>
      <c r="C15" s="342">
        <f>392948.47+4841</f>
        <v>397789.47</v>
      </c>
      <c r="D15" s="342">
        <f>IF($A15="","",B15+C15)</f>
        <v>4029245.5582340471</v>
      </c>
      <c r="E15" s="325">
        <v>4029245.5618301807</v>
      </c>
      <c r="F15" s="325">
        <v>3946068.2929585082</v>
      </c>
      <c r="G15" s="338">
        <f>IF($A15="","",D15-E15)</f>
        <v>-3.5961335524916649E-3</v>
      </c>
      <c r="H15" s="334"/>
      <c r="I15" s="334"/>
      <c r="J15" s="334"/>
      <c r="K15" s="334"/>
      <c r="L15" s="334"/>
      <c r="M15" s="334"/>
      <c r="N15" s="334"/>
      <c r="O15" s="334"/>
      <c r="P15" s="341"/>
      <c r="Q15" s="341"/>
    </row>
    <row r="16" spans="1:17" ht="21" customHeight="1" x14ac:dyDescent="0.25">
      <c r="A16" s="343" t="s">
        <v>319</v>
      </c>
      <c r="B16" s="325">
        <v>164623.42180791168</v>
      </c>
      <c r="C16" s="342">
        <v>36864</v>
      </c>
      <c r="D16" s="342">
        <f>IF($A16="","",B16+C16)</f>
        <v>201487.42180791168</v>
      </c>
      <c r="E16" s="325">
        <v>201487.36620454694</v>
      </c>
      <c r="F16" s="325">
        <v>197327.98485737777</v>
      </c>
      <c r="G16" s="338">
        <f>IF($A16="","",D16-E16)</f>
        <v>5.5603364744456485E-2</v>
      </c>
      <c r="H16" s="334"/>
      <c r="I16" s="334"/>
      <c r="J16" s="334"/>
      <c r="K16" s="334"/>
      <c r="L16" s="334"/>
      <c r="M16" s="334"/>
      <c r="N16" s="334"/>
      <c r="O16" s="334"/>
      <c r="P16" s="341"/>
      <c r="Q16" s="341"/>
    </row>
    <row r="17" spans="1:13" ht="21" customHeight="1" x14ac:dyDescent="0.25">
      <c r="A17" s="343" t="s">
        <v>318</v>
      </c>
      <c r="B17" s="325">
        <v>330738197.20023847</v>
      </c>
      <c r="C17" s="342">
        <v>105429882.86000001</v>
      </c>
      <c r="D17" s="342">
        <f>IF($A17="","",B17+C17)</f>
        <v>436168080.06023848</v>
      </c>
      <c r="E17" s="325">
        <v>407300182.99999994</v>
      </c>
      <c r="F17" s="325">
        <v>365881766.43999994</v>
      </c>
      <c r="G17" s="338">
        <f>IF($A17="","",D17-E17)</f>
        <v>28867897.06023854</v>
      </c>
      <c r="H17" s="334"/>
      <c r="I17" s="334"/>
      <c r="J17" s="334"/>
      <c r="K17" s="334"/>
      <c r="L17" s="334"/>
      <c r="M17" s="334"/>
    </row>
    <row r="18" spans="1:13" ht="21" customHeight="1" x14ac:dyDescent="0.25">
      <c r="A18" s="339"/>
      <c r="B18" s="325"/>
      <c r="C18" s="325"/>
      <c r="D18" s="325" t="str">
        <f>IF($A18="","",B18+C18)</f>
        <v/>
      </c>
      <c r="E18" s="325"/>
      <c r="F18" s="325"/>
      <c r="G18" s="338" t="str">
        <f>IF($A18="","",D18-E18)</f>
        <v/>
      </c>
      <c r="H18" s="334"/>
    </row>
    <row r="19" spans="1:13" ht="21" customHeight="1" x14ac:dyDescent="0.25">
      <c r="A19" s="339"/>
      <c r="B19" s="325"/>
      <c r="C19" s="325"/>
      <c r="D19" s="325" t="str">
        <f>IF($A19="","",B19+C19)</f>
        <v/>
      </c>
      <c r="E19" s="325"/>
      <c r="F19" s="325"/>
      <c r="G19" s="338" t="str">
        <f>IF($A19="","",D19-E19)</f>
        <v/>
      </c>
      <c r="H19" s="334"/>
      <c r="K19" s="334"/>
      <c r="L19" s="341"/>
    </row>
    <row r="20" spans="1:13" ht="21" customHeight="1" x14ac:dyDescent="0.25">
      <c r="A20" s="339"/>
      <c r="B20" s="325"/>
      <c r="C20" s="325"/>
      <c r="D20" s="325" t="str">
        <f>IF($A20="","",B20+C20)</f>
        <v/>
      </c>
      <c r="E20" s="325"/>
      <c r="F20" s="325"/>
      <c r="G20" s="338" t="str">
        <f>IF($A20="","",D20-E20)</f>
        <v/>
      </c>
      <c r="H20" s="340"/>
    </row>
    <row r="21" spans="1:13" ht="21" customHeight="1" x14ac:dyDescent="0.25">
      <c r="A21" s="339"/>
      <c r="B21" s="325"/>
      <c r="C21" s="325"/>
      <c r="D21" s="325" t="str">
        <f>IF($A21="","",B21+C21)</f>
        <v/>
      </c>
      <c r="E21" s="325"/>
      <c r="F21" s="325"/>
      <c r="G21" s="338" t="str">
        <f>IF($A21="","",D21-E21)</f>
        <v/>
      </c>
    </row>
    <row r="22" spans="1:13" ht="21" customHeight="1" x14ac:dyDescent="0.25">
      <c r="A22" s="339"/>
      <c r="B22" s="325"/>
      <c r="C22" s="325"/>
      <c r="D22" s="325" t="str">
        <f>IF($A22="","",B22+C22)</f>
        <v/>
      </c>
      <c r="E22" s="325"/>
      <c r="F22" s="325"/>
      <c r="G22" s="338" t="str">
        <f>IF($A22="","",D22-E22)</f>
        <v/>
      </c>
    </row>
    <row r="23" spans="1:13" ht="21" customHeight="1" x14ac:dyDescent="0.25">
      <c r="A23" s="339"/>
      <c r="B23" s="325"/>
      <c r="C23" s="325"/>
      <c r="D23" s="325" t="str">
        <f>IF($A23="","",B23+C23)</f>
        <v/>
      </c>
      <c r="E23" s="325"/>
      <c r="F23" s="325"/>
      <c r="G23" s="338" t="str">
        <f>IF($A23="","",D23-E23)</f>
        <v/>
      </c>
    </row>
    <row r="24" spans="1:13" ht="21" customHeight="1" x14ac:dyDescent="0.25">
      <c r="A24" s="339"/>
      <c r="B24" s="325"/>
      <c r="C24" s="325"/>
      <c r="D24" s="325" t="str">
        <f>IF($A24="","",B24+C24)</f>
        <v/>
      </c>
      <c r="E24" s="325"/>
      <c r="F24" s="325"/>
      <c r="G24" s="338" t="str">
        <f>IF($A24="","",D24-E24)</f>
        <v/>
      </c>
    </row>
    <row r="25" spans="1:13" ht="21" customHeight="1" x14ac:dyDescent="0.25">
      <c r="A25" s="339"/>
      <c r="B25" s="325"/>
      <c r="C25" s="325"/>
      <c r="D25" s="325" t="str">
        <f>IF($A25="","",B25+C25)</f>
        <v/>
      </c>
      <c r="E25" s="325"/>
      <c r="F25" s="325"/>
      <c r="G25" s="338" t="str">
        <f>IF($A25="","",D25-E25)</f>
        <v/>
      </c>
    </row>
    <row r="26" spans="1:13" ht="21" customHeight="1" x14ac:dyDescent="0.25">
      <c r="A26" s="339"/>
      <c r="B26" s="325"/>
      <c r="C26" s="325"/>
      <c r="D26" s="325" t="str">
        <f>IF($A26="","",B26+C26)</f>
        <v/>
      </c>
      <c r="E26" s="325"/>
      <c r="F26" s="325"/>
      <c r="G26" s="338" t="str">
        <f>IF($A26="","",D26-E26)</f>
        <v/>
      </c>
    </row>
    <row r="27" spans="1:13" ht="21" customHeight="1" x14ac:dyDescent="0.25">
      <c r="A27" s="339"/>
      <c r="B27" s="325"/>
      <c r="C27" s="325"/>
      <c r="D27" s="325" t="str">
        <f>IF($A27="","",B27+C27)</f>
        <v/>
      </c>
      <c r="E27" s="325"/>
      <c r="F27" s="325"/>
      <c r="G27" s="338" t="str">
        <f>IF($A27="","",D27-E27)</f>
        <v/>
      </c>
    </row>
    <row r="28" spans="1:13" ht="21" customHeight="1" x14ac:dyDescent="0.25">
      <c r="A28" s="339"/>
      <c r="B28" s="325"/>
      <c r="C28" s="325"/>
      <c r="D28" s="325" t="str">
        <f>IF($A28="","",B28+C28)</f>
        <v/>
      </c>
      <c r="E28" s="325"/>
      <c r="F28" s="325"/>
      <c r="G28" s="338" t="str">
        <f>IF($A28="","",D28-E28)</f>
        <v/>
      </c>
    </row>
    <row r="29" spans="1:13" ht="21" customHeight="1" x14ac:dyDescent="0.25">
      <c r="A29" s="339"/>
      <c r="B29" s="325"/>
      <c r="C29" s="325"/>
      <c r="D29" s="325" t="str">
        <f>IF($A29="","",B29+C29)</f>
        <v/>
      </c>
      <c r="E29" s="325"/>
      <c r="F29" s="325"/>
      <c r="G29" s="338" t="str">
        <f>IF($A29="","",D29-E29)</f>
        <v/>
      </c>
    </row>
    <row r="30" spans="1:13" ht="21" customHeight="1" x14ac:dyDescent="0.25">
      <c r="A30" s="339"/>
      <c r="B30" s="325"/>
      <c r="C30" s="325"/>
      <c r="D30" s="325" t="str">
        <f>IF($A30="","",B30+C30)</f>
        <v/>
      </c>
      <c r="E30" s="325"/>
      <c r="F30" s="325"/>
      <c r="G30" s="338" t="str">
        <f>IF($A30="","",D30-E30)</f>
        <v/>
      </c>
    </row>
    <row r="31" spans="1:13" ht="21" customHeight="1" thickBot="1" x14ac:dyDescent="0.3">
      <c r="A31" s="339"/>
      <c r="B31" s="325"/>
      <c r="C31" s="325"/>
      <c r="D31" s="325" t="str">
        <f>IF($A31="","",B31+C31)</f>
        <v/>
      </c>
      <c r="E31" s="325"/>
      <c r="F31" s="325"/>
      <c r="G31" s="338" t="str">
        <f>IF($A31="","",D31-E31)</f>
        <v/>
      </c>
    </row>
    <row r="32" spans="1:13" ht="21" customHeight="1" thickBot="1" x14ac:dyDescent="0.3">
      <c r="A32" s="337" t="s">
        <v>132</v>
      </c>
      <c r="B32" s="236">
        <f>SUM(B9:B31)</f>
        <v>578850855.75380111</v>
      </c>
      <c r="C32" s="236">
        <f>SUM(C9:C31)</f>
        <v>370631441.7100004</v>
      </c>
      <c r="D32" s="236">
        <f>SUM(D9:D31)</f>
        <v>949482297.46380138</v>
      </c>
      <c r="E32" s="236">
        <f>SUM(E9:E31)</f>
        <v>693922767.46605659</v>
      </c>
      <c r="F32" s="236">
        <f>SUM(F9:F31)</f>
        <v>646587490.43999994</v>
      </c>
      <c r="G32" s="235">
        <f>IF($A32="","",D32-E32)</f>
        <v>255559529.9977448</v>
      </c>
    </row>
    <row r="33" spans="2:7" x14ac:dyDescent="0.2">
      <c r="B33" s="336"/>
      <c r="C33" s="336"/>
      <c r="D33" s="336"/>
      <c r="E33" s="336"/>
      <c r="F33" s="336"/>
      <c r="G33" s="336"/>
    </row>
    <row r="34" spans="2:7" x14ac:dyDescent="0.25">
      <c r="B34" s="335"/>
      <c r="C34" s="335"/>
      <c r="D34" s="335"/>
      <c r="E34" s="335"/>
      <c r="F34" s="335"/>
      <c r="G34" s="335"/>
    </row>
    <row r="37" spans="2:7" x14ac:dyDescent="0.25">
      <c r="B37" s="334"/>
      <c r="C37" s="334"/>
      <c r="D37" s="334"/>
      <c r="E37" s="334"/>
      <c r="F37" s="334"/>
      <c r="G37" s="334"/>
    </row>
    <row r="38" spans="2:7" x14ac:dyDescent="0.25">
      <c r="B38" s="334"/>
      <c r="C38" s="334"/>
      <c r="D38" s="334"/>
      <c r="E38" s="334"/>
      <c r="F38" s="334"/>
    </row>
    <row r="39" spans="2:7" x14ac:dyDescent="0.25">
      <c r="B39" s="333"/>
      <c r="C39" s="333"/>
      <c r="D39" s="333"/>
      <c r="E39" s="333"/>
      <c r="F39" s="333"/>
      <c r="G39" s="333"/>
    </row>
    <row r="40" spans="2:7" x14ac:dyDescent="0.25">
      <c r="B40" s="333"/>
      <c r="C40" s="333"/>
      <c r="D40" s="333"/>
      <c r="E40" s="333"/>
      <c r="F40" s="333"/>
      <c r="G40" s="333"/>
    </row>
    <row r="41" spans="2:7" x14ac:dyDescent="0.25">
      <c r="B41" s="333"/>
      <c r="C41" s="333"/>
      <c r="D41" s="333"/>
      <c r="E41" s="333"/>
      <c r="F41" s="333"/>
      <c r="G41" s="333"/>
    </row>
    <row r="42" spans="2:7" x14ac:dyDescent="0.25">
      <c r="B42" s="333"/>
      <c r="C42" s="333"/>
      <c r="D42" s="333"/>
      <c r="E42" s="333"/>
      <c r="F42" s="333"/>
      <c r="G42" s="333"/>
    </row>
    <row r="43" spans="2:7" x14ac:dyDescent="0.25">
      <c r="B43" s="333"/>
      <c r="C43" s="333"/>
      <c r="D43" s="333"/>
      <c r="E43" s="333"/>
      <c r="F43" s="333"/>
      <c r="G43" s="333"/>
    </row>
    <row r="44" spans="2:7" x14ac:dyDescent="0.25">
      <c r="B44" s="333"/>
      <c r="C44" s="333"/>
      <c r="D44" s="333"/>
      <c r="E44" s="333"/>
      <c r="F44" s="333"/>
      <c r="G44" s="333"/>
    </row>
  </sheetData>
  <sheetProtection formatColumns="0" formatRows="0" insertRows="0" deleteColumns="0" deleteRow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B462D-6AB1-477C-9D2B-40FEFC593070}">
  <dimension ref="A1:H46"/>
  <sheetViews>
    <sheetView view="pageBreakPreview" topLeftCell="A7" zoomScaleNormal="100" zoomScaleSheetLayoutView="100" workbookViewId="0">
      <selection activeCell="J40" sqref="J40"/>
    </sheetView>
  </sheetViews>
  <sheetFormatPr baseColWidth="10" defaultColWidth="11.42578125" defaultRowHeight="15" x14ac:dyDescent="0.25"/>
  <cols>
    <col min="1" max="1" width="32.42578125" customWidth="1"/>
    <col min="2" max="2" width="13.28515625" customWidth="1"/>
    <col min="3" max="3" width="13.140625" customWidth="1"/>
    <col min="4" max="4" width="13.28515625" customWidth="1"/>
    <col min="5" max="5" width="12.85546875" customWidth="1"/>
    <col min="6" max="6" width="14" customWidth="1"/>
    <col min="7" max="7" width="15.42578125" customWidth="1"/>
  </cols>
  <sheetData>
    <row r="1" spans="1:7" s="359" customFormat="1" ht="15.75" x14ac:dyDescent="0.2">
      <c r="A1" s="387" t="s">
        <v>42</v>
      </c>
      <c r="B1" s="386"/>
      <c r="C1" s="386"/>
      <c r="D1" s="386"/>
      <c r="E1" s="386"/>
      <c r="F1" s="386"/>
      <c r="G1" s="385"/>
    </row>
    <row r="2" spans="1:7" s="359" customFormat="1" ht="15.75" x14ac:dyDescent="0.2">
      <c r="A2" s="384" t="str">
        <f>'[1]ETCA-I-01'!A3:G3</f>
        <v>Comision Estatal del Agua</v>
      </c>
      <c r="B2" s="383"/>
      <c r="C2" s="383"/>
      <c r="D2" s="383"/>
      <c r="E2" s="383"/>
      <c r="F2" s="383"/>
      <c r="G2" s="382"/>
    </row>
    <row r="3" spans="1:7" s="359" customFormat="1" ht="12.75" x14ac:dyDescent="0.2">
      <c r="A3" s="381" t="s">
        <v>300</v>
      </c>
      <c r="B3" s="380"/>
      <c r="C3" s="380"/>
      <c r="D3" s="380"/>
      <c r="E3" s="380"/>
      <c r="F3" s="380"/>
      <c r="G3" s="379"/>
    </row>
    <row r="4" spans="1:7" s="359" customFormat="1" ht="12.75" x14ac:dyDescent="0.2">
      <c r="A4" s="381" t="s">
        <v>336</v>
      </c>
      <c r="B4" s="380"/>
      <c r="C4" s="380"/>
      <c r="D4" s="380"/>
      <c r="E4" s="380"/>
      <c r="F4" s="380"/>
      <c r="G4" s="379"/>
    </row>
    <row r="5" spans="1:7" s="359" customFormat="1" ht="12.75" x14ac:dyDescent="0.2">
      <c r="A5" s="381" t="str">
        <f>'[1]ETCA-I-03'!A4:D4</f>
        <v>Del 01 de Enero al 31 de Diciembre de 2019</v>
      </c>
      <c r="B5" s="380"/>
      <c r="C5" s="380"/>
      <c r="D5" s="380"/>
      <c r="E5" s="380"/>
      <c r="F5" s="380"/>
      <c r="G5" s="379"/>
    </row>
    <row r="6" spans="1:7" s="359" customFormat="1" ht="20.25" customHeight="1" thickBot="1" x14ac:dyDescent="0.25">
      <c r="A6" s="378" t="s">
        <v>40</v>
      </c>
      <c r="B6" s="377"/>
      <c r="C6" s="377"/>
      <c r="D6" s="377"/>
      <c r="E6" s="377"/>
      <c r="F6" s="377"/>
      <c r="G6" s="376"/>
    </row>
    <row r="7" spans="1:7" s="359" customFormat="1" ht="13.5" thickBot="1" x14ac:dyDescent="0.25">
      <c r="A7" s="372" t="s">
        <v>298</v>
      </c>
      <c r="B7" s="375" t="s">
        <v>297</v>
      </c>
      <c r="C7" s="374"/>
      <c r="D7" s="374"/>
      <c r="E7" s="374"/>
      <c r="F7" s="373"/>
      <c r="G7" s="372" t="s">
        <v>296</v>
      </c>
    </row>
    <row r="8" spans="1:7" s="359" customFormat="1" ht="26.25" thickBot="1" x14ac:dyDescent="0.25">
      <c r="A8" s="370"/>
      <c r="B8" s="371" t="s">
        <v>295</v>
      </c>
      <c r="C8" s="371" t="s">
        <v>111</v>
      </c>
      <c r="D8" s="371" t="s">
        <v>30</v>
      </c>
      <c r="E8" s="371" t="s">
        <v>110</v>
      </c>
      <c r="F8" s="371" t="s">
        <v>335</v>
      </c>
      <c r="G8" s="370"/>
    </row>
    <row r="9" spans="1:7" s="359" customFormat="1" ht="12.75" x14ac:dyDescent="0.2">
      <c r="A9" s="364" t="s">
        <v>334</v>
      </c>
      <c r="B9" s="369"/>
      <c r="C9" s="369"/>
      <c r="D9" s="369"/>
      <c r="E9" s="369"/>
      <c r="F9" s="369"/>
      <c r="G9" s="369"/>
    </row>
    <row r="10" spans="1:7" s="359" customFormat="1" ht="12.75" x14ac:dyDescent="0.2">
      <c r="A10" s="364" t="s">
        <v>333</v>
      </c>
      <c r="B10" s="362">
        <f>SUM(B11:B19)</f>
        <v>512550856.10380083</v>
      </c>
      <c r="C10" s="362">
        <f>SUM(C11:C19)</f>
        <v>214857954.01000041</v>
      </c>
      <c r="D10" s="362">
        <f>SUM(D11:D19)</f>
        <v>727408810.11380112</v>
      </c>
      <c r="E10" s="362">
        <f>SUM(E11:E19)</f>
        <v>574789549.66605651</v>
      </c>
      <c r="F10" s="362">
        <f>SUM(F11:F19)</f>
        <v>527489413.45999992</v>
      </c>
      <c r="G10" s="361">
        <f>SUM(G11:G19)</f>
        <v>152619260.44774473</v>
      </c>
    </row>
    <row r="11" spans="1:7" s="359" customFormat="1" ht="13.5" x14ac:dyDescent="0.2">
      <c r="A11" s="366" t="s">
        <v>326</v>
      </c>
      <c r="B11" s="362">
        <v>3005627.8692494174</v>
      </c>
      <c r="C11" s="362">
        <v>628644</v>
      </c>
      <c r="D11" s="362">
        <f>B11+C11</f>
        <v>3634271.8692494174</v>
      </c>
      <c r="E11" s="362">
        <v>3634272.2011553785</v>
      </c>
      <c r="F11" s="368">
        <v>3559248.5195778678</v>
      </c>
      <c r="G11" s="361">
        <f>+D11-E11</f>
        <v>-0.33190596103668213</v>
      </c>
    </row>
    <row r="12" spans="1:7" s="359" customFormat="1" ht="25.5" x14ac:dyDescent="0.2">
      <c r="A12" s="366" t="s">
        <v>325</v>
      </c>
      <c r="B12" s="362">
        <v>93932119.507280707</v>
      </c>
      <c r="C12" s="362">
        <v>80815754.540002406</v>
      </c>
      <c r="D12" s="362">
        <f>B12+C12</f>
        <v>174747874.04728311</v>
      </c>
      <c r="E12" s="362">
        <v>76125098.5472783</v>
      </c>
      <c r="F12" s="368">
        <v>74553618.801855832</v>
      </c>
      <c r="G12" s="361">
        <f>+D12-E12</f>
        <v>98622775.500004813</v>
      </c>
    </row>
    <row r="13" spans="1:7" s="359" customFormat="1" ht="25.5" x14ac:dyDescent="0.2">
      <c r="A13" s="366" t="s">
        <v>324</v>
      </c>
      <c r="B13" s="362">
        <v>6122860.7456979705</v>
      </c>
      <c r="C13" s="362">
        <v>2838156.78</v>
      </c>
      <c r="D13" s="362">
        <f>B13+C13</f>
        <v>8961017.5256979708</v>
      </c>
      <c r="E13" s="362">
        <v>8961017.7950531095</v>
      </c>
      <c r="F13" s="368">
        <v>8732352.9854417592</v>
      </c>
      <c r="G13" s="361">
        <f>+D13-E13</f>
        <v>-0.26935513876378536</v>
      </c>
    </row>
    <row r="14" spans="1:7" s="359" customFormat="1" ht="25.5" x14ac:dyDescent="0.2">
      <c r="A14" s="366" t="s">
        <v>323</v>
      </c>
      <c r="B14" s="362">
        <f>102914252.807098-66300000</f>
        <v>36614252.807098001</v>
      </c>
      <c r="C14" s="362">
        <v>30029828.179997981</v>
      </c>
      <c r="D14" s="362">
        <f>B14+C14</f>
        <v>66644080.987095982</v>
      </c>
      <c r="E14" s="362">
        <v>65946958.56472972</v>
      </c>
      <c r="F14" s="368">
        <v>62322414.005622581</v>
      </c>
      <c r="G14" s="361">
        <f>+D14-E14</f>
        <v>697122.42236626148</v>
      </c>
    </row>
    <row r="15" spans="1:7" s="359" customFormat="1" ht="25.5" x14ac:dyDescent="0.2">
      <c r="A15" s="366" t="s">
        <v>322</v>
      </c>
      <c r="B15" s="362">
        <v>32518959.891198959</v>
      </c>
      <c r="C15" s="362">
        <v>3615184.68</v>
      </c>
      <c r="D15" s="362">
        <f>B15+C15</f>
        <v>36134144.571198963</v>
      </c>
      <c r="E15" s="362">
        <v>11154144.96880449</v>
      </c>
      <c r="F15" s="368">
        <v>10923885.655772587</v>
      </c>
      <c r="G15" s="361">
        <f>+D15-E15</f>
        <v>24979999.602394473</v>
      </c>
    </row>
    <row r="16" spans="1:7" s="359" customFormat="1" ht="13.5" x14ac:dyDescent="0.2">
      <c r="A16" s="366" t="s">
        <v>330</v>
      </c>
      <c r="B16" s="362">
        <v>5822758.5729953265</v>
      </c>
      <c r="C16" s="362">
        <v>0</v>
      </c>
      <c r="D16" s="362">
        <f>B16+C16</f>
        <v>5822758.5729953265</v>
      </c>
      <c r="E16" s="362">
        <v>4822450.1610008338</v>
      </c>
      <c r="F16" s="368">
        <v>4722898.4639134994</v>
      </c>
      <c r="G16" s="361">
        <f>+D16-E16</f>
        <v>1000308.4119944926</v>
      </c>
    </row>
    <row r="17" spans="1:8" s="359" customFormat="1" ht="13.5" x14ac:dyDescent="0.2">
      <c r="A17" s="366" t="s">
        <v>320</v>
      </c>
      <c r="B17" s="362">
        <v>3631456.0882340474</v>
      </c>
      <c r="C17" s="362">
        <v>397789.47</v>
      </c>
      <c r="D17" s="362">
        <f>B17+C17</f>
        <v>4029245.5582340471</v>
      </c>
      <c r="E17" s="362">
        <v>4029245.5618301807</v>
      </c>
      <c r="F17" s="368">
        <v>3946068.2929585082</v>
      </c>
      <c r="G17" s="361">
        <f>+D17-E17</f>
        <v>-3.5961335524916649E-3</v>
      </c>
    </row>
    <row r="18" spans="1:8" s="359" customFormat="1" ht="25.5" x14ac:dyDescent="0.2">
      <c r="A18" s="366" t="s">
        <v>329</v>
      </c>
      <c r="B18" s="362">
        <v>164623.42180791168</v>
      </c>
      <c r="C18" s="362">
        <v>36864</v>
      </c>
      <c r="D18" s="362">
        <f>B18+C18</f>
        <v>201487.42180791168</v>
      </c>
      <c r="E18" s="362">
        <v>201487.36620454694</v>
      </c>
      <c r="F18" s="368">
        <v>197327.98485737777</v>
      </c>
      <c r="G18" s="361">
        <f>+D18-E18</f>
        <v>5.5603364744456485E-2</v>
      </c>
    </row>
    <row r="19" spans="1:8" s="359" customFormat="1" ht="13.5" x14ac:dyDescent="0.2">
      <c r="A19" s="366" t="s">
        <v>318</v>
      </c>
      <c r="B19" s="362">
        <v>330738197.20023847</v>
      </c>
      <c r="C19" s="362">
        <v>96495732.360000014</v>
      </c>
      <c r="D19" s="362">
        <f>SUM(B19:C19)</f>
        <v>427233929.56023848</v>
      </c>
      <c r="E19" s="362">
        <v>399914874.49999994</v>
      </c>
      <c r="F19" s="368">
        <v>358531598.74999994</v>
      </c>
      <c r="G19" s="361">
        <f>+D19-E19</f>
        <v>27319055.06023854</v>
      </c>
    </row>
    <row r="20" spans="1:8" s="359" customFormat="1" ht="12.75" x14ac:dyDescent="0.2">
      <c r="A20" s="367" t="s">
        <v>332</v>
      </c>
      <c r="B20" s="362"/>
      <c r="C20" s="362"/>
      <c r="D20" s="362"/>
      <c r="E20" s="362"/>
      <c r="F20" s="362"/>
      <c r="G20" s="361"/>
    </row>
    <row r="21" spans="1:8" s="359" customFormat="1" ht="12.75" x14ac:dyDescent="0.2">
      <c r="A21" s="367" t="s">
        <v>331</v>
      </c>
      <c r="B21" s="362">
        <f>SUM(B22:B29)</f>
        <v>66300000</v>
      </c>
      <c r="C21" s="362">
        <f>SUM(C22:C29)</f>
        <v>155773487.70000002</v>
      </c>
      <c r="D21" s="362">
        <f>SUM(D22:D29)</f>
        <v>222073487.70000002</v>
      </c>
      <c r="E21" s="362">
        <f>SUM(E22:E29)</f>
        <v>119133217.8</v>
      </c>
      <c r="F21" s="362">
        <f>SUM(F22:F29)</f>
        <v>119098076.97999999</v>
      </c>
      <c r="G21" s="361">
        <f>SUM(G22:G29)</f>
        <v>102940269.90000001</v>
      </c>
    </row>
    <row r="22" spans="1:8" s="359" customFormat="1" ht="25.5" x14ac:dyDescent="0.2">
      <c r="A22" s="366" t="s">
        <v>324</v>
      </c>
      <c r="B22" s="362"/>
      <c r="C22" s="362">
        <f>500000+825248.33+790638.44</f>
        <v>2115886.77</v>
      </c>
      <c r="D22" s="362">
        <f>B22+C22</f>
        <v>2115886.77</v>
      </c>
      <c r="E22" s="362">
        <v>2115886.77</v>
      </c>
      <c r="F22" s="362">
        <v>2115886.77</v>
      </c>
      <c r="G22" s="361">
        <f>+D22-E22</f>
        <v>0</v>
      </c>
    </row>
    <row r="23" spans="1:8" s="359" customFormat="1" ht="25.5" x14ac:dyDescent="0.2">
      <c r="A23" s="366" t="s">
        <v>323</v>
      </c>
      <c r="B23" s="362">
        <v>66300000</v>
      </c>
      <c r="C23" s="362">
        <v>144723450.43000001</v>
      </c>
      <c r="D23" s="362">
        <f>B23+C23</f>
        <v>211023450.43000001</v>
      </c>
      <c r="E23" s="362">
        <v>109632022.53</v>
      </c>
      <c r="F23" s="362">
        <v>109632022.52</v>
      </c>
      <c r="G23" s="361">
        <f>+D23-E23</f>
        <v>101391427.90000001</v>
      </c>
    </row>
    <row r="24" spans="1:8" s="359" customFormat="1" ht="25.5" x14ac:dyDescent="0.2">
      <c r="A24" s="366" t="s">
        <v>322</v>
      </c>
      <c r="B24" s="362"/>
      <c r="C24" s="362">
        <v>0</v>
      </c>
      <c r="D24" s="362">
        <f>B24+C24</f>
        <v>0</v>
      </c>
      <c r="E24" s="362">
        <v>0</v>
      </c>
      <c r="F24" s="362">
        <v>0</v>
      </c>
      <c r="G24" s="361">
        <f>+D24-E24</f>
        <v>0</v>
      </c>
    </row>
    <row r="25" spans="1:8" s="359" customFormat="1" ht="12.75" x14ac:dyDescent="0.2">
      <c r="A25" s="366" t="s">
        <v>330</v>
      </c>
      <c r="B25" s="362"/>
      <c r="C25" s="362"/>
      <c r="D25" s="362">
        <f>B25+C25</f>
        <v>0</v>
      </c>
      <c r="E25" s="362"/>
      <c r="F25" s="362"/>
      <c r="G25" s="361">
        <f>+D25-E25</f>
        <v>0</v>
      </c>
    </row>
    <row r="26" spans="1:8" s="359" customFormat="1" ht="12.75" x14ac:dyDescent="0.2">
      <c r="A26" s="366" t="s">
        <v>320</v>
      </c>
      <c r="B26" s="362"/>
      <c r="C26" s="362"/>
      <c r="D26" s="362">
        <f>B26+C26</f>
        <v>0</v>
      </c>
      <c r="E26" s="362"/>
      <c r="F26" s="362"/>
      <c r="G26" s="361">
        <f>+D26-E26</f>
        <v>0</v>
      </c>
    </row>
    <row r="27" spans="1:8" s="359" customFormat="1" ht="25.5" x14ac:dyDescent="0.2">
      <c r="A27" s="366" t="s">
        <v>329</v>
      </c>
      <c r="B27" s="362"/>
      <c r="C27" s="362"/>
      <c r="D27" s="362">
        <f>B27+C27</f>
        <v>0</v>
      </c>
      <c r="E27" s="362"/>
      <c r="F27" s="362"/>
      <c r="G27" s="361">
        <f>+D27-E27</f>
        <v>0</v>
      </c>
    </row>
    <row r="28" spans="1:8" s="359" customFormat="1" ht="12.75" x14ac:dyDescent="0.2">
      <c r="A28" s="366" t="s">
        <v>318</v>
      </c>
      <c r="B28" s="362"/>
      <c r="C28" s="362">
        <v>8934150.5</v>
      </c>
      <c r="D28" s="362">
        <f>B28+C28</f>
        <v>8934150.5</v>
      </c>
      <c r="E28" s="362">
        <v>7385308.5</v>
      </c>
      <c r="F28" s="362">
        <v>7350167.6899999995</v>
      </c>
      <c r="G28" s="361">
        <f>+D28-E28</f>
        <v>1548842</v>
      </c>
    </row>
    <row r="29" spans="1:8" s="359" customFormat="1" ht="12.75" x14ac:dyDescent="0.2">
      <c r="A29" s="366"/>
      <c r="B29" s="362"/>
      <c r="C29" s="362"/>
      <c r="D29" s="362">
        <f>B29+C29</f>
        <v>0</v>
      </c>
      <c r="E29" s="362"/>
      <c r="F29" s="362"/>
      <c r="G29" s="361">
        <f>+D29-E29</f>
        <v>0</v>
      </c>
    </row>
    <row r="30" spans="1:8" s="359" customFormat="1" ht="12.75" x14ac:dyDescent="0.2">
      <c r="A30" s="365"/>
      <c r="B30" s="362"/>
      <c r="C30" s="362"/>
      <c r="D30" s="362"/>
      <c r="E30" s="362"/>
      <c r="F30" s="362"/>
      <c r="G30" s="361"/>
    </row>
    <row r="31" spans="1:8" s="359" customFormat="1" ht="12.75" x14ac:dyDescent="0.2">
      <c r="A31" s="364" t="s">
        <v>216</v>
      </c>
      <c r="B31" s="363">
        <f>+B10+B21</f>
        <v>578850856.10380077</v>
      </c>
      <c r="C31" s="363">
        <f>+C10+C21</f>
        <v>370631441.7100004</v>
      </c>
      <c r="D31" s="362">
        <f>+D10+D21</f>
        <v>949482297.81380117</v>
      </c>
      <c r="E31" s="362">
        <f>+E10+E21</f>
        <v>693922767.46605647</v>
      </c>
      <c r="F31" s="362">
        <f>+F10+F21</f>
        <v>646587490.43999994</v>
      </c>
      <c r="G31" s="361">
        <f>+G10+G21</f>
        <v>255559530.34774473</v>
      </c>
      <c r="H31" s="360" t="str">
        <f>IF((B31-'ETCA-II-07'!B32)&gt;0.9,"ERROR!!!!! EL MONTO NO COINCIDE CON LO REPORTADO EN EL FORMATO ETCA-II-07 EN EL TOTAL DEL GASTO","")</f>
        <v/>
      </c>
    </row>
    <row r="32" spans="1:8" ht="15.75" thickBot="1" x14ac:dyDescent="0.3">
      <c r="A32" s="358"/>
      <c r="B32" s="357"/>
      <c r="C32" s="357"/>
      <c r="D32" s="357"/>
      <c r="E32" s="357"/>
      <c r="F32" s="357"/>
      <c r="G32" s="357"/>
      <c r="H32" s="108" t="str">
        <f>IF((C31-'ETCA-II-07'!C32)&gt;0.9,"ERROR!!!!! EL MONTO NO COINCIDE CON LO REPORTADO EN EL FORMATO ETCA-II-07 EN EL TOTAL DEL GASTO","")</f>
        <v/>
      </c>
    </row>
    <row r="33" spans="2:8" x14ac:dyDescent="0.25">
      <c r="B33" s="352"/>
      <c r="C33" s="352"/>
      <c r="D33" s="352"/>
      <c r="E33" s="352"/>
      <c r="F33" s="352"/>
      <c r="G33" s="352"/>
      <c r="H33" s="108"/>
    </row>
    <row r="34" spans="2:8" x14ac:dyDescent="0.25">
      <c r="B34" s="356"/>
      <c r="C34" s="356"/>
      <c r="D34" s="356"/>
      <c r="E34" s="356"/>
      <c r="F34" s="356"/>
      <c r="G34" s="355"/>
      <c r="H34" s="108" t="str">
        <f>IF((D31-'ETCA-II-07'!D32)&gt;0.9,"ERROR!!!!! EL MONTO NO COINCIDE CON LO REPORTADO EN EL FORMATO ETCA-II-07 EN EL TOTAL DEL GASTO","")</f>
        <v/>
      </c>
    </row>
    <row r="35" spans="2:8" x14ac:dyDescent="0.25">
      <c r="H35" s="108" t="str">
        <f>IF((G31-'ETCA-II-07'!G32)&gt;0.9,"ERROR!!!!! EL MONTO NO COINCIDE CON LO REPORTADO EN EL FORMATO ETCA-II-07 EN EL TOTAL DEL GASTO","")</f>
        <v/>
      </c>
    </row>
    <row r="39" spans="2:8" x14ac:dyDescent="0.25">
      <c r="B39" s="351"/>
      <c r="E39" s="353"/>
    </row>
    <row r="42" spans="2:8" x14ac:dyDescent="0.25">
      <c r="B42" s="354"/>
      <c r="C42" s="354"/>
      <c r="D42" s="354"/>
      <c r="E42" s="354"/>
      <c r="F42" s="354"/>
      <c r="G42" s="354"/>
    </row>
    <row r="44" spans="2:8" x14ac:dyDescent="0.25">
      <c r="C44" s="352"/>
      <c r="D44" s="352"/>
      <c r="E44" s="352"/>
      <c r="F44" s="352"/>
    </row>
    <row r="45" spans="2:8" x14ac:dyDescent="0.25">
      <c r="B45" s="353"/>
      <c r="C45" s="352"/>
      <c r="D45" s="352"/>
      <c r="E45" s="352"/>
      <c r="F45" s="352"/>
    </row>
    <row r="46" spans="2:8" x14ac:dyDescent="0.25">
      <c r="C46" s="351"/>
      <c r="D46" s="351"/>
      <c r="E46" s="351"/>
      <c r="F46" s="351"/>
      <c r="G46" s="350"/>
    </row>
  </sheetData>
  <mergeCells count="9">
    <mergeCell ref="A7:A8"/>
    <mergeCell ref="B7:F7"/>
    <mergeCell ref="G7:G8"/>
    <mergeCell ref="A1:G1"/>
    <mergeCell ref="A3:G3"/>
    <mergeCell ref="A4:G4"/>
    <mergeCell ref="A5:G5"/>
    <mergeCell ref="A6:G6"/>
    <mergeCell ref="A2:G2"/>
  </mergeCells>
  <pageMargins left="0.70866141732283472" right="0.70866141732283472" top="0.35433070866141736" bottom="0.35433070866141736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130D-8D3E-4D82-8913-6F94BD80A2CD}">
  <sheetPr>
    <pageSetUpPr fitToPage="1"/>
  </sheetPr>
  <dimension ref="A1:H22"/>
  <sheetViews>
    <sheetView view="pageBreakPreview" topLeftCell="A7" zoomScaleNormal="100" zoomScaleSheetLayoutView="100" workbookViewId="0">
      <selection activeCell="J40" sqref="J40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7" t="s">
        <v>42</v>
      </c>
      <c r="B1" s="107"/>
      <c r="C1" s="107"/>
      <c r="D1" s="107"/>
      <c r="E1" s="107"/>
      <c r="F1" s="107"/>
      <c r="G1" s="107"/>
    </row>
    <row r="2" spans="1:8" s="26" customFormat="1" x14ac:dyDescent="0.25">
      <c r="A2" s="107" t="s">
        <v>215</v>
      </c>
      <c r="B2" s="107"/>
      <c r="C2" s="107"/>
      <c r="D2" s="107"/>
      <c r="E2" s="107"/>
      <c r="F2" s="107"/>
      <c r="G2" s="107"/>
    </row>
    <row r="3" spans="1:8" s="26" customFormat="1" x14ac:dyDescent="0.25">
      <c r="A3" s="400" t="s">
        <v>341</v>
      </c>
      <c r="B3" s="400"/>
      <c r="C3" s="400"/>
      <c r="D3" s="400"/>
      <c r="E3" s="400"/>
      <c r="F3" s="400"/>
      <c r="G3" s="400"/>
    </row>
    <row r="4" spans="1:8" s="26" customFormat="1" x14ac:dyDescent="0.25">
      <c r="A4" s="106" t="str">
        <f>'[1]ETCA-I-01'!A3:G3</f>
        <v>Comision Estatal del Agua</v>
      </c>
      <c r="B4" s="106"/>
      <c r="C4" s="106"/>
      <c r="D4" s="106"/>
      <c r="E4" s="106"/>
      <c r="F4" s="106"/>
      <c r="G4" s="106"/>
    </row>
    <row r="5" spans="1:8" s="26" customFormat="1" x14ac:dyDescent="0.25">
      <c r="A5" s="105" t="str">
        <f>'[1]ETCA-I-03'!A4:D4</f>
        <v>Del 01 de Enero al 31 de Diciembre de 2019</v>
      </c>
      <c r="B5" s="105"/>
      <c r="C5" s="105"/>
      <c r="D5" s="105"/>
      <c r="E5" s="105"/>
      <c r="F5" s="105"/>
      <c r="G5" s="105"/>
    </row>
    <row r="6" spans="1:8" s="26" customFormat="1" ht="17.25" thickBot="1" x14ac:dyDescent="0.3">
      <c r="A6" s="258" t="s">
        <v>342</v>
      </c>
      <c r="B6" s="258"/>
      <c r="C6" s="258"/>
      <c r="D6" s="258"/>
      <c r="E6" s="258"/>
      <c r="F6" s="100"/>
      <c r="G6" s="399"/>
    </row>
    <row r="7" spans="1:8" s="348" customFormat="1" ht="53.25" customHeight="1" x14ac:dyDescent="0.25">
      <c r="A7" s="398" t="s">
        <v>341</v>
      </c>
      <c r="B7" s="397" t="s">
        <v>211</v>
      </c>
      <c r="C7" s="397" t="s">
        <v>111</v>
      </c>
      <c r="D7" s="397" t="s">
        <v>210</v>
      </c>
      <c r="E7" s="397" t="s">
        <v>209</v>
      </c>
      <c r="F7" s="397" t="s">
        <v>208</v>
      </c>
      <c r="G7" s="396" t="s">
        <v>207</v>
      </c>
    </row>
    <row r="8" spans="1:8" s="394" customFormat="1" ht="15.75" customHeight="1" thickBot="1" x14ac:dyDescent="0.3">
      <c r="A8" s="395"/>
      <c r="B8" s="346" t="s">
        <v>26</v>
      </c>
      <c r="C8" s="346" t="s">
        <v>25</v>
      </c>
      <c r="D8" s="346" t="s">
        <v>206</v>
      </c>
      <c r="E8" s="346" t="s">
        <v>23</v>
      </c>
      <c r="F8" s="346" t="s">
        <v>22</v>
      </c>
      <c r="G8" s="345" t="s">
        <v>205</v>
      </c>
    </row>
    <row r="9" spans="1:8" ht="30" customHeight="1" x14ac:dyDescent="0.25">
      <c r="A9" s="393"/>
      <c r="B9" s="392"/>
      <c r="C9" s="392"/>
      <c r="D9" s="392"/>
      <c r="E9" s="392"/>
      <c r="F9" s="392"/>
      <c r="G9" s="391"/>
    </row>
    <row r="10" spans="1:8" ht="30" customHeight="1" x14ac:dyDescent="0.25">
      <c r="A10" s="327" t="s">
        <v>340</v>
      </c>
      <c r="B10" s="243">
        <v>578850855.75</v>
      </c>
      <c r="C10" s="243">
        <v>370631441.71000004</v>
      </c>
      <c r="D10" s="244">
        <f>B10+C10</f>
        <v>949482297.46000004</v>
      </c>
      <c r="E10" s="243">
        <v>693922767.47000003</v>
      </c>
      <c r="F10" s="243">
        <v>646587490.44000006</v>
      </c>
      <c r="G10" s="242">
        <f>D10-E10</f>
        <v>255559529.99000001</v>
      </c>
    </row>
    <row r="11" spans="1:8" ht="30" customHeight="1" x14ac:dyDescent="0.25">
      <c r="A11" s="327" t="s">
        <v>339</v>
      </c>
      <c r="B11" s="243"/>
      <c r="C11" s="243"/>
      <c r="D11" s="244">
        <f>B11+C11</f>
        <v>0</v>
      </c>
      <c r="E11" s="243"/>
      <c r="F11" s="243"/>
      <c r="G11" s="242">
        <f>D11-E11</f>
        <v>0</v>
      </c>
    </row>
    <row r="12" spans="1:8" ht="30" customHeight="1" x14ac:dyDescent="0.25">
      <c r="A12" s="327" t="s">
        <v>338</v>
      </c>
      <c r="B12" s="243"/>
      <c r="C12" s="243"/>
      <c r="D12" s="244">
        <f>B12+C12</f>
        <v>0</v>
      </c>
      <c r="E12" s="243"/>
      <c r="F12" s="243"/>
      <c r="G12" s="242">
        <f>D12-E12</f>
        <v>0</v>
      </c>
    </row>
    <row r="13" spans="1:8" ht="30" customHeight="1" x14ac:dyDescent="0.25">
      <c r="A13" s="327" t="s">
        <v>337</v>
      </c>
      <c r="B13" s="243"/>
      <c r="C13" s="243"/>
      <c r="D13" s="244">
        <f>B13+C13</f>
        <v>0</v>
      </c>
      <c r="E13" s="243"/>
      <c r="F13" s="243"/>
      <c r="G13" s="242">
        <f>D13-E13</f>
        <v>0</v>
      </c>
    </row>
    <row r="14" spans="1:8" ht="30" customHeight="1" thickBot="1" x14ac:dyDescent="0.3">
      <c r="A14" s="390"/>
      <c r="B14" s="240"/>
      <c r="C14" s="240"/>
      <c r="D14" s="240"/>
      <c r="E14" s="240"/>
      <c r="F14" s="240"/>
      <c r="G14" s="238"/>
    </row>
    <row r="15" spans="1:8" s="348" customFormat="1" ht="30" customHeight="1" thickBot="1" x14ac:dyDescent="0.3">
      <c r="A15" s="319" t="s">
        <v>132</v>
      </c>
      <c r="B15" s="389">
        <f>SUM(B10:B13)</f>
        <v>578850855.75</v>
      </c>
      <c r="C15" s="389">
        <f>SUM(C10:C13)</f>
        <v>370631441.71000004</v>
      </c>
      <c r="D15" s="389">
        <f>B15+C15</f>
        <v>949482297.46000004</v>
      </c>
      <c r="E15" s="389">
        <f>SUM(E10:E13)</f>
        <v>693922767.47000003</v>
      </c>
      <c r="F15" s="389">
        <f>SUM(F10:F13)</f>
        <v>646587490.44000006</v>
      </c>
      <c r="G15" s="388">
        <f>D15-E15</f>
        <v>255559529.99000001</v>
      </c>
      <c r="H15" s="108" t="str">
        <f>IF((B15-'ETCA II-04'!B81)&gt;0.9,"ERROR!!!!! EL MONTO NO COINCIDE CON LO REPORTADO EN EL FORMATO ETCA-II-04 EN EL TOTAL APROBADO ANUAL DEL ANALÍTICO DE EGRESOS","")</f>
        <v/>
      </c>
    </row>
    <row r="16" spans="1:8" s="348" customFormat="1" ht="30" customHeight="1" x14ac:dyDescent="0.25">
      <c r="A16" s="315"/>
      <c r="B16" s="233"/>
      <c r="C16" s="233"/>
      <c r="D16" s="233"/>
      <c r="E16" s="233"/>
      <c r="F16" s="233"/>
      <c r="G16" s="233"/>
      <c r="H16" s="108" t="str">
        <f>IF((C15-'ETCA II-04'!C81)&gt;0.9,"ERROR!!!!! EL MONTO NO COINCIDE CON LO REPORTADO EN EL FORMATO ETCA-II-04 EN EL TOTAL AMPLIACIONES/REDUCCIONES ANUAL DEL ANALÍTICO DE EGRESOS","")</f>
        <v/>
      </c>
    </row>
    <row r="17" spans="1:8" s="348" customFormat="1" ht="30" customHeight="1" x14ac:dyDescent="0.25">
      <c r="A17" s="315"/>
      <c r="B17" s="233"/>
      <c r="C17" s="233"/>
      <c r="D17" s="233"/>
      <c r="E17" s="233"/>
      <c r="F17" s="233"/>
      <c r="G17" s="233"/>
      <c r="H17" s="108" t="str">
        <f>IF((D15-'ETCA II-04'!D81)&gt;0.9,"ERROR!!!!! EL MONTO NO COINCIDE CON LO REPORTADO EN EL FORMATO ETCA-II-04 EN EL TOTAL MODIFICADO ANUAL DEL ANALÍTICO DE EGRESOS","")</f>
        <v/>
      </c>
    </row>
    <row r="18" spans="1:8" s="348" customFormat="1" ht="18" customHeight="1" x14ac:dyDescent="0.25">
      <c r="A18" s="315"/>
      <c r="B18" s="233"/>
      <c r="C18" s="233"/>
      <c r="D18" s="233"/>
      <c r="E18" s="233"/>
      <c r="F18" s="233"/>
      <c r="G18" s="233"/>
      <c r="H18" s="108" t="str">
        <f>IF((E15-'ETCA II-04'!E81)&gt;0.9,"ERROR!!!!! EL MONTO NO COINCIDE CON LO REPORTADO EN EL FORMATO ETCA-II-04 EN EL TOTAL DEVENGADO ANUAL DEL ANALÍTICO DE EGRESOS","")</f>
        <v/>
      </c>
    </row>
    <row r="19" spans="1:8" s="348" customFormat="1" ht="18" customHeight="1" x14ac:dyDescent="0.25">
      <c r="A19" s="315"/>
      <c r="B19" s="233"/>
      <c r="C19" s="233"/>
      <c r="D19" s="233"/>
      <c r="E19" s="233"/>
      <c r="F19" s="233"/>
      <c r="G19" s="233"/>
      <c r="H19" s="108" t="str">
        <f>IF((F15-'ETCA II-04'!F81)&gt;0.9,"ERROR!!!!! EL MONTO NO COINCIDE CON LO REPORTADO EN EL FORMATO ETCA-II-04 EN EL TOTAL PAGADO ANUAL DEL ANALÍTICO DE EGRESOS","")</f>
        <v/>
      </c>
    </row>
    <row r="20" spans="1:8" x14ac:dyDescent="0.25">
      <c r="H20" s="108" t="str">
        <f>IF((G15-'ETCA II-04'!G81)&gt;0.9,"ERROR!!!!! EL MONTO NO COINCIDE CON LO REPORTADO EN EL FORMATO ETCA-II-04 EN EL TOTAL SUBEJERCICIO ANUAL DEL ANALÍTICO DE EGRESOS","")</f>
        <v/>
      </c>
    </row>
    <row r="21" spans="1:8" x14ac:dyDescent="0.25">
      <c r="H21" s="108" t="str">
        <f>IF((B21-'ETCA II-04'!B87)&gt;0.9,"ERROR!!!!! EL MONTO NO COINCIDE CON LO REPORTADO EN EL FORMATO ETCA-II-04 EN EL TOTAL APROBADO ANUAL DEL ANALÍTICO DE EGRESOS","")</f>
        <v/>
      </c>
    </row>
    <row r="22" spans="1:8" x14ac:dyDescent="0.25">
      <c r="H22" s="108" t="str">
        <f>IF(G15&lt;&gt;'ETCA II-04'!G81,"ERROR!!!!!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7">
    <mergeCell ref="A7:A8"/>
    <mergeCell ref="A5:G5"/>
    <mergeCell ref="A1:G1"/>
    <mergeCell ref="A2:G2"/>
    <mergeCell ref="A3:G3"/>
    <mergeCell ref="A4:G4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 -II- 13</vt:lpstr>
      <vt:lpstr>ETCA-II-14</vt:lpstr>
      <vt:lpstr>ETCA-II-15</vt:lpstr>
      <vt:lpstr>ETCA-II-16</vt:lpstr>
      <vt:lpstr>ETCA-II-17</vt:lpstr>
      <vt:lpstr>'ETCA -II- 13'!Área_de_impresión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2024-11-12T22:00:03Z</dcterms:created>
  <dcterms:modified xsi:type="dcterms:W3CDTF">2024-11-12T22:00:18Z</dcterms:modified>
</cp:coreProperties>
</file>