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C:\Users\valeria.lugo\Desktop\Cuenta publica\CEA\2019\2019\2019\4T\"/>
    </mc:Choice>
  </mc:AlternateContent>
  <xr:revisionPtr revIDLastSave="0" documentId="8_{756D0044-80CB-4363-85DC-D1051EA3EAF5}" xr6:coauthVersionLast="47" xr6:coauthVersionMax="47" xr10:uidLastSave="{00000000-0000-0000-0000-000000000000}"/>
  <bookViews>
    <workbookView xWindow="-120" yWindow="-120" windowWidth="29040" windowHeight="15840" tabRatio="856" xr2:uid="{00000000-000D-0000-FFFF-FFFF00000000}"/>
  </bookViews>
  <sheets>
    <sheet name="ETCA-III-01" sheetId="42" r:id="rId1"/>
    <sheet name="ETCA-III-03" sheetId="32" r:id="rId2"/>
    <sheet name="ETCA-III-04" sheetId="81" r:id="rId3"/>
    <sheet name="ETCA-III-05" sheetId="82" r:id="rId4"/>
    <sheet name="ETCA-IV-01" sheetId="20" r:id="rId5"/>
    <sheet name="ETCA-IV-02" sheetId="54" r:id="rId6"/>
    <sheet name="ETCA-IV-03" sheetId="27" r:id="rId7"/>
    <sheet name="ETCA-IV-04" sheetId="87" r:id="rId8"/>
    <sheet name="ANEXO A" sheetId="64" r:id="rId9"/>
    <sheet name="ANEXO B" sheetId="85" r:id="rId10"/>
    <sheet name="ANEXO C" sheetId="89" r:id="rId11"/>
  </sheets>
  <externalReferences>
    <externalReference r:id="rId12"/>
    <externalReference r:id="rId13"/>
    <externalReference r:id="rId14"/>
    <externalReference r:id="rId15"/>
    <externalReference r:id="rId16"/>
  </externalReferences>
  <definedNames>
    <definedName name="_xlnm._FilterDatabase" localSheetId="10" hidden="1">'ANEXO C'!$A$2:$V$579</definedName>
    <definedName name="_xlnm.Print_Area" localSheetId="9">'ANEXO B'!$A$1:$E$118</definedName>
    <definedName name="_xlnm.Print_Area" localSheetId="0">'ETCA-III-01'!$A$1:$G$45</definedName>
    <definedName name="_xlnm.Print_Area" localSheetId="1">'ETCA-III-03'!$A$1:$E$77</definedName>
    <definedName name="_xlnm.Print_Area" localSheetId="4">'ETCA-IV-01'!$A$1:$E$32</definedName>
    <definedName name="_xlnm.Print_Area" localSheetId="5">'ETCA-IV-02'!$A$1:$E$93</definedName>
    <definedName name="_xlnm.Print_Area" localSheetId="6">'ETCA-IV-03'!$A$1:$D$43</definedName>
    <definedName name="_xlnm.Print_Area" localSheetId="7">'ETCA-IV-04'!$A$1:$D$41</definedName>
    <definedName name="_xlnm.Database" localSheetId="8">#REF!</definedName>
    <definedName name="_xlnm.Database" localSheetId="9">#REF!</definedName>
    <definedName name="_xlnm.Database" localSheetId="1">#REF!</definedName>
    <definedName name="_xlnm.Database" localSheetId="4">#REF!</definedName>
    <definedName name="_xlnm.Database" localSheetId="6">#REF!</definedName>
    <definedName name="_xlnm.Database" localSheetId="7">#REF!</definedName>
    <definedName name="_xlnm.Database">#REF!</definedName>
    <definedName name="ppto" localSheetId="7">[1]Hoja2!$B$3:$M$95</definedName>
    <definedName name="ppto">[2]Hoja2!$B$3:$M$95</definedName>
    <definedName name="qw" localSheetId="8">#REF!</definedName>
    <definedName name="qw" localSheetId="9">#REF!</definedName>
    <definedName name="qw" localSheetId="7">#REF!</definedName>
    <definedName name="qw">#REF!</definedName>
    <definedName name="_xlnm.Print_Titles" localSheetId="1">'ETCA-III-03'!$1:$10</definedName>
    <definedName name="_xlnm.Print_Titles" localSheetId="2">'ETCA-III-04'!$1:$10</definedName>
    <definedName name="_xlnm.Print_Titles" localSheetId="3">'ETCA-III-05'!$7:$8</definedName>
    <definedName name="_xlnm.Print_Titles" localSheetId="5">'ETCA-IV-02'!$1:$5</definedName>
    <definedName name="XXX">#REF!</definedName>
  </definedNames>
  <calcPr calcId="191029"/>
</workbook>
</file>

<file path=xl/calcChain.xml><?xml version="1.0" encoding="utf-8"?>
<calcChain xmlns="http://schemas.openxmlformats.org/spreadsheetml/2006/main">
  <c r="R577" i="89" l="1"/>
  <c r="R576" i="89"/>
  <c r="Q576" i="89"/>
  <c r="R575" i="89"/>
  <c r="R574" i="89"/>
  <c r="R573" i="89"/>
  <c r="R572" i="89"/>
  <c r="R571" i="89"/>
  <c r="R570" i="89"/>
  <c r="P570" i="89"/>
  <c r="R569" i="89"/>
  <c r="R568" i="89"/>
  <c r="R567" i="89"/>
  <c r="Q567" i="89"/>
  <c r="R566" i="89"/>
  <c r="R565" i="89"/>
  <c r="R564" i="89"/>
  <c r="R563" i="89"/>
  <c r="R562" i="89"/>
  <c r="R561" i="89"/>
  <c r="R560" i="89"/>
  <c r="R559" i="89"/>
  <c r="R558" i="89"/>
  <c r="R557" i="89"/>
  <c r="R556" i="89"/>
  <c r="R555" i="89"/>
  <c r="Q555" i="89"/>
  <c r="R554" i="89"/>
  <c r="R553" i="89"/>
  <c r="Q553" i="89"/>
  <c r="P553" i="89"/>
  <c r="T552" i="89"/>
  <c r="R552" i="89"/>
  <c r="R551" i="89"/>
  <c r="R550" i="89"/>
  <c r="R549" i="89"/>
  <c r="R548" i="89"/>
  <c r="R547" i="89"/>
  <c r="R546" i="89"/>
  <c r="R545" i="89"/>
  <c r="R544" i="89"/>
  <c r="V543" i="89"/>
  <c r="R543" i="89"/>
  <c r="R542" i="89"/>
  <c r="R541" i="89"/>
  <c r="R540" i="89"/>
  <c r="R539" i="89"/>
  <c r="R538" i="89"/>
  <c r="R537" i="89"/>
  <c r="R536" i="89"/>
  <c r="R535" i="89"/>
  <c r="R534" i="89"/>
  <c r="R533" i="89"/>
  <c r="R532" i="89"/>
  <c r="Q532" i="89"/>
  <c r="R531" i="89"/>
  <c r="R530" i="89"/>
  <c r="R529" i="89"/>
  <c r="R528" i="89"/>
  <c r="R527" i="89"/>
  <c r="R526" i="89"/>
  <c r="R525" i="89"/>
  <c r="R524" i="89"/>
  <c r="R523" i="89"/>
  <c r="R522" i="89"/>
  <c r="R521" i="89"/>
  <c r="P521" i="89"/>
  <c r="Q520" i="89"/>
  <c r="R520" i="89" s="1"/>
  <c r="V519" i="89"/>
  <c r="T519" i="89"/>
  <c r="R519" i="89"/>
  <c r="R518" i="89"/>
  <c r="R517" i="89"/>
  <c r="Q516" i="89"/>
  <c r="R516" i="89" s="1"/>
  <c r="R515" i="89"/>
  <c r="R514" i="89"/>
  <c r="R513" i="89"/>
  <c r="R512" i="89"/>
  <c r="Q511" i="89"/>
  <c r="R511" i="89" s="1"/>
  <c r="R510" i="89"/>
  <c r="R509" i="89"/>
  <c r="R508" i="89"/>
  <c r="R507" i="89"/>
  <c r="R506" i="89"/>
  <c r="R505" i="89"/>
  <c r="R504" i="89"/>
  <c r="R503" i="89"/>
  <c r="R502" i="89"/>
  <c r="Q501" i="89"/>
  <c r="R501" i="89" s="1"/>
  <c r="R500" i="89"/>
  <c r="Q500" i="89"/>
  <c r="R499" i="89"/>
  <c r="R498" i="89"/>
  <c r="R497" i="89"/>
  <c r="R496" i="89"/>
  <c r="R495" i="89"/>
  <c r="R494" i="89"/>
  <c r="R493" i="89"/>
  <c r="R492" i="89"/>
  <c r="R491" i="89"/>
  <c r="R490" i="89"/>
  <c r="R489" i="89"/>
  <c r="Q488" i="89"/>
  <c r="R488" i="89" s="1"/>
  <c r="R487" i="89"/>
  <c r="R486" i="89"/>
  <c r="R485" i="89"/>
  <c r="R484" i="89"/>
  <c r="R483" i="89"/>
  <c r="Q483" i="89"/>
  <c r="R482" i="89"/>
  <c r="R481" i="89"/>
  <c r="T480" i="89"/>
  <c r="R480" i="89"/>
  <c r="R479" i="89"/>
  <c r="R478" i="89"/>
  <c r="V477" i="89"/>
  <c r="R477" i="89"/>
  <c r="Q477" i="89"/>
  <c r="R476" i="89"/>
  <c r="R475" i="89"/>
  <c r="R474" i="89"/>
  <c r="R473" i="89"/>
  <c r="T472" i="89"/>
  <c r="S472" i="89"/>
  <c r="R472" i="89"/>
  <c r="U471" i="89"/>
  <c r="T471" i="89"/>
  <c r="R471" i="89"/>
  <c r="R470" i="89"/>
  <c r="Q470" i="89"/>
  <c r="R469" i="89"/>
  <c r="R468" i="89"/>
  <c r="P468" i="89"/>
  <c r="Q467" i="89"/>
  <c r="R467" i="89" s="1"/>
  <c r="R466" i="89"/>
  <c r="R465" i="89"/>
  <c r="Q465" i="89"/>
  <c r="Q464" i="89"/>
  <c r="R463" i="89"/>
  <c r="R462" i="89"/>
  <c r="R461" i="89"/>
  <c r="R460" i="89"/>
  <c r="R459" i="89"/>
  <c r="R458" i="89"/>
  <c r="R457" i="89"/>
  <c r="Q456" i="89"/>
  <c r="R456" i="89" s="1"/>
  <c r="R455" i="89"/>
  <c r="Q454" i="89"/>
  <c r="R454" i="89" s="1"/>
  <c r="R453" i="89"/>
  <c r="R452" i="89"/>
  <c r="Q451" i="89"/>
  <c r="R451" i="89" s="1"/>
  <c r="R450" i="89"/>
  <c r="R449" i="89"/>
  <c r="Q448" i="89"/>
  <c r="R448" i="89" s="1"/>
  <c r="R447" i="89"/>
  <c r="Q446" i="89"/>
  <c r="R446" i="89" s="1"/>
  <c r="Q445" i="89"/>
  <c r="R445" i="89" s="1"/>
  <c r="R444" i="89"/>
  <c r="Q443" i="89"/>
  <c r="R443" i="89" s="1"/>
  <c r="S442" i="89"/>
  <c r="R442" i="89"/>
  <c r="R441" i="89"/>
  <c r="Q440" i="89"/>
  <c r="R440" i="89" s="1"/>
  <c r="R439" i="89"/>
  <c r="R438" i="89"/>
  <c r="R437" i="89"/>
  <c r="R436" i="89"/>
  <c r="S435" i="89"/>
  <c r="Q435" i="89"/>
  <c r="R435" i="89" s="1"/>
  <c r="R434" i="89"/>
  <c r="R433" i="89"/>
  <c r="R432" i="89"/>
  <c r="R430" i="89"/>
  <c r="R429" i="89"/>
  <c r="V428" i="89"/>
  <c r="U428" i="89"/>
  <c r="T428" i="89"/>
  <c r="R428" i="89"/>
  <c r="S427" i="89"/>
  <c r="R427" i="89"/>
  <c r="S426" i="89"/>
  <c r="R426" i="89"/>
  <c r="S425" i="89"/>
  <c r="R425" i="89"/>
  <c r="R424" i="89"/>
  <c r="S423" i="89"/>
  <c r="R423" i="89"/>
  <c r="S422" i="89"/>
  <c r="R422" i="89"/>
  <c r="R421" i="89"/>
  <c r="Q421" i="89"/>
  <c r="R420" i="89"/>
  <c r="S419" i="89"/>
  <c r="R419" i="89"/>
  <c r="R418" i="89"/>
  <c r="R417" i="89"/>
  <c r="R416" i="89"/>
  <c r="R415" i="89"/>
  <c r="Q413" i="89"/>
  <c r="R413" i="89" s="1"/>
  <c r="R412" i="89"/>
  <c r="R411" i="89"/>
  <c r="R410" i="89"/>
  <c r="R409" i="89"/>
  <c r="R408" i="89"/>
  <c r="R407" i="89"/>
  <c r="Q406" i="89"/>
  <c r="R406" i="89" s="1"/>
  <c r="R405" i="89"/>
  <c r="R404" i="89"/>
  <c r="R403" i="89"/>
  <c r="R402" i="89"/>
  <c r="P401" i="89"/>
  <c r="R401" i="89" s="1"/>
  <c r="Q400" i="89"/>
  <c r="P400" i="89"/>
  <c r="R400" i="89" s="1"/>
  <c r="R399" i="89"/>
  <c r="P399" i="89"/>
  <c r="Q398" i="89"/>
  <c r="R398" i="89" s="1"/>
  <c r="R397" i="89"/>
  <c r="Q396" i="89"/>
  <c r="R396" i="89" s="1"/>
  <c r="R395" i="89"/>
  <c r="R394" i="89"/>
  <c r="R393" i="89"/>
  <c r="Q392" i="89"/>
  <c r="R392" i="89" s="1"/>
  <c r="R391" i="89"/>
  <c r="Q390" i="89"/>
  <c r="R390" i="89" s="1"/>
  <c r="Q389" i="89"/>
  <c r="R389" i="89" s="1"/>
  <c r="R388" i="89"/>
  <c r="R387" i="89"/>
  <c r="Q386" i="89"/>
  <c r="R386" i="89" s="1"/>
  <c r="Q385" i="89"/>
  <c r="R385" i="89" s="1"/>
  <c r="R384" i="89"/>
  <c r="R382" i="89"/>
  <c r="R381" i="89"/>
  <c r="R380" i="89"/>
  <c r="R379" i="89"/>
  <c r="R378" i="89"/>
  <c r="S377" i="89"/>
  <c r="R377" i="89"/>
  <c r="S376" i="89"/>
  <c r="R376" i="89"/>
  <c r="S375" i="89"/>
  <c r="R375" i="89"/>
  <c r="R374" i="89"/>
  <c r="Q374" i="89"/>
  <c r="S373" i="89"/>
  <c r="R373" i="89"/>
  <c r="S372" i="89"/>
  <c r="R372" i="89"/>
  <c r="P371" i="89"/>
  <c r="R371" i="89" s="1"/>
  <c r="R370" i="89"/>
  <c r="S369" i="89"/>
  <c r="P369" i="89"/>
  <c r="R369" i="89" s="1"/>
  <c r="R367" i="89"/>
  <c r="R366" i="89"/>
  <c r="R365" i="89"/>
  <c r="R364" i="89"/>
  <c r="R363" i="89"/>
  <c r="R362" i="89"/>
  <c r="R361" i="89"/>
  <c r="R360" i="89"/>
  <c r="Q359" i="89"/>
  <c r="R359" i="89" s="1"/>
  <c r="R358" i="89"/>
  <c r="R357" i="89"/>
  <c r="R356" i="89"/>
  <c r="R355" i="89"/>
  <c r="Q354" i="89"/>
  <c r="R354" i="89" s="1"/>
  <c r="Q353" i="89"/>
  <c r="R353" i="89" s="1"/>
  <c r="R352" i="89"/>
  <c r="Q351" i="89"/>
  <c r="R351" i="89" s="1"/>
  <c r="R350" i="89"/>
  <c r="Q349" i="89"/>
  <c r="R349" i="89" s="1"/>
  <c r="R348" i="89"/>
  <c r="R347" i="89"/>
  <c r="Q346" i="89"/>
  <c r="R346" i="89" s="1"/>
  <c r="Q345" i="89"/>
  <c r="R345" i="89" s="1"/>
  <c r="R344" i="89"/>
  <c r="Q343" i="89"/>
  <c r="R343" i="89" s="1"/>
  <c r="R342" i="89"/>
  <c r="P342" i="89"/>
  <c r="R341" i="89"/>
  <c r="R340" i="89"/>
  <c r="R339" i="89"/>
  <c r="Q339" i="89"/>
  <c r="R338" i="89"/>
  <c r="R337" i="89"/>
  <c r="R335" i="89"/>
  <c r="R334" i="89"/>
  <c r="R333" i="89"/>
  <c r="R332" i="89"/>
  <c r="R331" i="89"/>
  <c r="S330" i="89"/>
  <c r="R330" i="89"/>
  <c r="S329" i="89"/>
  <c r="R329" i="89"/>
  <c r="S328" i="89"/>
  <c r="R328" i="89"/>
  <c r="R327" i="89"/>
  <c r="S326" i="89"/>
  <c r="R326" i="89"/>
  <c r="S325" i="89"/>
  <c r="R325" i="89"/>
  <c r="R324" i="89"/>
  <c r="R323" i="89"/>
  <c r="R322" i="89"/>
  <c r="S322" i="89" s="1"/>
  <c r="R320" i="89"/>
  <c r="R319" i="89"/>
  <c r="R318" i="89"/>
  <c r="R317" i="89"/>
  <c r="R316" i="89"/>
  <c r="P316" i="89"/>
  <c r="R315" i="89"/>
  <c r="R314" i="89"/>
  <c r="Q314" i="89"/>
  <c r="R313" i="89"/>
  <c r="R312" i="89"/>
  <c r="R311" i="89"/>
  <c r="R310" i="89"/>
  <c r="Q309" i="89"/>
  <c r="R309" i="89" s="1"/>
  <c r="R308" i="89"/>
  <c r="R307" i="89"/>
  <c r="R306" i="89"/>
  <c r="R305" i="89"/>
  <c r="R304" i="89"/>
  <c r="R303" i="89"/>
  <c r="Q303" i="89"/>
  <c r="R302" i="89"/>
  <c r="Q301" i="89"/>
  <c r="R301" i="89" s="1"/>
  <c r="R300" i="89"/>
  <c r="Q299" i="89"/>
  <c r="R299" i="89" s="1"/>
  <c r="R298" i="89"/>
  <c r="V297" i="89"/>
  <c r="U297" i="89"/>
  <c r="T297" i="89"/>
  <c r="S297" i="89"/>
  <c r="R297" i="89"/>
  <c r="R296" i="89"/>
  <c r="Q295" i="89"/>
  <c r="R295" i="89" s="1"/>
  <c r="R294" i="89"/>
  <c r="Q293" i="89"/>
  <c r="R293" i="89" s="1"/>
  <c r="R292" i="89"/>
  <c r="R291" i="89"/>
  <c r="Q290" i="89"/>
  <c r="R290" i="89" s="1"/>
  <c r="R289" i="89"/>
  <c r="Q289" i="89"/>
  <c r="R288" i="89"/>
  <c r="R287" i="89"/>
  <c r="R285" i="89"/>
  <c r="R284" i="89"/>
  <c r="R283" i="89"/>
  <c r="R282" i="89"/>
  <c r="R281" i="89"/>
  <c r="S280" i="89"/>
  <c r="R280" i="89"/>
  <c r="S279" i="89"/>
  <c r="R279" i="89"/>
  <c r="S278" i="89"/>
  <c r="R278" i="89"/>
  <c r="R277" i="89"/>
  <c r="S276" i="89"/>
  <c r="R276" i="89"/>
  <c r="S275" i="89"/>
  <c r="R275" i="89"/>
  <c r="P275" i="89"/>
  <c r="Q274" i="89"/>
  <c r="R274" i="89" s="1"/>
  <c r="R273" i="89"/>
  <c r="S272" i="89"/>
  <c r="R272" i="89"/>
  <c r="R271" i="89"/>
  <c r="R270" i="89"/>
  <c r="R269" i="89"/>
  <c r="Q269" i="89"/>
  <c r="R268" i="89"/>
  <c r="R267" i="89"/>
  <c r="R266" i="89"/>
  <c r="R265" i="89"/>
  <c r="R264" i="89"/>
  <c r="R263" i="89"/>
  <c r="R262" i="89"/>
  <c r="Q261" i="89"/>
  <c r="R261" i="89" s="1"/>
  <c r="Q260" i="89"/>
  <c r="R260" i="89" s="1"/>
  <c r="R259" i="89"/>
  <c r="Q258" i="89"/>
  <c r="R258" i="89" s="1"/>
  <c r="R257" i="89"/>
  <c r="Q256" i="89"/>
  <c r="R256" i="89" s="1"/>
  <c r="R255" i="89"/>
  <c r="R254" i="89"/>
  <c r="Q254" i="89"/>
  <c r="Q253" i="89"/>
  <c r="R253" i="89" s="1"/>
  <c r="R252" i="89"/>
  <c r="R251" i="89"/>
  <c r="R250" i="89"/>
  <c r="R249" i="89"/>
  <c r="R248" i="89"/>
  <c r="Q248" i="89"/>
  <c r="R247" i="89"/>
  <c r="R246" i="89"/>
  <c r="R245" i="89"/>
  <c r="Q245" i="89"/>
  <c r="P245" i="89"/>
  <c r="R244" i="89"/>
  <c r="R243" i="89"/>
  <c r="R242" i="89"/>
  <c r="Q241" i="89"/>
  <c r="R241" i="89" s="1"/>
  <c r="R240" i="89"/>
  <c r="Q240" i="89"/>
  <c r="P240" i="89"/>
  <c r="R239" i="89"/>
  <c r="R238" i="89"/>
  <c r="R237" i="89"/>
  <c r="R236" i="89"/>
  <c r="Q234" i="89"/>
  <c r="R234" i="89" s="1"/>
  <c r="R233" i="89"/>
  <c r="R232" i="89"/>
  <c r="Q231" i="89"/>
  <c r="R231" i="89" s="1"/>
  <c r="R230" i="89"/>
  <c r="R229" i="89"/>
  <c r="R228" i="89"/>
  <c r="R227" i="89"/>
  <c r="Q227" i="89"/>
  <c r="Q226" i="89"/>
  <c r="R226" i="89" s="1"/>
  <c r="R225" i="89"/>
  <c r="Q225" i="89"/>
  <c r="Q224" i="89"/>
  <c r="R224" i="89" s="1"/>
  <c r="R223" i="89"/>
  <c r="Q222" i="89"/>
  <c r="R222" i="89" s="1"/>
  <c r="R221" i="89"/>
  <c r="R220" i="89"/>
  <c r="R219" i="89"/>
  <c r="R218" i="89"/>
  <c r="R217" i="89"/>
  <c r="R216" i="89"/>
  <c r="Q216" i="89"/>
  <c r="R215" i="89"/>
  <c r="R214" i="89"/>
  <c r="R213" i="89"/>
  <c r="Q213" i="89"/>
  <c r="U212" i="89"/>
  <c r="T212" i="89"/>
  <c r="S212" i="89"/>
  <c r="Q212" i="89"/>
  <c r="R212" i="89" s="1"/>
  <c r="R211" i="89"/>
  <c r="R210" i="89"/>
  <c r="Q208" i="89"/>
  <c r="R208" i="89" s="1"/>
  <c r="Q207" i="89"/>
  <c r="R207" i="89" s="1"/>
  <c r="R206" i="89"/>
  <c r="R205" i="89"/>
  <c r="S204" i="89"/>
  <c r="R204" i="89"/>
  <c r="Q204" i="89"/>
  <c r="R203" i="89"/>
  <c r="R202" i="89"/>
  <c r="R201" i="89"/>
  <c r="V200" i="89"/>
  <c r="U200" i="89"/>
  <c r="T200" i="89"/>
  <c r="R200" i="89"/>
  <c r="R199" i="89"/>
  <c r="S198" i="89"/>
  <c r="R198" i="89"/>
  <c r="S197" i="89"/>
  <c r="R197" i="89"/>
  <c r="S196" i="89"/>
  <c r="R196" i="89"/>
  <c r="S195" i="89"/>
  <c r="Q195" i="89"/>
  <c r="R195" i="89" s="1"/>
  <c r="U194" i="89"/>
  <c r="T194" i="89"/>
  <c r="S194" i="89"/>
  <c r="R194" i="89"/>
  <c r="R193" i="89"/>
  <c r="S192" i="89"/>
  <c r="R192" i="89"/>
  <c r="S191" i="89"/>
  <c r="R191" i="89"/>
  <c r="S190" i="89"/>
  <c r="R190" i="89"/>
  <c r="R189" i="89"/>
  <c r="V188" i="89"/>
  <c r="U188" i="89"/>
  <c r="T188" i="89"/>
  <c r="S188" i="89"/>
  <c r="R188" i="89"/>
  <c r="R186" i="89"/>
  <c r="Q185" i="89"/>
  <c r="R185" i="89" s="1"/>
  <c r="R184" i="89"/>
  <c r="R183" i="89"/>
  <c r="R182" i="89"/>
  <c r="Q181" i="89"/>
  <c r="R181" i="89" s="1"/>
  <c r="V180" i="89"/>
  <c r="R180" i="89"/>
  <c r="R179" i="89"/>
  <c r="R178" i="89"/>
  <c r="R177" i="89"/>
  <c r="Q177" i="89"/>
  <c r="V176" i="89"/>
  <c r="U176" i="89"/>
  <c r="R176" i="89"/>
  <c r="Q176" i="89"/>
  <c r="Q175" i="89"/>
  <c r="R175" i="89" s="1"/>
  <c r="R174" i="89"/>
  <c r="Q174" i="89"/>
  <c r="Q173" i="89"/>
  <c r="R173" i="89" s="1"/>
  <c r="R172" i="89"/>
  <c r="Q171" i="89"/>
  <c r="P171" i="89"/>
  <c r="R171" i="89" s="1"/>
  <c r="R170" i="89"/>
  <c r="R169" i="89"/>
  <c r="R168" i="89"/>
  <c r="R167" i="89"/>
  <c r="R166" i="89"/>
  <c r="Q165" i="89"/>
  <c r="R165" i="89" s="1"/>
  <c r="R164" i="89"/>
  <c r="R163" i="89"/>
  <c r="Q163" i="89"/>
  <c r="Q162" i="89"/>
  <c r="R162" i="89" s="1"/>
  <c r="R161" i="89"/>
  <c r="Q161" i="89"/>
  <c r="R159" i="89"/>
  <c r="R158" i="89"/>
  <c r="R157" i="89"/>
  <c r="Q157" i="89"/>
  <c r="Q156" i="89"/>
  <c r="R156" i="89" s="1"/>
  <c r="R155" i="89"/>
  <c r="Q155" i="89"/>
  <c r="R154" i="89"/>
  <c r="R153" i="89"/>
  <c r="R152" i="89"/>
  <c r="Q151" i="89"/>
  <c r="R151" i="89" s="1"/>
  <c r="Q150" i="89"/>
  <c r="R150" i="89" s="1"/>
  <c r="S149" i="89"/>
  <c r="Q149" i="89"/>
  <c r="R149" i="89" s="1"/>
  <c r="R148" i="89"/>
  <c r="R147" i="89"/>
  <c r="R146" i="89"/>
  <c r="R145" i="89"/>
  <c r="R144" i="89"/>
  <c r="S143" i="89"/>
  <c r="R143" i="89"/>
  <c r="S142" i="89"/>
  <c r="R142" i="89"/>
  <c r="V141" i="89"/>
  <c r="U141" i="89"/>
  <c r="T141" i="89"/>
  <c r="S141" i="89"/>
  <c r="Q141" i="89"/>
  <c r="R141" i="89" s="1"/>
  <c r="S140" i="89"/>
  <c r="R140" i="89"/>
  <c r="R139" i="89"/>
  <c r="S138" i="89"/>
  <c r="R138" i="89"/>
  <c r="S137" i="89"/>
  <c r="R137" i="89"/>
  <c r="S136" i="89"/>
  <c r="R136" i="89"/>
  <c r="R135" i="89"/>
  <c r="S134" i="89"/>
  <c r="R134" i="89"/>
  <c r="R133" i="89"/>
  <c r="R132" i="89"/>
  <c r="Q132" i="89"/>
  <c r="R131" i="89"/>
  <c r="Q130" i="89"/>
  <c r="R130" i="89" s="1"/>
  <c r="Q129" i="89"/>
  <c r="R129" i="89" s="1"/>
  <c r="R128" i="89"/>
  <c r="R127" i="89"/>
  <c r="Q126" i="89"/>
  <c r="R126" i="89" s="1"/>
  <c r="Q125" i="89"/>
  <c r="R125" i="89" s="1"/>
  <c r="Q124" i="89"/>
  <c r="P124" i="89"/>
  <c r="R124" i="89" s="1"/>
  <c r="R123" i="89"/>
  <c r="Q122" i="89"/>
  <c r="P122" i="89"/>
  <c r="R122" i="89" s="1"/>
  <c r="V121" i="89"/>
  <c r="U121" i="89"/>
  <c r="S121" i="89"/>
  <c r="Q121" i="89"/>
  <c r="R121" i="89" s="1"/>
  <c r="Q120" i="89"/>
  <c r="R120" i="89" s="1"/>
  <c r="R119" i="89"/>
  <c r="Q119" i="89"/>
  <c r="Q118" i="89"/>
  <c r="R118" i="89" s="1"/>
  <c r="Q117" i="89"/>
  <c r="R117" i="89" s="1"/>
  <c r="R116" i="89"/>
  <c r="Q115" i="89"/>
  <c r="R115" i="89" s="1"/>
  <c r="R114" i="89"/>
  <c r="R113" i="89"/>
  <c r="V112" i="89"/>
  <c r="Q112" i="89"/>
  <c r="R112" i="89" s="1"/>
  <c r="R111" i="89"/>
  <c r="R110" i="89"/>
  <c r="R109" i="89"/>
  <c r="R108" i="89"/>
  <c r="R107" i="89"/>
  <c r="R106" i="89"/>
  <c r="Q105" i="89"/>
  <c r="R105" i="89" s="1"/>
  <c r="R104" i="89"/>
  <c r="R103" i="89"/>
  <c r="R102" i="89"/>
  <c r="U101" i="89"/>
  <c r="T101" i="89"/>
  <c r="S101" i="89"/>
  <c r="Q101" i="89"/>
  <c r="R101" i="89" s="1"/>
  <c r="R100" i="89"/>
  <c r="R99" i="89"/>
  <c r="R98" i="89"/>
  <c r="R97" i="89"/>
  <c r="R96" i="89"/>
  <c r="P95" i="89"/>
  <c r="R95" i="89" s="1"/>
  <c r="R94" i="89"/>
  <c r="P94" i="89"/>
  <c r="R93" i="89"/>
  <c r="R92" i="89"/>
  <c r="R91" i="89"/>
  <c r="Q91" i="89"/>
  <c r="Q90" i="89"/>
  <c r="R90" i="89" s="1"/>
  <c r="R89" i="89"/>
  <c r="V88" i="89"/>
  <c r="U88" i="89"/>
  <c r="T88" i="89"/>
  <c r="S88" i="89"/>
  <c r="Q88" i="89"/>
  <c r="R88" i="89" s="1"/>
  <c r="R87" i="89"/>
  <c r="R86" i="89"/>
  <c r="Q86" i="89"/>
  <c r="Q85" i="89"/>
  <c r="R85" i="89" s="1"/>
  <c r="R84" i="89"/>
  <c r="Q84" i="89"/>
  <c r="P83" i="89"/>
  <c r="R83" i="89" s="1"/>
  <c r="V82" i="89"/>
  <c r="U82" i="89"/>
  <c r="T82" i="89"/>
  <c r="S82" i="89"/>
  <c r="R82" i="89"/>
  <c r="R81" i="89"/>
  <c r="Q80" i="89"/>
  <c r="R80" i="89" s="1"/>
  <c r="R79" i="89"/>
  <c r="Q79" i="89"/>
  <c r="R78" i="89"/>
  <c r="R77" i="89"/>
  <c r="Q77" i="89"/>
  <c r="R76" i="89"/>
  <c r="Q75" i="89"/>
  <c r="R75" i="89" s="1"/>
  <c r="R74" i="89"/>
  <c r="Q74" i="89"/>
  <c r="S73" i="89"/>
  <c r="Q73" i="89"/>
  <c r="R73" i="89" s="1"/>
  <c r="V72" i="89"/>
  <c r="S72" i="89"/>
  <c r="Q72" i="89"/>
  <c r="R72" i="89" s="1"/>
  <c r="S71" i="89"/>
  <c r="Q71" i="89"/>
  <c r="R71" i="89" s="1"/>
  <c r="R70" i="89"/>
  <c r="R69" i="89"/>
  <c r="P68" i="89"/>
  <c r="R68" i="89" s="1"/>
  <c r="R67" i="89"/>
  <c r="R66" i="89"/>
  <c r="V65" i="89"/>
  <c r="R65" i="89"/>
  <c r="V64" i="89"/>
  <c r="U64" i="89"/>
  <c r="T64" i="89"/>
  <c r="S64" i="89"/>
  <c r="R64" i="89"/>
  <c r="S63" i="89"/>
  <c r="R63" i="89"/>
  <c r="S62" i="89"/>
  <c r="R62" i="89"/>
  <c r="Q62" i="89"/>
  <c r="U61" i="89"/>
  <c r="T61" i="89"/>
  <c r="S61" i="89"/>
  <c r="R61" i="89"/>
  <c r="R60" i="89"/>
  <c r="S59" i="89"/>
  <c r="R59" i="89"/>
  <c r="S58" i="89"/>
  <c r="R58" i="89"/>
  <c r="S57" i="89"/>
  <c r="R57" i="89"/>
  <c r="Q57" i="89"/>
  <c r="R56" i="89"/>
  <c r="S55" i="89"/>
  <c r="R55" i="89"/>
  <c r="R54" i="89"/>
  <c r="Q53" i="89"/>
  <c r="P53" i="89"/>
  <c r="Q52" i="89"/>
  <c r="R52" i="89" s="1"/>
  <c r="R51" i="89"/>
  <c r="R50" i="89"/>
  <c r="Q50" i="89"/>
  <c r="Q49" i="89"/>
  <c r="R49" i="89" s="1"/>
  <c r="R48" i="89"/>
  <c r="Q48" i="89"/>
  <c r="R47" i="89"/>
  <c r="R46" i="89"/>
  <c r="R45" i="89"/>
  <c r="P45" i="89"/>
  <c r="R44" i="89"/>
  <c r="Q43" i="89"/>
  <c r="R43" i="89" s="1"/>
  <c r="R42" i="89"/>
  <c r="R41" i="89"/>
  <c r="Q40" i="89"/>
  <c r="R40" i="89" s="1"/>
  <c r="R39" i="89"/>
  <c r="P38" i="89"/>
  <c r="R37" i="89"/>
  <c r="Q37" i="89"/>
  <c r="Q36" i="89"/>
  <c r="R36" i="89" s="1"/>
  <c r="R35" i="89"/>
  <c r="Q34" i="89"/>
  <c r="R34" i="89" s="1"/>
  <c r="Q33" i="89"/>
  <c r="R33" i="89" s="1"/>
  <c r="R32" i="89"/>
  <c r="R31" i="89"/>
  <c r="R30" i="89"/>
  <c r="R29" i="89"/>
  <c r="Q29" i="89"/>
  <c r="Q28" i="89"/>
  <c r="R28" i="89" s="1"/>
  <c r="R27" i="89"/>
  <c r="V26" i="89"/>
  <c r="U26" i="89"/>
  <c r="T26" i="89"/>
  <c r="S26" i="89"/>
  <c r="R26" i="89"/>
  <c r="Q25" i="89"/>
  <c r="R25" i="89" s="1"/>
  <c r="R24" i="89"/>
  <c r="R23" i="89"/>
  <c r="Q22" i="89"/>
  <c r="R22" i="89" s="1"/>
  <c r="R21" i="89"/>
  <c r="Q20" i="89"/>
  <c r="R20" i="89" s="1"/>
  <c r="S19" i="89"/>
  <c r="R19" i="89"/>
  <c r="Q19" i="89"/>
  <c r="R18" i="89"/>
  <c r="R17" i="89"/>
  <c r="R16" i="89"/>
  <c r="R15" i="89"/>
  <c r="V14" i="89"/>
  <c r="U14" i="89"/>
  <c r="T14" i="89"/>
  <c r="R14" i="89"/>
  <c r="R13" i="89"/>
  <c r="V12" i="89"/>
  <c r="V578" i="89" s="1"/>
  <c r="U12" i="89"/>
  <c r="T12" i="89"/>
  <c r="S12" i="89"/>
  <c r="Q12" i="89"/>
  <c r="R12" i="89" s="1"/>
  <c r="S11" i="89"/>
  <c r="R11" i="89"/>
  <c r="S10" i="89"/>
  <c r="R10" i="89"/>
  <c r="Q10" i="89"/>
  <c r="Q578" i="89" s="1"/>
  <c r="S9" i="89"/>
  <c r="R9" i="89"/>
  <c r="R8" i="89"/>
  <c r="S7" i="89"/>
  <c r="R7" i="89"/>
  <c r="S6" i="89"/>
  <c r="R6" i="89"/>
  <c r="S5" i="89"/>
  <c r="R5" i="89"/>
  <c r="R4" i="89"/>
  <c r="S3" i="89"/>
  <c r="S578" i="89" s="1"/>
  <c r="R3" i="89"/>
  <c r="U578" i="89" l="1"/>
  <c r="T578" i="89"/>
  <c r="R464" i="89"/>
  <c r="P578" i="89"/>
  <c r="R38" i="89"/>
  <c r="R578" i="89" s="1"/>
  <c r="R53" i="89"/>
  <c r="M40" i="82" l="1"/>
  <c r="M39" i="82"/>
  <c r="M38" i="82"/>
  <c r="M37" i="82"/>
  <c r="M36" i="82"/>
  <c r="M35" i="82"/>
  <c r="M34" i="82"/>
  <c r="M33" i="82"/>
  <c r="M32" i="82"/>
  <c r="M31" i="82"/>
  <c r="M30" i="82"/>
  <c r="M29" i="82"/>
  <c r="M28" i="82"/>
  <c r="M27" i="82"/>
  <c r="M26" i="82"/>
  <c r="D83" i="85" l="1"/>
  <c r="D96" i="85"/>
  <c r="A4" i="87" l="1"/>
  <c r="D33" i="87" l="1"/>
  <c r="A3" i="87"/>
  <c r="D18" i="87" l="1"/>
  <c r="D112" i="85" l="1"/>
  <c r="F112" i="85" s="1"/>
  <c r="D104" i="85"/>
  <c r="F104" i="85" s="1"/>
  <c r="F96" i="85"/>
  <c r="F83" i="85"/>
  <c r="F10" i="42"/>
  <c r="E10" i="42"/>
  <c r="C10" i="42"/>
  <c r="B10" i="42"/>
  <c r="A4" i="54"/>
  <c r="E19" i="54"/>
  <c r="D19" i="54"/>
  <c r="C19" i="54"/>
  <c r="C32" i="54"/>
  <c r="F32" i="54" s="1"/>
  <c r="E45" i="54"/>
  <c r="F47" i="54" s="1"/>
  <c r="D45" i="54"/>
  <c r="F46" i="54" s="1"/>
  <c r="C45" i="54"/>
  <c r="F45" i="54" s="1"/>
  <c r="E42" i="54"/>
  <c r="F44" i="54" s="1"/>
  <c r="D42" i="54"/>
  <c r="F43" i="54" s="1"/>
  <c r="C42" i="54"/>
  <c r="F42" i="54" s="1"/>
  <c r="E32" i="54"/>
  <c r="F34" i="54" s="1"/>
  <c r="D32" i="54"/>
  <c r="F33" i="54" s="1"/>
  <c r="E10" i="54"/>
  <c r="E9" i="20"/>
  <c r="E15" i="54"/>
  <c r="E12" i="20"/>
  <c r="D15" i="54"/>
  <c r="D12" i="20"/>
  <c r="C15" i="54"/>
  <c r="D10" i="54"/>
  <c r="D9" i="20"/>
  <c r="C10" i="54"/>
  <c r="C9" i="20"/>
  <c r="A3" i="54"/>
  <c r="E78" i="54"/>
  <c r="E76" i="54"/>
  <c r="E82" i="54"/>
  <c r="E84" i="54"/>
  <c r="C79" i="54"/>
  <c r="C80" i="54"/>
  <c r="C76" i="54"/>
  <c r="C82" i="54"/>
  <c r="D78" i="54"/>
  <c r="D84" i="54"/>
  <c r="D82" i="54"/>
  <c r="D76" i="54"/>
  <c r="E66" i="54"/>
  <c r="E64" i="54"/>
  <c r="E62" i="54"/>
  <c r="E61" i="54"/>
  <c r="E58" i="54"/>
  <c r="D66" i="54"/>
  <c r="D64" i="54"/>
  <c r="D62" i="54"/>
  <c r="D61" i="54"/>
  <c r="D58" i="54"/>
  <c r="C61" i="54"/>
  <c r="C62" i="54"/>
  <c r="C58" i="54"/>
  <c r="C64" i="54"/>
  <c r="A4" i="27"/>
  <c r="A4" i="85" s="1"/>
  <c r="A4" i="20"/>
  <c r="A4" i="32"/>
  <c r="A4" i="42"/>
  <c r="A3" i="27"/>
  <c r="B3" i="20"/>
  <c r="A3" i="32"/>
  <c r="A3" i="42"/>
  <c r="D39" i="42"/>
  <c r="G39" i="42" s="1"/>
  <c r="D38" i="42"/>
  <c r="G38" i="42" s="1"/>
  <c r="D37" i="42"/>
  <c r="G37" i="42" s="1"/>
  <c r="F20" i="20"/>
  <c r="D13" i="42"/>
  <c r="G13" i="42" s="1"/>
  <c r="D12" i="42"/>
  <c r="G12" i="42" s="1"/>
  <c r="D22" i="42"/>
  <c r="G22" i="42" s="1"/>
  <c r="D21" i="42"/>
  <c r="G21" i="42" s="1"/>
  <c r="D20" i="42"/>
  <c r="G20" i="42" s="1"/>
  <c r="D19" i="42"/>
  <c r="G19" i="42" s="1"/>
  <c r="D18" i="42"/>
  <c r="G18" i="42" s="1"/>
  <c r="D17" i="42"/>
  <c r="G17" i="42" s="1"/>
  <c r="D16" i="42"/>
  <c r="G16" i="42" s="1"/>
  <c r="D15" i="42"/>
  <c r="G15" i="42" s="1"/>
  <c r="D26" i="42"/>
  <c r="G26" i="42" s="1"/>
  <c r="D25" i="42"/>
  <c r="G25" i="42" s="1"/>
  <c r="D24" i="42"/>
  <c r="G24" i="42" s="1"/>
  <c r="D29" i="42"/>
  <c r="G29" i="42" s="1"/>
  <c r="D28" i="42"/>
  <c r="G28" i="42" s="1"/>
  <c r="D36" i="42"/>
  <c r="D35" i="42" s="1"/>
  <c r="D33" i="42"/>
  <c r="G33" i="42" s="1"/>
  <c r="D32" i="42"/>
  <c r="D31" i="42"/>
  <c r="G31" i="42" s="1"/>
  <c r="D34" i="42"/>
  <c r="G34" i="42" s="1"/>
  <c r="F35" i="42"/>
  <c r="E35" i="42"/>
  <c r="C35" i="42"/>
  <c r="B35" i="42"/>
  <c r="F30" i="42"/>
  <c r="E30" i="42"/>
  <c r="C30" i="42"/>
  <c r="B30" i="42"/>
  <c r="F27" i="42"/>
  <c r="E27" i="42"/>
  <c r="C27" i="42"/>
  <c r="B27" i="42"/>
  <c r="F23" i="42"/>
  <c r="E23" i="42"/>
  <c r="C23" i="42"/>
  <c r="B23" i="42"/>
  <c r="F14" i="42"/>
  <c r="E14" i="42"/>
  <c r="C14" i="42"/>
  <c r="B14" i="42"/>
  <c r="E27" i="20"/>
  <c r="D27" i="20"/>
  <c r="C27" i="20"/>
  <c r="G32" i="42"/>
  <c r="C49" i="54" l="1"/>
  <c r="C78" i="54"/>
  <c r="F17" i="54"/>
  <c r="D10" i="42"/>
  <c r="G10" i="42" s="1"/>
  <c r="C40" i="42"/>
  <c r="G36" i="42"/>
  <c r="G35" i="42" s="1"/>
  <c r="B40" i="42"/>
  <c r="D60" i="54"/>
  <c r="D68" i="54" s="1"/>
  <c r="D70" i="54" s="1"/>
  <c r="E40" i="42"/>
  <c r="F40" i="42"/>
  <c r="E49" i="54"/>
  <c r="C23" i="54"/>
  <c r="C25" i="54" s="1"/>
  <c r="C27" i="54" s="1"/>
  <c r="C36" i="54" s="1"/>
  <c r="E60" i="54"/>
  <c r="E68" i="54" s="1"/>
  <c r="E70" i="54" s="1"/>
  <c r="D86" i="54"/>
  <c r="D88" i="54" s="1"/>
  <c r="F16" i="54"/>
  <c r="E23" i="54"/>
  <c r="E25" i="54" s="1"/>
  <c r="E27" i="54" s="1"/>
  <c r="E36" i="54" s="1"/>
  <c r="E15" i="20"/>
  <c r="E19" i="20" s="1"/>
  <c r="E21" i="20" s="1"/>
  <c r="G30" i="42"/>
  <c r="D23" i="42"/>
  <c r="G23" i="42"/>
  <c r="C86" i="54"/>
  <c r="C88" i="54" s="1"/>
  <c r="D15" i="20"/>
  <c r="D19" i="20" s="1"/>
  <c r="D21" i="20" s="1"/>
  <c r="F10" i="54"/>
  <c r="G27" i="42"/>
  <c r="E86" i="54"/>
  <c r="E88" i="54" s="1"/>
  <c r="D23" i="54"/>
  <c r="D25" i="54" s="1"/>
  <c r="D27" i="54" s="1"/>
  <c r="D36" i="54" s="1"/>
  <c r="D27" i="42"/>
  <c r="C60" i="54"/>
  <c r="C68" i="54" s="1"/>
  <c r="C70" i="54" s="1"/>
  <c r="D49" i="54"/>
  <c r="F12" i="54"/>
  <c r="F11" i="54"/>
  <c r="G14" i="42"/>
  <c r="D30" i="42"/>
  <c r="D14" i="42"/>
  <c r="D40" i="42" l="1"/>
  <c r="H40" i="42"/>
  <c r="G40" i="42"/>
  <c r="F9" i="20"/>
  <c r="H44" i="42"/>
  <c r="H43" i="42"/>
  <c r="H41" i="42"/>
  <c r="H42" i="42" l="1"/>
  <c r="H45" i="42"/>
  <c r="C12" i="20" l="1"/>
  <c r="C15" i="20" s="1"/>
  <c r="C19" i="20" s="1"/>
  <c r="C21" i="20" s="1"/>
  <c r="F15" i="54" l="1"/>
  <c r="F12" i="20"/>
</calcChain>
</file>

<file path=xl/sharedStrings.xml><?xml version="1.0" encoding="utf-8"?>
<sst xmlns="http://schemas.openxmlformats.org/spreadsheetml/2006/main" count="3881" uniqueCount="598">
  <si>
    <t>Relación de Cuentas Bancarias Productivas Específicas</t>
  </si>
  <si>
    <t>Sistema Estatal de Evaluación</t>
  </si>
  <si>
    <t>"Bajo protesta de decir verdad declaramos que los Estados Financieros y sus Notas, son razonablemente correctos y son responsabilidad del emisor"</t>
  </si>
  <si>
    <t>(PESOS)</t>
  </si>
  <si>
    <t>Concepto (c)</t>
  </si>
  <si>
    <t>Pensiones y Jubilaciones</t>
  </si>
  <si>
    <t>Bajo protesta de decir verdad declaramos que los Estados Financieros y sus Notas, son razonablemente correctos y son responsabilidad del emisor</t>
  </si>
  <si>
    <t xml:space="preserve"> </t>
  </si>
  <si>
    <t>Concepto</t>
  </si>
  <si>
    <t>Saldo</t>
  </si>
  <si>
    <t>(1)</t>
  </si>
  <si>
    <t>(2)</t>
  </si>
  <si>
    <t>(4)</t>
  </si>
  <si>
    <t>(5)</t>
  </si>
  <si>
    <t>Ampliaciones/ (Reducciones)</t>
  </si>
  <si>
    <t>Devengado</t>
  </si>
  <si>
    <t>Egresos Aprobado   Anual</t>
  </si>
  <si>
    <t>Egresos Modificado   Anual</t>
  </si>
  <si>
    <t>Subejercicio</t>
  </si>
  <si>
    <t>(3=1+2)</t>
  </si>
  <si>
    <t>( 6 = 3 - 4 )</t>
  </si>
  <si>
    <t>Total del Gasto</t>
  </si>
  <si>
    <t>Aprobado (d)</t>
  </si>
  <si>
    <t xml:space="preserve">Pagado </t>
  </si>
  <si>
    <t>Pagado</t>
  </si>
  <si>
    <t>A</t>
  </si>
  <si>
    <t>TOTAL</t>
  </si>
  <si>
    <t>Gasto Por Categoría Programática</t>
  </si>
  <si>
    <t xml:space="preserve">                 (PESOS)</t>
  </si>
  <si>
    <t>Egresos Devengado     Anual</t>
  </si>
  <si>
    <t>Egresos Pagado     Anual</t>
  </si>
  <si>
    <t>Programas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</si>
  <si>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</si>
  <si>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</si>
  <si>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</si>
  <si>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</si>
  <si>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</si>
  <si>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</si>
  <si>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</si>
  <si>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</si>
  <si>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</si>
  <si>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</si>
  <si>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</si>
  <si>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</si>
  <si>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</si>
  <si>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</si>
  <si>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</si>
  <si>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</si>
  <si>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</si>
  <si>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</si>
  <si>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</si>
  <si>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</si>
  <si>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</si>
  <si>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</si>
  <si>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</si>
  <si>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</si>
  <si>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</si>
  <si>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</si>
  <si>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</si>
  <si>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 xml:space="preserve"> Sistema Estatal de Evaluación</t>
  </si>
  <si>
    <t>Gastos por proyectos de Inversión</t>
  </si>
  <si>
    <t xml:space="preserve">                 (pesos)</t>
  </si>
  <si>
    <t>GASTO DE INVERSION EJERCIDO:</t>
  </si>
  <si>
    <t xml:space="preserve">NOMBRE DEL PROYECTO </t>
  </si>
  <si>
    <t xml:space="preserve">MONTO EROGADO </t>
  </si>
  <si>
    <r>
      <t>ORIGEN DEL RECURSO</t>
    </r>
    <r>
      <rPr>
        <b/>
        <sz val="14"/>
        <rFont val="Arial Narrow"/>
        <family val="2"/>
      </rPr>
      <t>*</t>
    </r>
  </si>
  <si>
    <t>*</t>
  </si>
  <si>
    <t>Se deberán informar con todas las fuentes del recurso.</t>
  </si>
  <si>
    <t>Ya sean obras con Recurso Federal, Recurso Estatal e Ingresos Propios del ente Público.</t>
  </si>
  <si>
    <t>Indicadores de Postura Fiscal</t>
  </si>
  <si>
    <t xml:space="preserve">                                                       (pesos)</t>
  </si>
  <si>
    <t>Estimado Original Anual</t>
  </si>
  <si>
    <t>Pagado 3</t>
  </si>
  <si>
    <t>I. Ingresos Presupuestarios (I= 1 + 2 )</t>
  </si>
  <si>
    <t>1. Ingresos Gobierno del Estado 1</t>
  </si>
  <si>
    <t>2. Ingresos Sector Paraestatal  1</t>
  </si>
  <si>
    <t>II. Egresos Presupuestarios ( II= 3+4 )</t>
  </si>
  <si>
    <t>3. Egresos del Gobierno de la Entidad Federativa 2</t>
  </si>
  <si>
    <t>4. Egresos  del Sector Paraestatal  2</t>
  </si>
  <si>
    <t>III. Balance Presupuestario (Superávit o Déficit)  (III= I-II)</t>
  </si>
  <si>
    <t>III. Balance Presupuestario (Superávit o Déficit)</t>
  </si>
  <si>
    <t>IV. Interéses, Comisiones y Gastos de la Deuda</t>
  </si>
  <si>
    <t>V. Balance Primario (superávit o Déficit)   (V= III-IV)</t>
  </si>
  <si>
    <t>A. Financiamiento</t>
  </si>
  <si>
    <t>B. Amortización de la Deuda</t>
  </si>
  <si>
    <t>C. Endeudamiento o Desendeudamiento   (C=A-B)</t>
  </si>
  <si>
    <t>RECOMENDACIONES CONAC</t>
  </si>
  <si>
    <t xml:space="preserve">1 Los Ingresos que se presentan son los ingresos presupuestario totales sin incluir los ingresos por financiamientos. Los Ingresos del Gobierno de la Entidad Federativa corresponden a los del Poder Ejecutivo, Legislativo Judicial y Autónomos. </t>
  </si>
  <si>
    <t>2 Los egresos que se presentan son los egresos presupuestarios totales sin incluir los egresos por amortización. Los egresos del Gobierno de la Entidad Federativa corresponden a los del Poder Ejecutivo, Legislativo, Judicial y Órganos Autónomos 3 Para Ingresos se reportan los ingresos recaudados; para egresos se reportan los egresos pagados</t>
  </si>
  <si>
    <t>3 Para Ingresos se reportan los ingresos recaudados; para egresos se reportan los egresos pagados.</t>
  </si>
  <si>
    <t>Balance Presupuestario - LDF</t>
  </si>
  <si>
    <t>Estimado/</t>
  </si>
  <si>
    <t>Recaudado/</t>
  </si>
  <si>
    <t>A. Ingresos Totales (A = A1+A2+A3)</t>
  </si>
  <si>
    <t>A1. Ingresos de Libre Disposición</t>
  </si>
  <si>
    <t>A2. Transferencias Federales Etiquetadas</t>
  </si>
  <si>
    <t>A3. Financiamiento Neto</t>
  </si>
  <si>
    <r>
      <t>B. Egresos Presupuestarios</t>
    </r>
    <r>
      <rPr>
        <b/>
        <vertAlign val="superscript"/>
        <sz val="7.5"/>
        <color theme="1"/>
        <rFont val="Arial Narrow"/>
        <family val="2"/>
      </rPr>
      <t>1</t>
    </r>
    <r>
      <rPr>
        <b/>
        <sz val="7.5"/>
        <color theme="1"/>
        <rFont val="Arial Narrow"/>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</si>
  <si>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</si>
  <si>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</si>
  <si>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</si>
  <si>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</si>
  <si>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</si>
  <si>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</si>
  <si>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</si>
  <si>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</si>
  <si>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Aprobado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</si>
  <si>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</si>
  <si>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</si>
  <si>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</si>
  <si>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</si>
  <si>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</si>
  <si>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</si>
  <si>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</si>
  <si>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</si>
  <si>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</si>
  <si>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</si>
  <si>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</si>
  <si>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</si>
  <si>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</si>
  <si>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</si>
  <si>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</si>
  <si>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</si>
  <si>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</si>
  <si>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</si>
  <si>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</si>
  <si>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</si>
  <si>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 xml:space="preserve">                                        (pesos)</t>
  </si>
  <si>
    <t>Fondo, Programa o Convenio</t>
  </si>
  <si>
    <t>Datos de la Cuenta Bancaria</t>
  </si>
  <si>
    <t>Institución Bancaria</t>
  </si>
  <si>
    <t>Número de Cuenta</t>
  </si>
  <si>
    <t>NOTA: La información de este formato es ACUMULADA</t>
  </si>
  <si>
    <t>Relación de Bienes Muebles e Inmuebles que Componen su Patrimonio</t>
  </si>
  <si>
    <t xml:space="preserve">                              (pesos)</t>
  </si>
  <si>
    <t>Código</t>
  </si>
  <si>
    <t>Descripción del Bien</t>
  </si>
  <si>
    <t>Valor en Libros</t>
  </si>
  <si>
    <t>BIENES MUEBLES</t>
  </si>
  <si>
    <t>BIENES INMUEBLES</t>
  </si>
  <si>
    <t>TERRENOS</t>
  </si>
  <si>
    <t>EDIFICIOS</t>
  </si>
  <si>
    <t>Y DEMAS INMUEBLES</t>
  </si>
  <si>
    <t>NOTA: la información de este formato es ACUMULADA.</t>
  </si>
  <si>
    <t>DEPENDENCIA / ENTIDAD</t>
  </si>
  <si>
    <t>UNIDAD ADMINISTRATIVA</t>
  </si>
  <si>
    <t>CLAVE</t>
  </si>
  <si>
    <t>NOMBRE DEL INDICADOR</t>
  </si>
  <si>
    <t>UNI. MEDIDA</t>
  </si>
  <si>
    <t>TIPO META</t>
  </si>
  <si>
    <t>VAL. ACUM.</t>
  </si>
  <si>
    <t>DATOS</t>
  </si>
  <si>
    <t>PROGRAMADO ORIGINAL</t>
  </si>
  <si>
    <t>MODIFICADO</t>
  </si>
  <si>
    <t>REALIZADO</t>
  </si>
  <si>
    <t xml:space="preserve">% DE AVANCE </t>
  </si>
  <si>
    <t>PRIMERO</t>
  </si>
  <si>
    <t>SEGUNDO</t>
  </si>
  <si>
    <t>TERCERO</t>
  </si>
  <si>
    <t>CUARTO</t>
  </si>
  <si>
    <t>ANUAL</t>
  </si>
  <si>
    <t>TRIM</t>
  </si>
  <si>
    <t>MET</t>
  </si>
  <si>
    <t>NUM</t>
  </si>
  <si>
    <t>DEN</t>
  </si>
  <si>
    <t>EVALUACIÓN CUALITATIVA</t>
  </si>
  <si>
    <t>Este formato se genera desde el sistema   http://presupuesto.sonora.gob.mx</t>
  </si>
  <si>
    <t>Dependencia y/o Entidad:</t>
  </si>
  <si>
    <t>Programa Presupuestario:</t>
  </si>
  <si>
    <t>Eje del PED:</t>
  </si>
  <si>
    <t>Reto del PED:</t>
  </si>
  <si>
    <t>Beneficiarios:</t>
  </si>
  <si>
    <t>Resumen narrativo</t>
  </si>
  <si>
    <t>Indicadores</t>
  </si>
  <si>
    <t>Línea base</t>
  </si>
  <si>
    <t>Medios de verificación</t>
  </si>
  <si>
    <t>Supuestos</t>
  </si>
  <si>
    <t>(Objetivos)</t>
  </si>
  <si>
    <t>Nombre</t>
  </si>
  <si>
    <t>Fórmula</t>
  </si>
  <si>
    <t>Frecuencia</t>
  </si>
  <si>
    <t>(Fuentes)</t>
  </si>
  <si>
    <t>FIN</t>
  </si>
  <si>
    <t>PROPÓSITO</t>
  </si>
  <si>
    <t xml:space="preserve">   Subsidios: Sector Social y Privado o Estados y Municipios</t>
  </si>
  <si>
    <t>Pagado
Acumulado al periodo</t>
  </si>
  <si>
    <t>Ejercido
Acumulado al periodo</t>
  </si>
  <si>
    <t>Devengado
Acumulado al periodo</t>
  </si>
  <si>
    <t>Comprometido
Acumulado al Periodo</t>
  </si>
  <si>
    <t>Modificado Anual</t>
  </si>
  <si>
    <t>Ampliaciones / Reducciones</t>
  </si>
  <si>
    <t>Aprobado Anual</t>
  </si>
  <si>
    <t>Área y/o Ubicación Geográfica</t>
  </si>
  <si>
    <t>Fondo (Aportaciones Multiples, Convenios,etc..) (Alfanumerico) (FASS, FASP,etc)</t>
  </si>
  <si>
    <t>Fuente de Financiamiento (Federal, Estatal, Ingresos Propios)</t>
  </si>
  <si>
    <t>Tipo de Financiamiento (1. Gasto No Etiquetado, 2 Gasto Etiquetado)</t>
  </si>
  <si>
    <t>Año
Año de origen del recurso</t>
  </si>
  <si>
    <t>Tipo de Gasto
(1 Gto Corriente, 2 Gto de Capital)</t>
  </si>
  <si>
    <t>Clasificador por Objeto del Gasto
(Partida del Gasto)</t>
  </si>
  <si>
    <t>Servicios Personales por Categoría</t>
  </si>
  <si>
    <t>Tipo de Beneficiario</t>
  </si>
  <si>
    <t>Actividad o Proyecto</t>
  </si>
  <si>
    <t>Programa Presupuestario</t>
  </si>
  <si>
    <t>Subfunción</t>
  </si>
  <si>
    <t>Función</t>
  </si>
  <si>
    <t>Finalidad</t>
  </si>
  <si>
    <t>CENTRO GESTOR
Unidad Administrativa</t>
  </si>
  <si>
    <t>PRESUPUESTO DE EGRESOS</t>
  </si>
  <si>
    <t>FONDO</t>
  </si>
  <si>
    <t>POSICION PRESUPUESTARIA</t>
  </si>
  <si>
    <t>AREA FUNCIONAL</t>
  </si>
  <si>
    <t xml:space="preserve">CLASIFICACIÓN ADMINISTRATIVA </t>
  </si>
  <si>
    <t>Tipo de Recurso (1)</t>
  </si>
  <si>
    <t>Desglose de saldo en Bancos e Inversiones</t>
  </si>
  <si>
    <t>Desglose del saldo presentado en el formato ETCA-I-02, en el inciso A2), de la Cuenta:
BANCOS/TESORERÍA</t>
  </si>
  <si>
    <t>Desglose del saldo presentado en el formato ETCA-I-02, en el inciso A4), de la Cuenta:
INVERSIONES TEMPORALES (HASTA 3 MESES)</t>
  </si>
  <si>
    <t>Desglose del saldo presentado en el formato ETCA-I-02, en el inciso B1), de la Cuenta:
INVERSIONES FINANCIERAS DE CORTO PLAZO</t>
  </si>
  <si>
    <t>Desglose del saldo presentado en el formato ETCA-I-02, en el inciso A) del Activo No Circulante, de la Cuenta:
INVERSIONES FINANCIERAS A LARGO PLAZO</t>
  </si>
  <si>
    <t>Nota: En caso de que la cuenta bancaria tenga los dos tipos de recursos, presentar dos veces la misma cuenta separando los saldos por tipo de recurso.</t>
  </si>
  <si>
    <t>1) Tipo de Recurso: Federal o Estatal (incluye Ingresos Propios)</t>
  </si>
  <si>
    <t>Comision Estatal del Agua</t>
  </si>
  <si>
    <t>GERENCIA RIO CONCEPCION 2016</t>
  </si>
  <si>
    <t>BBVA BANCOMER</t>
  </si>
  <si>
    <t>0105476690</t>
  </si>
  <si>
    <t>COTAS SAN MIGUEL DE HORCASITAS 2016</t>
  </si>
  <si>
    <t>0105476739</t>
  </si>
  <si>
    <t>PLAYAS LIMPIAS 2016</t>
  </si>
  <si>
    <t xml:space="preserve">0105476607 </t>
  </si>
  <si>
    <t>GERENCIA OPERATIVA  CUENCA RIO MAYO 2016</t>
  </si>
  <si>
    <t>0105476615</t>
  </si>
  <si>
    <t>GERENCIA OPERATIVA  CUENCA RIO YAQUI-MATAPE 2016</t>
  </si>
  <si>
    <t xml:space="preserve">0105476623 </t>
  </si>
  <si>
    <t>GERENCIA OPERATIVA  CUENCA ALTO NOROESTE 2016</t>
  </si>
  <si>
    <t>0105476666</t>
  </si>
  <si>
    <t>(COTAS) COMITÉ TECNICO RIO ZANJON 2016</t>
  </si>
  <si>
    <t>0105476801</t>
  </si>
  <si>
    <t>(COTAS) COMITÉ TECNICO RIO SAN JOSE DE GUAYMAS 2016</t>
  </si>
  <si>
    <t xml:space="preserve">0105476747 </t>
  </si>
  <si>
    <t>(COTAS) COMITÉ TECNICO MESA SERI VICTORIA 2016</t>
  </si>
  <si>
    <t>0105476763</t>
  </si>
  <si>
    <t>PRODI 2016</t>
  </si>
  <si>
    <t>0108370222</t>
  </si>
  <si>
    <t>APARURAL2017</t>
  </si>
  <si>
    <t>0110472670</t>
  </si>
  <si>
    <t>RIO CONCEPCION 2017</t>
  </si>
  <si>
    <t>0110778001</t>
  </si>
  <si>
    <t>CUENCA ALTO NSTE 2017</t>
  </si>
  <si>
    <t>0110778400</t>
  </si>
  <si>
    <t>CUENCA YAQUI MATAPE 2017</t>
  </si>
  <si>
    <t>0110778435</t>
  </si>
  <si>
    <t>CUENCA RIO MAYO 2017</t>
  </si>
  <si>
    <t xml:space="preserve">0110778478 </t>
  </si>
  <si>
    <t>PLAYAS LIMPIAS PÑCO 2017</t>
  </si>
  <si>
    <t xml:space="preserve"> 0110778508 </t>
  </si>
  <si>
    <t>COTAS SAN JOSE GYMS 2017</t>
  </si>
  <si>
    <t xml:space="preserve">0110778524 </t>
  </si>
  <si>
    <t>CUENCA RIO MATAPE 2017</t>
  </si>
  <si>
    <t xml:space="preserve">0110778559 </t>
  </si>
  <si>
    <t>COTAS ZANJON 2017</t>
  </si>
  <si>
    <t xml:space="preserve">0110778575 </t>
  </si>
  <si>
    <t>COTAS MESA SERI -LA VICTORIA 2017</t>
  </si>
  <si>
    <t>0110778613</t>
  </si>
  <si>
    <t>FONDO MINERO 2017</t>
  </si>
  <si>
    <t>0112368935</t>
  </si>
  <si>
    <t>FIES 2018</t>
  </si>
  <si>
    <t>ESTATAL</t>
  </si>
  <si>
    <t>FEDERAL</t>
  </si>
  <si>
    <t>HSBC</t>
  </si>
  <si>
    <t>O170120308</t>
  </si>
  <si>
    <t>O170120405</t>
  </si>
  <si>
    <t>O170120456</t>
  </si>
  <si>
    <t>O173909646</t>
  </si>
  <si>
    <t>O193954749</t>
  </si>
  <si>
    <t>O195646537</t>
  </si>
  <si>
    <t>O195646464</t>
  </si>
  <si>
    <t>O195646774</t>
  </si>
  <si>
    <t>O198888124</t>
  </si>
  <si>
    <t>O198888248</t>
  </si>
  <si>
    <t>O198888329</t>
  </si>
  <si>
    <t>O199425624</t>
  </si>
  <si>
    <t>O105079020</t>
  </si>
  <si>
    <t>O105476666</t>
  </si>
  <si>
    <t>O105476690</t>
  </si>
  <si>
    <t>PROPIO</t>
  </si>
  <si>
    <t>O105476739</t>
  </si>
  <si>
    <t>O105476801</t>
  </si>
  <si>
    <t xml:space="preserve">O105476607 </t>
  </si>
  <si>
    <t>O105476615</t>
  </si>
  <si>
    <t xml:space="preserve">O105476747 </t>
  </si>
  <si>
    <t>O105476763</t>
  </si>
  <si>
    <t xml:space="preserve">O106167950 </t>
  </si>
  <si>
    <t>O108370222</t>
  </si>
  <si>
    <t>FEDERAL Y ESTATAL</t>
  </si>
  <si>
    <t>O110445428</t>
  </si>
  <si>
    <t>O110778001</t>
  </si>
  <si>
    <t>O110778400</t>
  </si>
  <si>
    <t>O110778435</t>
  </si>
  <si>
    <t>O110778478</t>
  </si>
  <si>
    <t>O110778508</t>
  </si>
  <si>
    <t>O110778524</t>
  </si>
  <si>
    <t>O110778559</t>
  </si>
  <si>
    <t>O110778575</t>
  </si>
  <si>
    <t>O110778613</t>
  </si>
  <si>
    <t>0112868903</t>
  </si>
  <si>
    <t>BANAMEX</t>
  </si>
  <si>
    <t>O179789367</t>
  </si>
  <si>
    <t>O199031286</t>
  </si>
  <si>
    <t>O199031278</t>
  </si>
  <si>
    <t>O1111480642</t>
  </si>
  <si>
    <t xml:space="preserve">BANAMEX </t>
  </si>
  <si>
    <t>O199031308</t>
  </si>
  <si>
    <t>O199031316</t>
  </si>
  <si>
    <t>O1111480529</t>
  </si>
  <si>
    <t>O199031340</t>
  </si>
  <si>
    <t>O199031359</t>
  </si>
  <si>
    <t>CI BANCO</t>
  </si>
  <si>
    <t>O1416286</t>
  </si>
  <si>
    <t>O1111480618</t>
  </si>
  <si>
    <t>O199031375</t>
  </si>
  <si>
    <t>0154481607</t>
  </si>
  <si>
    <t>0155207215</t>
  </si>
  <si>
    <t xml:space="preserve">  APARURAL  2019</t>
  </si>
  <si>
    <t xml:space="preserve"> APAUR  2019</t>
  </si>
  <si>
    <t xml:space="preserve">  AGUA LIMPIA 2019</t>
  </si>
  <si>
    <t xml:space="preserve"> PTAR  2019</t>
  </si>
  <si>
    <t>0113136221</t>
  </si>
  <si>
    <t>0113136345</t>
  </si>
  <si>
    <t>0113136418</t>
  </si>
  <si>
    <t>0113136566</t>
  </si>
  <si>
    <t>TOTAL BIENES MUEBLES</t>
  </si>
  <si>
    <t>TOTAL BIENES INMUEBLES</t>
  </si>
  <si>
    <t>0112425483</t>
  </si>
  <si>
    <t>FONDEN 2016</t>
  </si>
  <si>
    <t>0113136620</t>
  </si>
  <si>
    <t>RAMO 23</t>
  </si>
  <si>
    <t xml:space="preserve">  APARURAL FEDERAL 2019</t>
  </si>
  <si>
    <t>0113136299</t>
  </si>
  <si>
    <t xml:space="preserve">  APARURAL ESTATAL  2019</t>
  </si>
  <si>
    <t xml:space="preserve"> APAUR FEDERAL 2019</t>
  </si>
  <si>
    <t xml:space="preserve"> APAUR ESTATAL  2019</t>
  </si>
  <si>
    <t xml:space="preserve"> PTAR  FEDERAL 2019</t>
  </si>
  <si>
    <t>PRODDER ESTATAL 2019</t>
  </si>
  <si>
    <t>PRODDER FEDERAL  2019</t>
  </si>
  <si>
    <t>0113225747</t>
  </si>
  <si>
    <t>0113265978</t>
  </si>
  <si>
    <t>Comisión Estatal del Agua, Fondo de Operación de Obras Sonora SI, Fideicomiso Fondo Revolvente Sonora</t>
  </si>
  <si>
    <t>E208K12 Aprovechamiento, distribución y manejo del agua</t>
  </si>
  <si>
    <t>Sonora y ciudades con calidad de vida</t>
  </si>
  <si>
    <t>Impulso al abastecimiento y calidad del agua</t>
  </si>
  <si>
    <t>Población del estado de Sonora</t>
  </si>
  <si>
    <t xml:space="preserve">Contribuir en la gestión sustentable del agua, garantizando su disponibilidad para los diferentes usos y usuarios, mediante la ejecución de acciones para la construcción y modernización de la infraestructura hidráulica y la conservación de los recursos hídricos. </t>
  </si>
  <si>
    <t>Cobertura del servicio de agua potable</t>
  </si>
  <si>
    <t>(Número de habitantes en viviendas particulares con acceso a agua potable  / Población total de Sonora en viviendas particulares )* 100</t>
  </si>
  <si>
    <t>Ascendente</t>
  </si>
  <si>
    <t>Porcentaje</t>
  </si>
  <si>
    <t>Anual</t>
  </si>
  <si>
    <t>Comisión Estatal del Agua
Comisión Nacional del Agua</t>
  </si>
  <si>
    <t>Cobertura del servicio de alcantarillado</t>
  </si>
  <si>
    <t>(Número de habitantes en viviendas particulares con acceso a alcantarillado / Población total de Sonora en viviendas particulares)* 100</t>
  </si>
  <si>
    <t>Cobertura del servicio de saneamiento</t>
  </si>
  <si>
    <t>(Número de habitantes en viviendas particulares con acceso a saneamiento / Población total de Sonora en viviendas particulares)* 100</t>
  </si>
  <si>
    <t>Cobertura de la red de estaciones meteorológicas en las cuencas del Estado</t>
  </si>
  <si>
    <t>Territorio cubierto / Territorio Total X 100</t>
  </si>
  <si>
    <t xml:space="preserve">Porcentaje de Unidades de Riego formalizadas </t>
  </si>
  <si>
    <t>Unidad Formalizada / Unidades en el Estado X 100</t>
  </si>
  <si>
    <t>Acciones de protección contra inundaciones</t>
  </si>
  <si>
    <t>Número de acciones de protección contra inundaciones realizadas</t>
  </si>
  <si>
    <t>Acción</t>
  </si>
  <si>
    <t xml:space="preserve">Acciones de fortalecimiento a los  Consejos de Cuenca y sus Órganos Auxiliares </t>
  </si>
  <si>
    <t>Número total de acciones de fortalecimiento realizadas</t>
  </si>
  <si>
    <t>La población sonorense accede a agua de calidad para uso doméstico y agrícola mediante, mediante acciones e infraestructura hidráulica moderna que permite el manejo integral y sustentable de los recursos hídricos.</t>
  </si>
  <si>
    <t xml:space="preserve">Población beneficiada con obras para el servicio de agua potable, alcantarillado y saneamiento </t>
  </si>
  <si>
    <t xml:space="preserve">Número de habitantes beneficiados con obras de agua, drenaje y saneamiento en el año. </t>
  </si>
  <si>
    <t>Habitante</t>
  </si>
  <si>
    <t>Comisión Estatal del Agua
Fondo de Operación de Obras Sonora SI
Comisión Nacional del Agua</t>
  </si>
  <si>
    <t>Población beneficiada con obras de infraestructura hidroagrícola</t>
  </si>
  <si>
    <t>Número de habitantes beneficiados con la formalización de unidades de riego</t>
  </si>
  <si>
    <t>Población beneficiada con obras de protección contra inundaciones</t>
  </si>
  <si>
    <t>Número de habitantes protegidos de fenómenos meteorológicos extremos</t>
  </si>
  <si>
    <t>Fondo de Operación de Obras Sonora SI
Comisión Nacional del Agua</t>
  </si>
  <si>
    <t>Población beneficiada con los Consejos de Cuenca como mecanismo de participación ciudadana</t>
  </si>
  <si>
    <t>Número de habitantes beneficiados con el fortalecimiento de los consejos de cuenca y órganos auxiliares</t>
  </si>
  <si>
    <t>COMPONENTES</t>
  </si>
  <si>
    <t>C1 Infraestructura para agua potable, alcantarillado y saneamiento construida, ampliada y rehabilitada  en localidades urbanas, rurales e indígenas</t>
  </si>
  <si>
    <t>Obras de agua potable</t>
  </si>
  <si>
    <t>Número de obras de agua potable ejecutadas</t>
  </si>
  <si>
    <t>Obra</t>
  </si>
  <si>
    <t>Las autoridades de las localidades solicitan la construcción de infraestructura para agua potable</t>
  </si>
  <si>
    <t>Obras de alcantarillado y saneamiento</t>
  </si>
  <si>
    <t>Número de obras de alcantarillado y saneamiento ejecutadas</t>
  </si>
  <si>
    <t>Las autoridades de las localidades solicitan la construcción de infraestructura para drenaje, alcantarillado y saneamiento.</t>
  </si>
  <si>
    <t>C2 Infraestructura hidroagrícola y para protección contra inundaciones construida, ampliada o rehabilitada</t>
  </si>
  <si>
    <t>Formalización de Unidades de riego</t>
  </si>
  <si>
    <t>Número de unidades de riego formalizadas</t>
  </si>
  <si>
    <t>Agrupación</t>
  </si>
  <si>
    <t>Las unidades de riego solicitan apoyo para constituirse como asociaciones civiles, sociedades de producción rural y sociedades de responsabilidad limitada de interés público de capital variable</t>
  </si>
  <si>
    <t>Obras de protección contra inundaciones</t>
  </si>
  <si>
    <t>Número de obras ejecutadas</t>
  </si>
  <si>
    <t>El Fondo de Operación de Obras Sonora SI continua con la ejecución de los recursos autorizados para la construcción de la obra multianual Presa Bicentenario</t>
  </si>
  <si>
    <t>C3 Acciones para el manejo sustentable del agua ejecutadas</t>
  </si>
  <si>
    <t>Acciones para el mejoramiento de cuencas</t>
  </si>
  <si>
    <t>Número de acciones ejecutadas</t>
  </si>
  <si>
    <t>Los integrantes de los Consejos de Cuenca y órganos auxiliares determinan las acciones a ejecutar.</t>
  </si>
  <si>
    <t>C4 Créditos y financiamientos  otorgados a entes que participan en el desarrollo del sector hidráulico.</t>
  </si>
  <si>
    <t>Porcentaje de cumplimiento del presupuesto programado para financiamiento</t>
  </si>
  <si>
    <t>(Recurso depositado por créditos autorizados en el ejercicio fiscal/Presupuesto para colocación)*100</t>
  </si>
  <si>
    <t xml:space="preserve">Acreditados registrados en resguardo del Fideicomiso Fondo Revolvente Sonora Dirección de Promoción y Crédito </t>
  </si>
  <si>
    <t>La colocación de créditos continúe con una tendencia ascendente, propiciando una mayor revolvencia</t>
  </si>
  <si>
    <t>ACTIVIDADES</t>
  </si>
  <si>
    <t>A1C1 Concertación de la obra para agua potable, drenaje y saneamiento en localidades urbanas,  rurales e indígenas</t>
  </si>
  <si>
    <t>Concertación de obra para agua potable, drenaje y saneamiento</t>
  </si>
  <si>
    <t xml:space="preserve">Número de obras concertadas </t>
  </si>
  <si>
    <t>Trimestral</t>
  </si>
  <si>
    <t>Dirección General de Infraestructura Hidráulica Urbana y Dirección General de Infraestructura Hidroagrícola de la Comisión Estatal del Agua</t>
  </si>
  <si>
    <t>La Comisión Estatal del Agua recibe y atiende las solicitudes de construcción de infraestructura para alcantarillado y saneamiento de las autoridades municipales</t>
  </si>
  <si>
    <t>A2C1 Ejecución de estudios y proyectos para obras de agua potable, drenaje y saneamiento en localidades urbanas,  rurales e indígenas</t>
  </si>
  <si>
    <t>Estudios y proyectos de agua potable, drenaje y saneamiento</t>
  </si>
  <si>
    <t>Número de estudios y/o proyectos elaborados</t>
  </si>
  <si>
    <t>Documento</t>
  </si>
  <si>
    <t>La Comisión Estatal del Agua elabora los estudios y proyectos solicitados por autoridades municipales de acuerdo al programa autorizado</t>
  </si>
  <si>
    <t>A3C1 Elaboración de contratos y convenios de obra para agua potable, drenaje y saneamiento en localidades urbanas, rurales e indígenas</t>
  </si>
  <si>
    <t xml:space="preserve">Contratos y convenios para obra de agua potable, drenaje y saneamiento </t>
  </si>
  <si>
    <t>Número de contratos y convenios celebrados</t>
  </si>
  <si>
    <t>Dirección General de Infraestructura Hidráulica Urbana, Dirección General de Infraestructura Hidroagrícola y Dirección General de Costos, Concursos y Contratos de la Comisión Estatal del Agua
Dirección General de Supervisión de Obra y Coordinación de Licitaciones y Contratos del Fondo de Operación de Obras Sonora SI</t>
  </si>
  <si>
    <t>La Comisión Estatal del Agua y/o el Fondo de Operación de Obras Sonora SI realiza la contratación de las obras autorizadas</t>
  </si>
  <si>
    <t>A4C1 Supervisión de Obra de agua potable, drenaje y/o saneamiento en localidades urbanas, rurales e indígenas</t>
  </si>
  <si>
    <t>Supervisión de obras de agua potable, alcantarillado y saneamiento</t>
  </si>
  <si>
    <t>Número de supervisiones realizadas</t>
  </si>
  <si>
    <t>Supervisión</t>
  </si>
  <si>
    <t>Dirección General de Infraestructura Hidráulica Urbana y Dirección General de Infraestructura Hidroagrícola de la Comisión Estatal del Agua
Dirección General de Supervisión de Obra del Fondo de Operación de Obras Sonora SI</t>
  </si>
  <si>
    <t>La Comisión Estatal del Agua y/o el Fondo de Operación de Obras Sonora SI supervisa de acuerdo a la legislación aplicable, especificaciones técnicas y programa de ejecución de la obra contratada.</t>
  </si>
  <si>
    <t>A5C1 Entrega - Recepción de la obra para agua potable, drenaje y/o saneamiento</t>
  </si>
  <si>
    <t>Entrega - recepción de obras de agua potable, alcantarillado y saneamiento</t>
  </si>
  <si>
    <t>Número de obras entregadas - recibidas</t>
  </si>
  <si>
    <t>Acta</t>
  </si>
  <si>
    <t>La Comisión Estatal del Agua y el Fondo de Operación de Obras Sonora SI realizan el protocolo de entrega - recepción de las obras terminadas</t>
  </si>
  <si>
    <t>A1C2 Realización de asambleas para la organización de productores de unidades de riego</t>
  </si>
  <si>
    <t>Reuniones con unidades de riego y/o autoridades municipales</t>
  </si>
  <si>
    <t>Número de reuniones realizadas</t>
  </si>
  <si>
    <t>Dirección General de Infraestructura Hidroagrícola de la  Comisión Estatal del Agua</t>
  </si>
  <si>
    <t>Los productores agrícolas de y/o las autoridades municipales solicitan apoyo para la organización y formalización de unidades de riego</t>
  </si>
  <si>
    <t>A2C2 Realización de dictámenes de acciones en materia de protección contra inundaciones</t>
  </si>
  <si>
    <t>Atención a solicitudes de diagnóstico y asesoría sobre protección contra inundaciones</t>
  </si>
  <si>
    <t>Número de dictámenes realizados</t>
  </si>
  <si>
    <t>Dictamen</t>
  </si>
  <si>
    <t>La Comisión Estatal del Agua realiza las visitas de inspección que le solicitan autoridades municipales</t>
  </si>
  <si>
    <t>A3C2 Elaboración de estudios y proyectos para obras de protección contra inundaciones</t>
  </si>
  <si>
    <t>Estudios y proyectos de protección contra inundaciones</t>
  </si>
  <si>
    <t>Número de estudios y proyectos realizados</t>
  </si>
  <si>
    <t>Estudio / Proyecto</t>
  </si>
  <si>
    <t>La Comisión Estatal del Agua elabora los estudios y proyectos solicitados por autoridades municipales</t>
  </si>
  <si>
    <t>A4C2 Elaboración de contratos y convenios de obra para protección contra inundaciones</t>
  </si>
  <si>
    <t>Contratos y convenios de obra de protección contra inundaciones</t>
  </si>
  <si>
    <t>Dirección General de Supervisión de Obras y Coordinación de Licitaciones y Contratos del Fondo de Operación de Obras Sonora SI</t>
  </si>
  <si>
    <t>El Fondo de Operación de Obras Sonora SI elabora los contratos o convenios requeridos para la ejecución de las obras autorizadas</t>
  </si>
  <si>
    <t>A5C2 Supervisión de obras de protección contra inundaciones</t>
  </si>
  <si>
    <t>Supervisión de obras de protección contra inundaciones</t>
  </si>
  <si>
    <t>Dirección General de Supervisión de Obras del Fondo de Operación de Obras Sonora SI</t>
  </si>
  <si>
    <t>El Fondo de Operación de Obras Sonora SI supervisa de acuerdo a la legislación aplicable, a las especificaciones técnicas y programa de ejecución de la obra contratada.</t>
  </si>
  <si>
    <t>A6C2 Entrega - Recepción de la obra de protección contra inundaciones</t>
  </si>
  <si>
    <t>Entrega - recepción de obras de protección contra inundaciones</t>
  </si>
  <si>
    <t>El Fondo de Operación de Obras Sonora SI realiza el protocolo de entrega - recepción de las obras terminadas</t>
  </si>
  <si>
    <t>A1C3 Realización de reuniones con los Consejos de Cuenca y órganos auxiliares</t>
  </si>
  <si>
    <t>Sesión de Consejo de Cuenca y órganos auxiliares</t>
  </si>
  <si>
    <t>Número de sesiones realizadas</t>
  </si>
  <si>
    <t>Sesión</t>
  </si>
  <si>
    <t>Dirección General de Infraestructura Hidroagrícola de la Comisión Estatal del Agua</t>
  </si>
  <si>
    <t>La Comisión Estatal del Agua es integrante titular dentro de los Consejos de Cuenca y órganos auxiliares</t>
  </si>
  <si>
    <t>A2C3 Concertación de acciones para el mejoramiento de cuencas</t>
  </si>
  <si>
    <t>Acuerdos de Consejo de Cuenca y órganos auxiliares</t>
  </si>
  <si>
    <t>Número de acciones concertadas</t>
  </si>
  <si>
    <t xml:space="preserve">La Comisión Estatal del Agua participa en la concertación de acciones acordadas por los Consejos de Cuenca y sus órganos auxiliares </t>
  </si>
  <si>
    <t>A3C3 Elaboración de contratos y convenios de acciones para el mejoramiento de cuencas</t>
  </si>
  <si>
    <t>Contratos y convenios de acciones para el mejoramiento de cuencas</t>
  </si>
  <si>
    <t>La Comisión Estatal del Agua elabora los contratos y convenios requeridos para realizar las acciones autorizadas</t>
  </si>
  <si>
    <t>A4C3 Elaboración de estudios y proyectos para el mejoramiento de cuencas</t>
  </si>
  <si>
    <t>Estudios y proyectos para el mejoramiento de cuencas</t>
  </si>
  <si>
    <t>La Comisión Estatal del Agua ejecuta los estudios y proyectos de acuerdo al programa autorizado</t>
  </si>
  <si>
    <t>A1C4 Recuperación de cartera</t>
  </si>
  <si>
    <t>Porcentaje de Recuperación de  cartera</t>
  </si>
  <si>
    <t>(Recursos financieros recuperados en el año / recursos financieros programados recuperar durante el año) * 100</t>
  </si>
  <si>
    <t>Reporte de Ingresos en resguardo del Fideicomiso Fondo Revolvente Sonora Contabilidad</t>
  </si>
  <si>
    <t>La recuperación de créditos, continua con su tendencia ascendente anual</t>
  </si>
  <si>
    <t>A2C4 Promoción de créditos</t>
  </si>
  <si>
    <t>Porcentaje de Promoción de créditos</t>
  </si>
  <si>
    <t>(Acciones promovidas durante el año / acciones programadas durante el año) * 100</t>
  </si>
  <si>
    <t xml:space="preserve">Plan Anual de Promoción en resguardo del Fideicomiso Fondo Revolvente Sonora Dirección de Promoción y Crédito </t>
  </si>
  <si>
    <t>Se mantiene la demanda de financiamiento para infraestructura hidráulica</t>
  </si>
  <si>
    <t>A3C4 Conciliación-seguimiento administrativo de créditos</t>
  </si>
  <si>
    <t>Porcentaje de Cumplimiento de gestión administrativa de los créditos</t>
  </si>
  <si>
    <t>(Número de acciones de conciliación y seguimientos realizados / número de acciones de conciliación y seguimiento programados durante el año) * 100</t>
  </si>
  <si>
    <t>Dirección de Promoción y Crédito y Dirección Técnica</t>
  </si>
  <si>
    <t xml:space="preserve">Que existan contratos de créditos vigentes, otorgados a entes que desarrollan el sector hidráulico, mismos que se deben conciliar y dar seguimiento </t>
  </si>
  <si>
    <t>C.P. LEONOR AMPARO LANDAVAZO GUTIÉRREZ</t>
  </si>
  <si>
    <t>M.I. MARIO ALBERTO MERINO DÍAZ</t>
  </si>
  <si>
    <t>DIRECTOR ADMINISTRATIVO</t>
  </si>
  <si>
    <t>DIRECTOR GENERAL DE ADMINISTRACIÓN Y FINANZAS</t>
  </si>
  <si>
    <t>PRODI 2019</t>
  </si>
  <si>
    <t>0113545539</t>
  </si>
  <si>
    <t xml:space="preserve">  AGUA  LIMPIA 2019 ESTATAL</t>
  </si>
  <si>
    <t xml:space="preserve">  AGUA  LIMPIA 2019  FEDERAL</t>
  </si>
  <si>
    <t>PRODI FEDERAL  2019</t>
  </si>
  <si>
    <t>0113736229</t>
  </si>
  <si>
    <t>0113736261</t>
  </si>
  <si>
    <t>0113736288</t>
  </si>
  <si>
    <t>2037268874</t>
  </si>
  <si>
    <t>Meta 2019</t>
  </si>
  <si>
    <t>Avance al período</t>
  </si>
  <si>
    <t>% de Avance</t>
  </si>
  <si>
    <t>Sentido</t>
  </si>
  <si>
    <t>Unidad de medida</t>
  </si>
  <si>
    <t>Valor 2016</t>
  </si>
  <si>
    <t>PRODDER FED 2019</t>
  </si>
  <si>
    <t>0114077695</t>
  </si>
  <si>
    <t>FONDO METROPOLITANO</t>
  </si>
  <si>
    <t>0113136523</t>
  </si>
  <si>
    <t>PRODI ESTATAL  2019</t>
  </si>
  <si>
    <t>0113545466</t>
  </si>
  <si>
    <t>01140695</t>
  </si>
  <si>
    <t>NORMAL CONVENIDO</t>
  </si>
  <si>
    <t>C-00135/0113 AMPLIACION DE RED DE AGUA POTABLE 750M DE TUBERIA DE PVC DE 4" DE DIAMETRO Y 60 TOMAS DOMICILIARIAS EN SAN JOSE MUNICIPIO DE GUAYMAS, SONORA CEA-APARURAL-IHU-OB-19-035 DURA CONSTRUCCIONES, SA DE CV</t>
  </si>
  <si>
    <t>C-0135/0114 AMPLIACION DE LA RED DE AGUA POTABLE 483M DE TUBERIA DE PVC DE 3" DE DIAMERO Y 25 TOMAS DOMICILIARIAS EN LA LOCALIDAD DE EL ZACATON MUNICIPIO DE HERMOSILLO, SONORA CEA-APARURAL-IHU-OB-19-036 INGENIEROS DE HERMOSILLO, SA DE CV</t>
  </si>
  <si>
    <t>C-00135/0103AMPLIACION DE RED 1,042M DE TUBERIA DE PVC 3", 183M DE TUBERIA PPVC DE 4" Y 24 TOMAS DOMICILIARIAS EN LA LOCALIDAD DE ORTIZ MUNICIPIO DE GUAYMAS, SONORA CEA-APARURAL-IHU-OB-19-038 MARSA DISEÑO Y CONSTRUCCION, SA DE CV</t>
  </si>
  <si>
    <t>C-00135/0104 CONSTRUCCION DEL SISTEMA DE ALCANTARILLADO SANITRIO 10,776 ML TUBERIA DE PVC SANITARIO DE 8" DE DIAMETRO SERIE 20; 2,401 ML DE TUBERIA DE PVC SANITARIO DE 6" E DIAMETRO; 343 DESCARGAS DOMICILIARIAS EN LA LOCALIDAD DE SANTA MARIA DE GUAYMAS MUNICIPIO DE EMPALME, SONORA CE-APARURAL-IHU-OB-19-040 PROYECTOS Y CONSTRUCCIONES MAGUS, SA DE CV</t>
  </si>
  <si>
    <t>C-00135/0102 AMPLIACION DE 1,562M DE RED DE AGUA POTABLE CON TUBERIA DE PVC DE 3" DE DIAMETRO E INSTALACION DE 30 TOMAS DOMICILIARIAS EN LA LOCALIDAD DE DESEMBOQUEDE LOS SERIS MUNICIPIO DE PITIQUITO, SONORA CEA-APARURAL-IHU-OB-19-039 HEGON CONSTRUCCION Y SUPERVISION, SA DE CV</t>
  </si>
  <si>
    <t>C-00135/0128 CONSTRUCCIÓN (REPOSICIÓN POR DAÑO DEL HURACÁN NEWTON) DE TANQUE METÁLICO DE  100 M3 DE CAPACIDAD EN LA LOCALIDAD PRIMERO DE MAYO (CAMPO 77) MUNICIPIO DE BACUM, ESTADO DE SONORA CEA-APAURAL-IHU-OB-19-051 RS INFRAESTRUCTURA, SA DE CV</t>
  </si>
  <si>
    <t>C-00135/0127 CONSTRUCCIÓN DE TANQUE ELEVADO METÁLICO DE 30 M3 DE CAPACIDAD, EN LA LOCALIDAD DE EJIDO INDEPENDENCIA (CAMPO 104), MUNICIPIO DE BACUM, ESTADO DE SONORA CEA-APAURAL-IHU-OB-19-052 RS INFRAESTRUCTURA, SA DE CV</t>
  </si>
  <si>
    <t>C-00135/0165 PERFORACION DE POZO A 110 PARA LA RECUPERACION DE CAUDAL CON ADEME DE 12 PULGADAS EN LA LOCALIDAD DE FUEERTE MAYO MPIO HUATABAMPO SONORA</t>
  </si>
  <si>
    <t>C-00135/0108 PERFORACION DE POZO A 200M PARA RECUPERACION DE CAUDAL (REPOSICION DE POZO 12 CAPTACION MAYTORENA) EN LA LOCALIDAD DE GUAYMAS, SONORA CEA-APAUR-IHU-OB-026 DR51 CONSTRURENTAS, SA DE CV</t>
  </si>
  <si>
    <t>C-00135/0107 PERFORACION DE POZO A 100M PARA RECUPERACION DE CAUDAL CON ADEME DE 12" DE DIAMETRO EN LA LOCALIDAD DE MOCTEZUMA, SONORA CEA-APAUR-IHU-OB-19-027 DR51 CONSTRURENTAS, SA DE CV</t>
  </si>
  <si>
    <t>C-00135/0109 SUMINISTRO E INSTALACION DE 18 MACROMEDIDORES EN POZOS EXISTENTES (3 DE 4" DE DIAMETRO, 13 DE 8" DE DIAMETRO Y 2 DE 10" DE DIAMETRO) EN LA LOCALIDAD DE AGUA PRIETA, SONORA CEA-APAUR-IHU-OB-19-028 DR51 CONSTRURENTAS, SA DE CV</t>
  </si>
  <si>
    <t>C-00135/0107 PROYECTO EJECUIVO PARA LA SECTORIZACION DE LA RED DE AGUA POTABLE EN LA LOCALIDAD DE EMPALME, SONORA CEA-APAUR-IHU-SRO-19-029 HEGON CONSTRUCCION Y SUPERVISION, SA DE CV</t>
  </si>
  <si>
    <t>C-00135/0106 PROYECTO EJECUTIVO PARA LA OCNSTRUCCION DE LINEA DE ALIMENTACION AL TANQUE MESA SUR EN LA LOCALIDAD DE CANANEA, SONORA CEA-APAUR-IHU-SRO-19-030 SONOOBRAS CONSTRUCTORES, SA DE CV</t>
  </si>
  <si>
    <t>C-00135/0115 AMPLIACION DE RED DE AGUA POTABLE Y CONSTRUCCION DE TOMAS DOMICILIARIAS EN COLONIA SAN ISIDRO SECTOR 4 EN LA LOCALIDAD DE MAGDALENA, SONORA CEA-APAUR-IHU-OB-19-041 CONSTRUMIL, SA DE CV</t>
  </si>
  <si>
    <t>C-00135/0117 AMPLIACION DE RED DE AGUA POTABLE Y CONSTRUCCION DE TOMAS DOMICILIARIAS EN COLONIA FATIMA SECTOR 2 EN LA LOCALIDAD DE MAGDALENA, SONORA CEA-APAUR-IHU-OB-19-042 SONOOBRAS CONSTRUCTORES, SA DE CV</t>
  </si>
  <si>
    <t>C-00135/0116 AMPLIACION DE RED DE AGUA POTABLE Y CONSTRUCCION DE TOMAS DOMICIIARIAS EN COLONIA POLVORIN SECTOR 7 EN MAGDALENA, SONORA CEA-APAUR-IHU-OB-19-043 PROMOTORA MAJERUS, S DE RL</t>
  </si>
  <si>
    <t>C-00134/0140 MOTOR DE 30 HP MARCA FRANKLIN DE 6”, 230V TRIFASICO Y TRABAJOS DE RETIRO DE EQUIPO Y COLOCACION DE EQUIPO DE BOMBEO, INCLUYE REEMPLAZO DE COLUMNA PARA LA LOCALIDAD DE TUBUTAMA, SONORA THIAVZA, SA DE CV</t>
  </si>
  <si>
    <t>C-00171/0001 REHABILITACION DE DRENAJE SANITARIO Y REEQUIPAMIENTO DE CARCAMO EN LA LOCALIDAD DE ARIVECHI, SONORA CEA-PRODDER-IHU-OB-19-020 PURA TECHNICS, SA DE CV</t>
  </si>
  <si>
    <t>C-00171/0007 CONSTRUCCION DE TOMAS DOMICILIARIAS EN LA LOCALIDAD DE TECORIPA MPIO LA COLORADA, SONORA CEA-PRODDER-IHU-OB-19-018 SONOOBRAS CONSTRUCTORES, SA DE CV</t>
  </si>
  <si>
    <t>C-00171/0002 REHABILITACION DE EMISOR A GRAVEDAD LA ISLA EN LA LOCALIDAD DE MOCTEZUMA, SONORA CEA-PRODDER-IHU-OB-19-014 PURA TECHNICS, SA DE CV</t>
  </si>
  <si>
    <t>C-00171/0004 CALIBRACION DE SECTORES HIDROMÉTRICOS (CONSTRUCCION DE CRUCEROS) EN LA LOCALIDAD DE GUAYMAS, SONORA CEA-PRODDER-IHU-OB-19-019 RS INFRAESTRUCTURA, SA DE CV</t>
  </si>
  <si>
    <t>C-00171/0006 PERFORACION (REPOSICION DE POZO DE 200 METROS DE PROFUNDIDAD EN LA LOCALIDAD DE JUNELANCAHUI MPIO. DE EMPALME, SONORA CEA-PRODDER-IHU-OB-19-016 OBRAS Y PROYECTOS BRICK, SA DE CV</t>
  </si>
  <si>
    <t>C-00134/0137 AMPLIACION DE LA RED DE AGUA POTABLE EN COL. LA HUERTA III EN CABORCA, SONORA CEA-FIES-IHU-OB-19-022 CONSTRUBLOCK SA DE RL DE CV</t>
  </si>
  <si>
    <t>C-00152/0076 CONSTRUCCION DE SISTEMA DE TRATAMIENTO DE AGUAS RESIDUALES EN BAHIA DE KINO CEA-FDOMETROP-IHUOB-19-086 BEJIM PLANEA Y CONSTRUYE SA DE CV</t>
  </si>
  <si>
    <t xml:space="preserve">C-00135/0157 SUMINISTRO E INSTALACION DE MACRO MEDIDORES EN FUENTES DE ABASTECIMIENTO EN EL MUNICIPIO DE CABORCA, SONORA CEA-PRODI-DFI-ADQ-19-068 </t>
  </si>
  <si>
    <t>C-00135/0163 ESTUDIO TARIFARIO PARA LA LOCALIDAD DE CANANEA, MUNICIPIO DE CANANEA, EN EL ESTADO DE SONORA CEA-PRODI-DFI-EST-19-062 INFRA P3 LATAM SA DE CV</t>
  </si>
  <si>
    <t>C-00135/0161 ESTUDIO TARIFARIO PARA LA LOCALIDAD DE GUAYMAS, MUNICIPIO DE GUAYMAS EN EL ESTADO DE SONORA CEA-PRODI-DFI-EST-19-060 INFRA P3 LATAM SA DE CV</t>
  </si>
  <si>
    <t>C-00135/0110 AMPLIACION DE 8,110 ML DE RED DE ALCANTARILLADO CON TUBERIA DE 8" DIAMETRO Y CONSTRUCCION DE DESCARGAS DOMICILIARIAS EN CALLES DE LA 36 A LA 41 ENTRE AVENIDA 2 A AVENIDA 38 EN LA LOC. DE AGUA AGUA PRIETA, SON. (INSTALACION DE 8110 ML DE TUBERIA DE PVC SANITARIA DE 8" DIAMETRO Y CONSTRUCCION DE 318 TOMAS DOMICILIARIAS EN AGUA PRIETA, SON. CEA-APAUR-IHU-OB-19-032 DR51 CONSTRURENTAS, SA DE CV</t>
  </si>
  <si>
    <t>C-00135/0111 AMPLIACION DE 3,150M DE LA RD DE ALACANTARILLADO SANITARIO CON TUBERIA DE PVC SANITARIO DE 8" DE DIAMETRO E INSTALACION DE 365 DESCARGAS DOMICILIARIAS EN LA COLONIA LUIS DONALDO COLOSIO EN EL SUROESTE DE NOGALES (ETAPA 3 DE 4) EN LA LOC. NOGALES, SONORA CEA-APAUR-IHU-OB-19-034 R&amp;R CONCRETOS, SA DE CV</t>
  </si>
  <si>
    <t>C-00135/0118 AMPLIACION DE 5490 M DE LA RED DE ALCANTARILLADO SANITARIO CON TUBERIA DE PVC SANITARIO DE 8" DE DIAMETRO E INSTALACION DE 559 DESCARGAS DOMICILIARIAS EN LA COLONIA LUIS DONALDO COLOSIO EN EL SUROESTE DE NOGALES (ETAPA 2 DE 4) EN NOGALES, SON. CEA-APAUR-IHU-OB-19-033 PREMEZCLADOS NOGALES SA DE CV</t>
  </si>
  <si>
    <t>C-00135/0121 IMPARTICION DE CURSOS CAPACITACION PARA EL PERSONAL TECNICO OPERATIVO DE LOS ORGANISMOS OPERADORES EN EL ESTADO DE SON. CONVENIO COLABORACION CEA-13-2019 ASOCIACION  NACIONAL DE EMPRESAS DE AGUA Y SANEAMIENTO DE MEXICO AC</t>
  </si>
  <si>
    <t>C-00135/0124 CONSTRUCCIÓN DE 1,990 METROS DE LÍNEA DE CONDUCCIÓN CON TUBERÍA DE PVC HIDRÁULICO DE 12" DESDE POZO EL POZO 2 BIS AL REBOMBEO SAN JOSÉ, LOC. DE GUAYMAS, MUNICIPIO DE GUAYMAS, ESTADO DE SON. CEA-APAUR-IHU-OB-19-054 CONSTRUMIL, SA DE CV</t>
  </si>
  <si>
    <t>C-00135/0122 AMPLIACIÓN DE LOS SERVICIOS DE AGUA POTABLE QUE INCLUYE LA INSTALACIÓN DE 3,538 ML DE TUBERÍA DE PVC DE 2"(1,556 ML), 3"(1,377 ML), 4" (605 ML) DE DIÁMETRO Y LA INSTALACIÓN DE 362 TOMAS DOMICILIARIAS, AL SUR PONIENTE DE LA CIUDAD DE NOGALES (ETAPA 1 DE 4), EN LA LOC. DE NOGALES, MPIO.NOGALES, ESTADO DE SON. CEA-APAUR-IHU-OB-19-050 PREMEZCLADOS NOGALES, SA DE CV</t>
  </si>
  <si>
    <t>C-00135/0126 PROYECTO EJECUTIVO PARA REHABILITACIÓN DE REBOMBEO C1, (EQUIPAMIENTO, INSTALACIONES ELECTRICAS, MANIFOLD DE SALIDA) EN LA LOCALIDAD DE GUAYMAS, MPIO. DE GUAYMAS, ESTADO DE SON. CEA CEA-APAUR-IHU-SRO-19-055 SONOOBRAS CONSTRUCTORES, SA DE CV</t>
  </si>
  <si>
    <t>C-00135/0123 AMPLIACIÓN DE LA RED DE AGUA POTABLE (771.50 ML DE TUBERÍA DE PVC DE 4", 511.65 ML DE TUBERÍA DE PVC DE 6" Y 156 TOMAS DOMICILIARIAS DE 1/2") PARA COL.CAJEME, SECTOR CUEVITAS, EN  LOC. HERMOSILLO, MPIO. HERMOSILLO, ESTADO DE SON. CEA-APAUR-IHU-SRO-19-053 CONSTRUMIL, SA DE CV</t>
  </si>
  <si>
    <t>C-00135/0125 ESTUDIO PARA LA ELABORACION DE MARCO JURIDICO Y ORGANIZACIONAL PARA LA REGULACION DE LOS SERVICIOS DE AGUA Y SANEAMIENTO EN EL ESTADO DE SON.CEA-APAUR-IHU-SERV-19-072 NADER HAYAUX &amp; GOEBEL SC</t>
  </si>
  <si>
    <t>C-00135/0164 PERFORACION DE POZO A 100M PARA RECUPERACION DE CAUDAL CON ADEME DE 16" (REPOSICION DE POZO 3 BOCA ABIERTA) EN LA LOC. GUAYMAS, SON.CEA-APAUR-IHU-OB-19-079</t>
  </si>
  <si>
    <t>C-00134/103 SUMINISTRO E INSTALACION DE  MOTOR ELECTRICO VERTICAL MARCA US MOTORS FLECHA HUECA DE 150 HP 1800 RPM 460 VOLTS 3 FASES EFICIENCIA PREMIUM FRAME H444 TP  PARA LA LOC. MOCTEZUMA, SON. THIAVZA, SA DE CV</t>
  </si>
  <si>
    <t>C-00134/0144 CONV COLAB 14-2019 PERFORACION DE POZO DE AGUA POTABLE E 100M DE PROFUNDIDAD CON ADEME DE 10 PULGADAS PARA LA LOC. DE LA COLORADA, SON., MPIO. DE LA COLORADA CONV COLABORACION 14/2019</t>
  </si>
  <si>
    <t>C-00154/0005 PROYECTO EJECUTIVO PARA CONSTRUCCION DE GALERIAS FILTRANTES PARA RIEGO DE LA UNIDAD DE RIEGO BANAMICHI Y PROYECTO EJECUTIVO DE LA REHABILITACION DEL TAJO (EL BACERAN) ZONA ECONOMICA ESPECIAL DEL RIO SON.) EN EL ESTADO DE SON. CEA-RP-IH-SRO-19-059 SONOOBRAS CONSTRUCTORES</t>
  </si>
  <si>
    <t>REPOSICION DE 250 MTS DE RED DE ATARJEAS DE TUBERIA DE 8 PULGADAS DE DIAMETRO DE PVC PARA LA MITIGACION DE DAÑOS OCASIONADOS POR L TORMENTA TROPICAL NEWTON  DEL 6-7 SEPT/16 EN LA LOC. BENJAMIN HILL EN EL ESTADO DE SON. CEA-FONDEN-IH-OB-18-030 HEO DESARROLLOS, S DE RL DE CV</t>
  </si>
  <si>
    <t>REPOSICION DE 240 MTS DE RED DE ATARJEAS DE TUBERIA DE 8 PULGADAS DE DIAMETRO DE PVC PARA LA MITIGACION DE DAÑOS OCASIONADOS POR LA TORMENTA TROPICAL NEWTON DEL 6 AL 7 DE SEPTIEMBRE 2016 EN LA LOC.DE BENJAMIN HILLL, MPIO. DE SON.CEA-FONDEN-IH-OB-18-031 HEO DESARROLLO, S DE RL DE CV</t>
  </si>
  <si>
    <t>REPOSICION DE 240 MTS DE COLECTOR DE TUBERIA DE 16 PULGADAS DE DIAMETRO DE PVC PARA LA MITIGACION DE DAÑOS OCASIONADOS POR LA TORMENT ATROPICAL NEWTON DEL 6 AL 7 DE SEPTIEMBRE 2016 EN LA LOC. BENJAMIN HILL, MPIO. DE SON. CEA-FONDEN-IH-OB-18-029 HEO DESARROLLOS S DE RL DE CV</t>
  </si>
  <si>
    <t>CONSTRUCCION DE COLECTOR DE AGUAS RESIDUALES ROCA FUERTE TRAMO SELECTA DE GUAYMAS AL CARCAMO MAESTRO (POZO 10 A POZO 14) EN LA LOCALIDAD DE GUAYMAS, SON. CEA-PRODDER-IHU-OB-19-021 PURA TECHNICS, SA DE CV</t>
  </si>
  <si>
    <t>C-00171/0003 REHABILITACION DE CARCAMO DE BOMBEO Y CONSTRUCCION DE EMISOR DE SALIA EN LA LOCALICAD DE CHUCARIT MPIO ETCHOJOA, SON. CEA-IHU-OB-19-019 EDIFICACIONES BOZA SA DE CV</t>
  </si>
  <si>
    <t>C--00171/0006PERFORACION (REPOSICION) DE POZO DE 50 M DE PROFUNDIDAD EN LA LOC. DE BAMORI MPIO. ARIVECHI, SON. CEA-PRODDER-IHU-OB-19-025 OBRAS Y PROYECTOS BRICK SA DE CV</t>
  </si>
  <si>
    <t>C-00171/0010 CONSTRUCCION DE CAJAS Y REHABILITACION DE BORDOS EN PLANTA DE TRATAMIENTOS EN EJIDO ALEJANDRO CARRILLO MARCOR MPIO HERMOSILLO, SON. CEA-PRODDER-IHU-OB-19-037 PROMOTORA MAJERUS, S DE RL</t>
  </si>
  <si>
    <t>CONSTRUCCIÓN DE TANQUE DE ALMACENAMIENTO PARA AGUA POTABLE CON CAPACIDAD DE 650 M3, EN LA LOCALIDAD DE SONOYTA, MPIO. DE GRAL. PLUTARCO ELIAS CALLES EN EL ESTADO DE SON. CEA-PRODDER-IHU-OB-19-058 RUCH EQUIPAMIENTOS Y CONSTRUCCION S DE RL DE CV</t>
  </si>
  <si>
    <t>CONSTRUCCION DE 13K LINEA DE CONDUCCION DE AGUA POTABLE Y EQUIPAMIENTO DE TRES POZOS PARA LA LOCALIDAD DE SAN CARLOS MPIO. GUAYMAS, SON. CEA-FONDOMINERO-IHU-OB-19-005 CONSTRUCTORA TURICATZI, SA DE CV</t>
  </si>
  <si>
    <t>C-00134/0138 AMPLIACION DE RED DE AGUA POTABLE EN LAS COLONIAS MADERA, NUEVO MAGDALENA, SAN GABRIEL Y LA MATANZA EN MAGDALENA SON. CEA-FIES-IHU-OB-19-011 PROMOTORA MAJERUS S DE RL</t>
  </si>
  <si>
    <t>C-00134/0139 EQUIPAMIENTO DE POZOS DE AGUA POTABLE CON EQUIPO SOLAR PARA LA LOC. DE ROSARIO, SONORA CEA-FIES-IHU-OB-19-023 TIVATEC, SA DE CV</t>
  </si>
  <si>
    <t>C-00135/0112 CONSTRUCCION DEL SISTEMA DE SANEAMIENTO A BASE DE LAGUNAS DE OXIDACION CON CAPACIDAD DE 4.28 L/S EN LA LOCALIDAD SANTA MARIA DE GUAYMAS MPIO. DE EMPALME, SON. CEA-PTAR-IHU-OB-19-044 CONSTRUCCTORES LISTA BLANCA, SA DE CV</t>
  </si>
  <si>
    <t>C-00135/0130 LOCALIZACION Y REPARACION DE FUGAS EN TUBERIAS PRINCIPALES Y SECUNDARIAS CON SUMINISTRO DE 100ML TUBERIA DE PVC RD 41 DE 3" DIAMETRO CON ANILLO DE HULE EN LA LOC. DE CANANEA, SON.CEA-PRODI-DFI-AP-19-063 THIAVZA, SA DE CV</t>
  </si>
  <si>
    <t>C-00135/0132 LOCALIZACION Y REPARACION DE FUGAS EN TUBERIAS PRINCIPALES Y SECUNDARIAS EN LINEAS DE 14, 20 Y 30" EN CAPTACION BOCA ABIERTA Y EN LINEA DE 24" EN REBOMBEO SAN JOSE LOMAS COLOSIO EN GUAYMAS, SON. CEA-PRODI-DFI-AP-19-064 RS INFRAESTRUCTURA, SA DE CV</t>
  </si>
  <si>
    <t>C-00135/0134 INSTALACION DE MACROMDIDORES EN SECTORES EN EL MPIO. CANANEA,SON. CEA-DFI-ADQ-19-069 THIAVZA, SA DE CV</t>
  </si>
  <si>
    <t>C-00135/0136 SUMINISTRO E INSTALACION DE MACROMDIDORES DE DIFERENTES DIAMETROS PARA USUARIOS COMERCIALES DE LAS LOC. GUAYMAS Y SAN CARLOS, SON. CEA-PRODI-ADQ-19-070 THIAVZA, SA DE CV</t>
  </si>
  <si>
    <t>C-00135/0162 ESTUDIO TARIFARIO PARA LA LOCALIDAD DE CAJEME, EN EL ESTADO DE SON.CEA-PRODI-DFI-EST-19-061 INFRA P3 LATAM SA DE CV</t>
  </si>
  <si>
    <t xml:space="preserve">C-00106/0006 PROGRAMA AGUA LIMPIA ADQUISICION DE HIPOCLORITO DE CALCIO AL 65%, ADQUISICION DE PASTILLAS DPD NO. 1, ADQUISICION DE EQUIPO CLORIMETRICO PARA MEDICION DE CLORO RESIDUAL TIPO ALBERTO, ADQUISICION DE FRASCOS DE PLATA COLOIDAL DE 30 ML AL 0.36%, INSTALACION DE QUPOS DE CLORACION Y REPOSICION DE CLORACION, EN VARIAS LOCALIDADES MPIO. SON. CEA-AGUALIMPIA-IHU-OB-19-031 EQUIPOS Y PRODUCTOS QUIMICOS DEL NOROESTE </t>
  </si>
  <si>
    <t>4121500100</t>
  </si>
  <si>
    <t>03</t>
  </si>
  <si>
    <t>E208K12</t>
  </si>
  <si>
    <t>A0</t>
  </si>
  <si>
    <t>4121500200</t>
  </si>
  <si>
    <t>Z1</t>
  </si>
  <si>
    <t>4121500300</t>
  </si>
  <si>
    <t>KY</t>
  </si>
  <si>
    <t>MJ</t>
  </si>
  <si>
    <t>4121500400</t>
  </si>
  <si>
    <t>BJ</t>
  </si>
  <si>
    <t>KX</t>
  </si>
  <si>
    <t>IY</t>
  </si>
  <si>
    <t>Z5</t>
  </si>
  <si>
    <t>HY</t>
  </si>
  <si>
    <t>MU</t>
  </si>
  <si>
    <t>MI</t>
  </si>
  <si>
    <t>4121500500</t>
  </si>
  <si>
    <t>4121500600</t>
  </si>
  <si>
    <t>4121500700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</si>
</sst>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_-&quot;€&quot;* #,##0.00_-;\-&quot;€&quot;* #,##0.00_-;_-&quot;€&quot;* &quot;-&quot;??_-;_-@_-"/>
    <numFmt numFmtId="169" formatCode="_(* #,##0_);_(* \(#,##0\);_(* &quot;-&quot;??_);_(@_)"/>
  </numFmts>
  <fonts count="58" x14ac:knownFonts="1">
    <font>
      <sz val="11"/>
      <color theme="1"/>
      <name val="Calibri"/>
      <family val="2"/>
      <scheme val="minor"/>
    </font>
    <font>
      <sz val="10"/>
      <color theme="1"/>
      <name val="Arial Narrow"/>
      <family val="2"/>
    </font>
    <font>
      <b/>
      <sz val="10"/>
      <color theme="1"/>
      <name val="Arial Narrow"/>
      <family val="2"/>
    </font>
    <font>
      <sz val="10"/>
      <name val="Arial"/>
      <family val="2"/>
    </font>
    <font>
      <sz val="11"/>
      <color theme="1"/>
      <name val="Arial Narrow"/>
      <family val="2"/>
    </font>
    <font>
      <b/>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11"/>
      <color indexed="8"/>
      <name val="Calibri"/>
      <family val="2"/>
    </font>
    <font>
      <sz val="9"/>
      <color theme="1"/>
      <name val="Arial Narrow"/>
      <family val="2"/>
    </font>
    <font>
      <b/>
      <sz val="8"/>
      <color theme="1"/>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b/>
      <sz val="10"/>
      <color theme="1"/>
      <name val="Arial"/>
      <family val="2"/>
    </font>
    <font>
      <b/>
      <sz val="11"/>
      <color theme="1"/>
      <name val="Calibri"/>
      <family val="2"/>
      <scheme val="minor"/>
    </font>
    <font>
      <b/>
      <i/>
      <sz val="11"/>
      <color theme="1"/>
      <name val="Calibri"/>
      <family val="2"/>
      <scheme val="minor"/>
    </font>
    <font>
      <sz val="14"/>
      <color theme="0"/>
      <name val="Arial Narrow"/>
      <family val="2"/>
    </font>
    <font>
      <b/>
      <sz val="14"/>
      <name val="Arial Narrow"/>
      <family val="2"/>
    </font>
    <font>
      <b/>
      <sz val="6"/>
      <color theme="1"/>
      <name val="Arial"/>
      <family val="2"/>
    </font>
    <font>
      <b/>
      <sz val="8"/>
      <color theme="1"/>
      <name val="Arial"/>
      <family val="2"/>
    </font>
    <font>
      <b/>
      <sz val="7.5"/>
      <color theme="1"/>
      <name val="Arial Narrow"/>
      <family val="2"/>
    </font>
    <font>
      <sz val="7.5"/>
      <color theme="1"/>
      <name val="Arial Narrow"/>
      <family val="2"/>
    </font>
    <font>
      <b/>
      <vertAlign val="superscript"/>
      <sz val="7.5"/>
      <color theme="1"/>
      <name val="Arial Narrow"/>
      <family val="2"/>
    </font>
    <font>
      <sz val="11"/>
      <name val="Arial Narrow"/>
      <family val="2"/>
    </font>
    <font>
      <sz val="12"/>
      <name val="Arial Narrow"/>
      <family val="2"/>
    </font>
    <font>
      <sz val="9"/>
      <name val="Arial Narrow"/>
      <family val="2"/>
    </font>
    <font>
      <b/>
      <sz val="11"/>
      <name val="Arial"/>
      <family val="2"/>
    </font>
    <font>
      <b/>
      <sz val="10"/>
      <name val="Arial"/>
      <family val="2"/>
    </font>
    <font>
      <sz val="9"/>
      <name val="Arial"/>
      <family val="2"/>
    </font>
    <font>
      <b/>
      <sz val="9"/>
      <name val="Arial"/>
      <family val="2"/>
    </font>
    <font>
      <sz val="8"/>
      <name val="Arial"/>
      <family val="2"/>
    </font>
    <font>
      <sz val="12"/>
      <name val="Calibri"/>
      <family val="2"/>
      <scheme val="minor"/>
    </font>
    <font>
      <b/>
      <sz val="9"/>
      <color theme="1"/>
      <name val="Calibri"/>
      <family val="2"/>
      <scheme val="minor"/>
    </font>
    <font>
      <sz val="10"/>
      <color theme="1"/>
      <name val="Calibri"/>
      <family val="2"/>
      <scheme val="minor"/>
    </font>
    <font>
      <sz val="20"/>
      <color rgb="FFFF0000"/>
      <name val="Calibri"/>
      <family val="2"/>
      <scheme val="minor"/>
    </font>
    <font>
      <b/>
      <sz val="12"/>
      <color theme="0"/>
      <name val="Arial"/>
      <family val="2"/>
    </font>
    <font>
      <b/>
      <sz val="11"/>
      <color theme="1"/>
      <name val="Arial"/>
      <family val="2"/>
    </font>
    <font>
      <b/>
      <sz val="8"/>
      <color theme="1"/>
      <name val="Calibri"/>
      <family val="2"/>
      <scheme val="minor"/>
    </font>
    <font>
      <b/>
      <sz val="14"/>
      <color rgb="FFFF0000"/>
      <name val="Arial Narrow"/>
      <family val="2"/>
    </font>
    <font>
      <sz val="9"/>
      <color theme="1"/>
      <name val="Century Gothic"/>
      <family val="2"/>
    </font>
    <font>
      <sz val="9"/>
      <name val="Century Gothic"/>
      <family val="2"/>
    </font>
    <font>
      <b/>
      <sz val="9"/>
      <name val="Century Gothic"/>
      <family val="2"/>
    </font>
    <font>
      <b/>
      <i/>
      <sz val="9"/>
      <name val="Century Gothic"/>
      <family val="2"/>
    </font>
    <font>
      <b/>
      <sz val="10"/>
      <color theme="1"/>
      <name val="Century Gothic"/>
      <family val="2"/>
    </font>
    <font>
      <sz val="8"/>
      <name val="Calibri"/>
      <family val="2"/>
      <scheme val="minor"/>
    </font>
    <font>
      <sz val="11"/>
      <color theme="1"/>
      <name val="Arial"/>
      <family val="2"/>
    </font>
    <font>
      <sz val="11"/>
      <name val="Arial"/>
      <family val="2"/>
    </font>
    <font>
      <i/>
      <sz val="10"/>
      <color theme="1"/>
      <name val="Arial"/>
      <family val="2"/>
    </font>
    <font>
      <b/>
      <sz val="12"/>
      <color theme="1"/>
      <name val="Arial"/>
      <family val="2"/>
    </font>
    <font>
      <b/>
      <sz val="12"/>
      <color theme="0"/>
      <name val="Calibri"/>
      <family val="2"/>
      <scheme val="minor"/>
    </font>
    <font>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patternFill>
    </fill>
    <fill>
      <patternFill patternType="solid">
        <fgColor rgb="FFD9D9D9"/>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000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medium">
        <color indexed="64"/>
      </left>
      <right/>
      <top/>
      <bottom style="thin">
        <color indexed="64"/>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rgb="FFFFFFFF"/>
      </left>
      <right/>
      <top style="medium">
        <color rgb="FFFFFFFF"/>
      </top>
      <bottom/>
      <diagonal/>
    </border>
    <border>
      <left/>
      <right/>
      <top style="medium">
        <color rgb="FFFFFFFF"/>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bottom style="thin">
        <color theme="0"/>
      </bottom>
      <diagonal/>
    </border>
    <border>
      <left/>
      <right style="thin">
        <color indexed="64"/>
      </right>
      <top style="thin">
        <color theme="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s>
  <cellStyleXfs count="17">
    <xf numFmtId="0" fontId="0"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0" fontId="7" fillId="0" borderId="0"/>
    <xf numFmtId="43" fontId="3" fillId="0" borderId="0" applyFont="0" applyFill="0" applyBorder="0" applyAlignment="0" applyProtection="0"/>
    <xf numFmtId="0" fontId="10" fillId="4"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cellStyleXfs>
  <cellXfs count="436">
    <xf numFmtId="0" fontId="0" fillId="0" borderId="0" xfId="0"/>
    <xf numFmtId="0" fontId="4" fillId="0" borderId="0" xfId="0" applyFont="1"/>
    <xf numFmtId="0" fontId="5" fillId="0" borderId="0" xfId="0" applyFont="1" applyAlignment="1">
      <alignment horizontal="right" vertical="top"/>
    </xf>
    <xf numFmtId="0" fontId="1" fillId="0" borderId="0" xfId="0" applyFont="1"/>
    <xf numFmtId="0" fontId="4" fillId="0" borderId="0" xfId="0" applyFont="1" applyAlignment="1">
      <alignment horizontal="center" vertical="center"/>
    </xf>
    <xf numFmtId="0" fontId="15" fillId="0" borderId="5"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4" fillId="0" borderId="0" xfId="0" applyFont="1"/>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5" fillId="0" borderId="14" xfId="0" applyFont="1" applyBorder="1" applyAlignment="1">
      <alignment horizontal="center" vertical="center"/>
    </xf>
    <xf numFmtId="0" fontId="5" fillId="0" borderId="0" xfId="0" applyFont="1" applyAlignment="1">
      <alignment horizontal="left" vertical="top"/>
    </xf>
    <xf numFmtId="0" fontId="4" fillId="0" borderId="0" xfId="0" applyFont="1" applyProtection="1">
      <protection locked="0"/>
    </xf>
    <xf numFmtId="0" fontId="5" fillId="0" borderId="0" xfId="0" applyFont="1" applyAlignment="1" applyProtection="1">
      <alignment horizontal="right" vertical="top"/>
      <protection locked="0"/>
    </xf>
    <xf numFmtId="0" fontId="0" fillId="0" borderId="0" xfId="0" applyProtection="1">
      <protection locked="0"/>
    </xf>
    <xf numFmtId="0" fontId="9" fillId="0" borderId="8" xfId="0" applyFont="1" applyBorder="1" applyAlignment="1" applyProtection="1">
      <alignment vertical="center"/>
      <protection locked="0"/>
    </xf>
    <xf numFmtId="0" fontId="2" fillId="0" borderId="15" xfId="0" applyFont="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49" fontId="12" fillId="0" borderId="16" xfId="0" applyNumberFormat="1" applyFont="1" applyBorder="1" applyAlignment="1" applyProtection="1">
      <alignment horizontal="center" vertical="center" wrapText="1"/>
      <protection locked="0"/>
    </xf>
    <xf numFmtId="0" fontId="2" fillId="0" borderId="33" xfId="0" applyFont="1" applyBorder="1" applyAlignment="1" applyProtection="1">
      <alignment horizontal="justify" vertical="center" wrapText="1"/>
      <protection locked="0"/>
    </xf>
    <xf numFmtId="0" fontId="4" fillId="0" borderId="36" xfId="0" applyFont="1" applyBorder="1" applyAlignment="1" applyProtection="1">
      <alignment horizontal="justify" vertical="center" wrapText="1"/>
      <protection locked="0"/>
    </xf>
    <xf numFmtId="0" fontId="14" fillId="0" borderId="0" xfId="0" applyFont="1" applyProtection="1">
      <protection locked="0"/>
    </xf>
    <xf numFmtId="0" fontId="15"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4" fontId="15" fillId="0" borderId="17" xfId="0" applyNumberFormat="1" applyFont="1" applyBorder="1" applyAlignment="1" applyProtection="1">
      <alignment horizontal="right" vertical="center"/>
      <protection locked="0"/>
    </xf>
    <xf numFmtId="4" fontId="15" fillId="0" borderId="6" xfId="0" applyNumberFormat="1" applyFont="1" applyBorder="1" applyAlignment="1" applyProtection="1">
      <alignment horizontal="right" vertical="center"/>
      <protection locked="0"/>
    </xf>
    <xf numFmtId="0" fontId="16" fillId="0" borderId="0" xfId="0" applyFont="1" applyProtection="1">
      <protection locked="0"/>
    </xf>
    <xf numFmtId="4" fontId="15" fillId="0" borderId="17" xfId="0" applyNumberFormat="1" applyFont="1" applyBorder="1" applyAlignment="1">
      <alignment horizontal="right" vertical="center"/>
    </xf>
    <xf numFmtId="0" fontId="15" fillId="0" borderId="17" xfId="0" applyFont="1" applyBorder="1" applyAlignment="1" applyProtection="1">
      <alignment horizontal="center" vertical="center"/>
      <protection locked="0"/>
    </xf>
    <xf numFmtId="0" fontId="9" fillId="0" borderId="8" xfId="0" applyFont="1" applyBorder="1" applyAlignment="1" applyProtection="1">
      <alignment vertical="center" wrapText="1"/>
      <protection locked="0"/>
    </xf>
    <xf numFmtId="49" fontId="12" fillId="3" borderId="16" xfId="0" applyNumberFormat="1" applyFont="1" applyFill="1" applyBorder="1" applyAlignment="1" applyProtection="1">
      <alignment horizontal="center" vertical="center" wrapText="1"/>
      <protection locked="0"/>
    </xf>
    <xf numFmtId="4" fontId="4" fillId="0" borderId="17" xfId="0" applyNumberFormat="1" applyFont="1" applyBorder="1" applyAlignment="1" applyProtection="1">
      <alignment horizontal="right" vertical="center" wrapText="1"/>
      <protection locked="0"/>
    </xf>
    <xf numFmtId="0" fontId="13" fillId="0" borderId="5" xfId="0" applyFont="1" applyBorder="1" applyAlignment="1" applyProtection="1">
      <alignment vertical="center" wrapText="1"/>
      <protection locked="0"/>
    </xf>
    <xf numFmtId="4" fontId="13" fillId="0" borderId="17" xfId="0" applyNumberFormat="1" applyFont="1" applyBorder="1" applyAlignment="1" applyProtection="1">
      <alignment horizontal="right" vertical="center" wrapText="1"/>
      <protection locked="0"/>
    </xf>
    <xf numFmtId="0" fontId="22" fillId="0" borderId="0" xfId="0" applyFont="1" applyProtection="1">
      <protection locked="0"/>
    </xf>
    <xf numFmtId="0" fontId="9" fillId="0" borderId="36" xfId="0" applyFont="1" applyBorder="1" applyAlignment="1" applyProtection="1">
      <alignment vertical="top" wrapText="1"/>
      <protection locked="0"/>
    </xf>
    <xf numFmtId="0" fontId="21" fillId="0" borderId="0" xfId="0" applyFont="1" applyProtection="1">
      <protection locked="0"/>
    </xf>
    <xf numFmtId="0" fontId="0" fillId="0" borderId="0" xfId="0" applyAlignment="1" applyProtection="1">
      <alignment wrapText="1"/>
      <protection locked="0"/>
    </xf>
    <xf numFmtId="0" fontId="11" fillId="0" borderId="36" xfId="0" applyFont="1" applyBorder="1" applyAlignment="1" applyProtection="1">
      <alignment horizontal="left" vertical="center" wrapText="1" indent="4"/>
      <protection locked="0"/>
    </xf>
    <xf numFmtId="0" fontId="5" fillId="0" borderId="0" xfId="0" applyFont="1" applyAlignment="1">
      <alignment horizontal="right"/>
    </xf>
    <xf numFmtId="0" fontId="14" fillId="0" borderId="0" xfId="0" applyFont="1" applyAlignment="1">
      <alignment horizontal="center"/>
    </xf>
    <xf numFmtId="0" fontId="15" fillId="0" borderId="0" xfId="0" applyFont="1" applyAlignment="1">
      <alignment horizontal="center" vertical="center"/>
    </xf>
    <xf numFmtId="0" fontId="15" fillId="0" borderId="5" xfId="0" applyFont="1" applyBorder="1" applyAlignment="1">
      <alignment horizontal="left" vertical="center"/>
    </xf>
    <xf numFmtId="0" fontId="4" fillId="0" borderId="7" xfId="0" applyFont="1" applyBorder="1"/>
    <xf numFmtId="0" fontId="4" fillId="0" borderId="8" xfId="0" applyFont="1" applyBorder="1"/>
    <xf numFmtId="0" fontId="18" fillId="0" borderId="0" xfId="0" applyFont="1"/>
    <xf numFmtId="0" fontId="16" fillId="0" borderId="0" xfId="0" applyFont="1" applyAlignment="1">
      <alignment vertical="center" wrapText="1"/>
    </xf>
    <xf numFmtId="0" fontId="15" fillId="0" borderId="0" xfId="0" applyFont="1" applyAlignment="1">
      <alignment horizontal="left" vertical="center"/>
    </xf>
    <xf numFmtId="0" fontId="15" fillId="0" borderId="3" xfId="0" applyFont="1" applyBorder="1" applyAlignment="1">
      <alignment horizontal="center" vertical="center"/>
    </xf>
    <xf numFmtId="0" fontId="5" fillId="3" borderId="0" xfId="0" applyFont="1" applyFill="1" applyAlignment="1" applyProtection="1">
      <alignment horizontal="right"/>
      <protection locked="0"/>
    </xf>
    <xf numFmtId="0" fontId="15" fillId="0" borderId="5" xfId="0" applyFont="1" applyBorder="1" applyAlignment="1" applyProtection="1">
      <alignment horizontal="left" vertical="center"/>
      <protection locked="0"/>
    </xf>
    <xf numFmtId="4" fontId="15" fillId="0" borderId="35" xfId="0" applyNumberFormat="1" applyFont="1" applyBorder="1" applyAlignment="1" applyProtection="1">
      <alignment horizontal="right" vertical="center"/>
      <protection locked="0"/>
    </xf>
    <xf numFmtId="0" fontId="16" fillId="0" borderId="14" xfId="0" applyFont="1" applyBorder="1" applyAlignment="1" applyProtection="1">
      <alignment horizontal="left"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4" fontId="15" fillId="0" borderId="35" xfId="0" applyNumberFormat="1" applyFont="1" applyBorder="1" applyAlignment="1">
      <alignment horizontal="right" vertical="center"/>
    </xf>
    <xf numFmtId="0" fontId="23" fillId="0" borderId="0" xfId="0" applyFont="1"/>
    <xf numFmtId="0" fontId="5" fillId="0" borderId="0" xfId="0" applyFont="1" applyAlignment="1">
      <alignment vertical="center"/>
    </xf>
    <xf numFmtId="0" fontId="1" fillId="0" borderId="0" xfId="0" applyFont="1" applyProtection="1">
      <protection locked="0"/>
    </xf>
    <xf numFmtId="3" fontId="9" fillId="0" borderId="17" xfId="0" applyNumberFormat="1" applyFont="1" applyBorder="1" applyAlignment="1">
      <alignment horizontal="right" vertical="center" wrapText="1"/>
    </xf>
    <xf numFmtId="3" fontId="11" fillId="0" borderId="17" xfId="0" applyNumberFormat="1" applyFont="1" applyBorder="1" applyAlignment="1" applyProtection="1">
      <alignment horizontal="right" vertical="center" wrapText="1"/>
      <protection locked="0"/>
    </xf>
    <xf numFmtId="3" fontId="11" fillId="0" borderId="17" xfId="0" applyNumberFormat="1" applyFont="1" applyBorder="1" applyAlignment="1">
      <alignment horizontal="right" vertical="center" wrapText="1"/>
    </xf>
    <xf numFmtId="3" fontId="9" fillId="0" borderId="17" xfId="0" applyNumberFormat="1" applyFont="1" applyBorder="1" applyAlignment="1" applyProtection="1">
      <alignment horizontal="right" vertical="center" wrapText="1"/>
      <protection locked="0"/>
    </xf>
    <xf numFmtId="3" fontId="2" fillId="0" borderId="21" xfId="0" applyNumberFormat="1" applyFont="1" applyBorder="1" applyAlignment="1">
      <alignment horizontal="right" vertical="center" wrapText="1"/>
    </xf>
    <xf numFmtId="0" fontId="2" fillId="0" borderId="0" xfId="0" applyFont="1" applyAlignment="1" applyProtection="1">
      <alignment horizontal="justify" vertical="center" wrapText="1"/>
      <protection locked="0"/>
    </xf>
    <xf numFmtId="0" fontId="15" fillId="0" borderId="0" xfId="0" applyFont="1" applyAlignment="1" applyProtection="1">
      <alignment horizontal="center" vertical="center"/>
      <protection locked="0"/>
    </xf>
    <xf numFmtId="0" fontId="2" fillId="0" borderId="0" xfId="0" applyFont="1" applyAlignment="1">
      <alignment vertical="center"/>
    </xf>
    <xf numFmtId="3" fontId="2" fillId="0" borderId="0" xfId="0" applyNumberFormat="1" applyFont="1" applyAlignment="1" applyProtection="1">
      <alignment horizontal="right" vertical="center" wrapText="1"/>
      <protection locked="0"/>
    </xf>
    <xf numFmtId="0" fontId="0" fillId="0" borderId="8" xfId="0" applyBorder="1" applyAlignment="1" applyProtection="1">
      <alignment horizontal="center"/>
      <protection locked="0"/>
    </xf>
    <xf numFmtId="4" fontId="15" fillId="0" borderId="22" xfId="0" applyNumberFormat="1" applyFont="1" applyBorder="1" applyAlignment="1">
      <alignment horizontal="right" vertic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right" vertical="center"/>
    </xf>
    <xf numFmtId="0" fontId="4" fillId="0" borderId="2" xfId="0" applyFont="1" applyBorder="1"/>
    <xf numFmtId="0" fontId="25" fillId="0" borderId="9" xfId="0" applyFont="1" applyBorder="1" applyAlignment="1">
      <alignment vertical="center" wrapText="1"/>
    </xf>
    <xf numFmtId="0" fontId="25" fillId="0" borderId="7" xfId="0" applyFont="1" applyBorder="1" applyAlignment="1">
      <alignment vertical="center" wrapText="1"/>
    </xf>
    <xf numFmtId="0" fontId="27" fillId="5" borderId="9" xfId="0" applyFont="1" applyFill="1" applyBorder="1" applyAlignment="1">
      <alignment horizontal="center" vertical="center" wrapText="1"/>
    </xf>
    <xf numFmtId="0" fontId="28" fillId="0" borderId="6" xfId="0" applyFont="1" applyBorder="1" applyAlignment="1">
      <alignment vertical="center" wrapText="1"/>
    </xf>
    <xf numFmtId="0" fontId="27" fillId="0" borderId="6" xfId="0" applyFont="1" applyBorder="1" applyAlignment="1">
      <alignment vertical="center" wrapText="1"/>
    </xf>
    <xf numFmtId="0" fontId="28" fillId="0" borderId="6" xfId="0" applyFont="1" applyBorder="1" applyAlignment="1">
      <alignment horizontal="left" vertical="center" wrapText="1" indent="5"/>
    </xf>
    <xf numFmtId="0" fontId="28" fillId="0" borderId="7" xfId="0" applyFont="1" applyBorder="1" applyAlignment="1">
      <alignment vertical="center" wrapText="1"/>
    </xf>
    <xf numFmtId="0" fontId="27" fillId="0" borderId="9" xfId="0" applyFont="1" applyBorder="1" applyAlignment="1">
      <alignment vertical="center" wrapText="1"/>
    </xf>
    <xf numFmtId="0" fontId="28" fillId="0" borderId="9" xfId="0" applyFont="1" applyBorder="1" applyAlignment="1">
      <alignment vertical="center" wrapText="1"/>
    </xf>
    <xf numFmtId="0" fontId="27" fillId="5" borderId="3" xfId="0" applyFont="1" applyFill="1" applyBorder="1" applyAlignment="1">
      <alignment horizontal="center" vertical="center"/>
    </xf>
    <xf numFmtId="0" fontId="27" fillId="5" borderId="9" xfId="0" applyFont="1" applyFill="1" applyBorder="1" applyAlignment="1">
      <alignment horizontal="center" vertical="center"/>
    </xf>
    <xf numFmtId="0" fontId="28" fillId="0" borderId="6" xfId="0" applyFont="1" applyBorder="1" applyAlignment="1">
      <alignment vertical="center"/>
    </xf>
    <xf numFmtId="0" fontId="28" fillId="0" borderId="6" xfId="0" applyFont="1" applyBorder="1" applyAlignment="1">
      <alignment horizontal="left" vertical="center" indent="5"/>
    </xf>
    <xf numFmtId="0" fontId="28" fillId="0" borderId="6" xfId="0" applyFont="1" applyBorder="1" applyAlignment="1">
      <alignment horizontal="justify" vertical="center"/>
    </xf>
    <xf numFmtId="0" fontId="27" fillId="0" borderId="6" xfId="0" applyFont="1" applyBorder="1" applyAlignment="1">
      <alignment horizontal="left" vertical="center" indent="1"/>
    </xf>
    <xf numFmtId="0" fontId="28" fillId="0" borderId="9" xfId="0" applyFont="1" applyBorder="1" applyAlignment="1">
      <alignment horizontal="left" vertical="center" indent="1"/>
    </xf>
    <xf numFmtId="0" fontId="27" fillId="0" borderId="0" xfId="0" applyFont="1" applyAlignment="1">
      <alignment vertical="center"/>
    </xf>
    <xf numFmtId="0" fontId="28" fillId="0" borderId="6" xfId="0" applyFont="1" applyBorder="1" applyAlignment="1">
      <alignment horizontal="right" vertical="center"/>
    </xf>
    <xf numFmtId="0" fontId="28" fillId="0" borderId="13" xfId="0" applyFont="1" applyBorder="1" applyAlignment="1">
      <alignment horizontal="right" vertical="center"/>
    </xf>
    <xf numFmtId="0" fontId="28" fillId="0" borderId="9" xfId="0" applyFont="1" applyBorder="1" applyAlignment="1">
      <alignment horizontal="right" vertical="center"/>
    </xf>
    <xf numFmtId="0" fontId="27" fillId="5" borderId="3" xfId="0" applyFont="1" applyFill="1" applyBorder="1" applyAlignment="1">
      <alignment horizontal="center" vertical="center" wrapText="1"/>
    </xf>
    <xf numFmtId="41" fontId="28" fillId="0" borderId="6" xfId="0" applyNumberFormat="1" applyFont="1" applyBorder="1" applyAlignment="1" applyProtection="1">
      <alignment vertical="center" wrapText="1"/>
      <protection locked="0"/>
    </xf>
    <xf numFmtId="41" fontId="28" fillId="0" borderId="6" xfId="0" applyNumberFormat="1" applyFont="1" applyBorder="1" applyAlignment="1">
      <alignment vertical="center" wrapText="1"/>
    </xf>
    <xf numFmtId="41" fontId="28" fillId="0" borderId="6" xfId="0" applyNumberFormat="1" applyFont="1" applyBorder="1" applyAlignment="1">
      <alignment horizontal="right" vertical="center"/>
    </xf>
    <xf numFmtId="41" fontId="28" fillId="5" borderId="6" xfId="0" applyNumberFormat="1" applyFont="1" applyFill="1" applyBorder="1" applyAlignment="1">
      <alignment horizontal="right" vertical="center" wrapText="1"/>
    </xf>
    <xf numFmtId="41" fontId="27" fillId="0" borderId="6" xfId="0" applyNumberFormat="1" applyFont="1" applyBorder="1" applyAlignment="1">
      <alignment horizontal="right" vertical="center" wrapText="1"/>
    </xf>
    <xf numFmtId="41" fontId="27" fillId="0" borderId="6" xfId="0" applyNumberFormat="1" applyFont="1" applyBorder="1" applyAlignment="1">
      <alignment horizontal="right" vertical="center"/>
    </xf>
    <xf numFmtId="41" fontId="27" fillId="0" borderId="6" xfId="0" applyNumberFormat="1" applyFont="1" applyBorder="1" applyAlignment="1">
      <alignment vertical="center" wrapText="1"/>
    </xf>
    <xf numFmtId="41" fontId="27" fillId="0" borderId="6" xfId="0" applyNumberFormat="1" applyFont="1" applyBorder="1" applyAlignment="1" applyProtection="1">
      <alignment vertical="center" wrapText="1"/>
      <protection locked="0"/>
    </xf>
    <xf numFmtId="41" fontId="28" fillId="2" borderId="6" xfId="0" applyNumberFormat="1" applyFont="1" applyFill="1" applyBorder="1" applyAlignment="1">
      <alignment vertical="center" wrapText="1"/>
    </xf>
    <xf numFmtId="41" fontId="28" fillId="0" borderId="6" xfId="0" applyNumberFormat="1" applyFont="1" applyBorder="1" applyAlignment="1">
      <alignment horizontal="right" vertical="center" wrapText="1"/>
    </xf>
    <xf numFmtId="0" fontId="30" fillId="0" borderId="0" xfId="0" applyFont="1" applyProtection="1">
      <protection locked="0"/>
    </xf>
    <xf numFmtId="0" fontId="31" fillId="0" borderId="0" xfId="0" applyFont="1" applyProtection="1">
      <protection locked="0"/>
    </xf>
    <xf numFmtId="0" fontId="17" fillId="0" borderId="0" xfId="0" applyFont="1" applyAlignment="1" applyProtection="1">
      <alignment horizontal="right" vertical="top"/>
      <protection locked="0"/>
    </xf>
    <xf numFmtId="0" fontId="32" fillId="0" borderId="0" xfId="0" applyFont="1" applyProtection="1">
      <protection locked="0"/>
    </xf>
    <xf numFmtId="0" fontId="27" fillId="5" borderId="12"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14" fillId="0" borderId="0" xfId="0" applyFont="1" applyAlignment="1" applyProtection="1">
      <alignment horizontal="center"/>
      <protection locked="0"/>
    </xf>
    <xf numFmtId="0" fontId="15" fillId="0" borderId="7"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27" fillId="0" borderId="5"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horizontal="left" vertical="center" indent="1"/>
    </xf>
    <xf numFmtId="0" fontId="27" fillId="0" borderId="6" xfId="0" applyFont="1" applyBorder="1" applyAlignment="1">
      <alignment vertical="center"/>
    </xf>
    <xf numFmtId="0" fontId="27" fillId="0" borderId="5" xfId="0" applyFont="1" applyBorder="1" applyAlignment="1">
      <alignment vertical="center" wrapText="1"/>
    </xf>
    <xf numFmtId="0" fontId="26" fillId="3" borderId="0" xfId="0" applyFont="1" applyFill="1" applyAlignment="1">
      <alignment horizontal="center" vertical="center" wrapText="1"/>
    </xf>
    <xf numFmtId="0" fontId="28" fillId="0" borderId="5" xfId="0" applyFont="1" applyBorder="1" applyAlignment="1">
      <alignment vertical="center" wrapText="1"/>
    </xf>
    <xf numFmtId="0" fontId="15" fillId="0" borderId="39" xfId="0" applyFont="1" applyBorder="1" applyAlignment="1">
      <alignment horizontal="center" vertical="center"/>
    </xf>
    <xf numFmtId="0" fontId="15" fillId="0" borderId="39" xfId="0" applyFont="1" applyBorder="1" applyAlignment="1">
      <alignment horizontal="right" vertical="center"/>
    </xf>
    <xf numFmtId="0" fontId="33" fillId="0" borderId="0" xfId="12" applyFont="1" applyAlignment="1">
      <alignment horizontal="left"/>
    </xf>
    <xf numFmtId="49" fontId="34" fillId="0" borderId="0" xfId="12" applyNumberFormat="1" applyFont="1" applyAlignment="1">
      <alignment horizontal="left"/>
    </xf>
    <xf numFmtId="49" fontId="3" fillId="0" borderId="0" xfId="12" applyNumberFormat="1" applyFont="1" applyAlignment="1">
      <alignment horizontal="center" vertical="top"/>
    </xf>
    <xf numFmtId="1" fontId="3" fillId="0" borderId="0" xfId="12" applyNumberFormat="1" applyFont="1" applyAlignment="1">
      <alignment vertical="top"/>
    </xf>
    <xf numFmtId="1" fontId="35" fillId="0" borderId="0" xfId="12" applyNumberFormat="1" applyFont="1" applyAlignment="1">
      <alignment vertical="top"/>
    </xf>
    <xf numFmtId="49" fontId="35" fillId="0" borderId="0" xfId="12" applyNumberFormat="1" applyFont="1" applyAlignment="1">
      <alignment vertical="top"/>
    </xf>
    <xf numFmtId="49" fontId="3" fillId="0" borderId="0" xfId="12" applyNumberFormat="1" applyFont="1" applyAlignment="1">
      <alignment vertical="top" wrapText="1"/>
    </xf>
    <xf numFmtId="1" fontId="36" fillId="2" borderId="19" xfId="12" applyNumberFormat="1" applyFont="1" applyFill="1" applyBorder="1" applyAlignment="1">
      <alignment horizontal="centerContinuous" wrapText="1"/>
    </xf>
    <xf numFmtId="1" fontId="34" fillId="2" borderId="19" xfId="12" applyNumberFormat="1" applyFont="1" applyFill="1" applyBorder="1" applyAlignment="1">
      <alignment horizontal="centerContinuous" wrapText="1"/>
    </xf>
    <xf numFmtId="1" fontId="34" fillId="2" borderId="19" xfId="12" applyNumberFormat="1" applyFont="1" applyFill="1" applyBorder="1" applyAlignment="1">
      <alignment horizontal="centerContinuous"/>
    </xf>
    <xf numFmtId="49" fontId="34" fillId="2" borderId="19" xfId="12" applyNumberFormat="1" applyFont="1" applyFill="1" applyBorder="1" applyAlignment="1">
      <alignment horizontal="centerContinuous"/>
    </xf>
    <xf numFmtId="0" fontId="34" fillId="2" borderId="19" xfId="12" applyFont="1" applyFill="1" applyBorder="1" applyAlignment="1">
      <alignment horizontal="center" wrapText="1"/>
    </xf>
    <xf numFmtId="1" fontId="35" fillId="2" borderId="19" xfId="12" applyNumberFormat="1" applyFont="1" applyFill="1" applyBorder="1" applyAlignment="1" applyProtection="1">
      <alignment horizontal="center"/>
      <protection locked="0"/>
    </xf>
    <xf numFmtId="1" fontId="35" fillId="2" borderId="19" xfId="12" applyNumberFormat="1" applyFont="1" applyFill="1" applyBorder="1" applyAlignment="1" applyProtection="1">
      <alignment horizontal="center" wrapText="1"/>
      <protection locked="0"/>
    </xf>
    <xf numFmtId="0" fontId="35" fillId="2" borderId="19" xfId="12" applyFont="1" applyFill="1" applyBorder="1" applyAlignment="1">
      <alignment horizontal="center" wrapText="1"/>
    </xf>
    <xf numFmtId="0" fontId="35" fillId="0" borderId="20" xfId="12" applyFont="1" applyBorder="1" applyAlignment="1">
      <alignment horizontal="center" vertical="top" wrapText="1"/>
    </xf>
    <xf numFmtId="49" fontId="35" fillId="0" borderId="40" xfId="12" applyNumberFormat="1" applyFont="1" applyBorder="1" applyAlignment="1">
      <alignment horizontal="center" vertical="top" wrapText="1"/>
    </xf>
    <xf numFmtId="49" fontId="35" fillId="0" borderId="28" xfId="12" applyNumberFormat="1" applyFont="1" applyBorder="1" applyAlignment="1">
      <alignment horizontal="center" vertical="top" wrapText="1"/>
    </xf>
    <xf numFmtId="1" fontId="35" fillId="0" borderId="28" xfId="12" applyNumberFormat="1" applyFont="1" applyBorder="1" applyAlignment="1" applyProtection="1">
      <alignment horizontal="center" vertical="top"/>
      <protection locked="0"/>
    </xf>
    <xf numFmtId="1" fontId="35" fillId="0" borderId="28" xfId="12" applyNumberFormat="1" applyFont="1" applyBorder="1" applyAlignment="1" applyProtection="1">
      <alignment horizontal="center" vertical="top" wrapText="1"/>
      <protection locked="0"/>
    </xf>
    <xf numFmtId="0" fontId="35" fillId="0" borderId="32" xfId="12" applyFont="1" applyBorder="1" applyAlignment="1">
      <alignment horizontal="center" vertical="top" wrapText="1"/>
    </xf>
    <xf numFmtId="0" fontId="35" fillId="0" borderId="19" xfId="12" applyFont="1" applyBorder="1" applyAlignment="1">
      <alignment horizontal="center" vertical="top" wrapText="1"/>
    </xf>
    <xf numFmtId="0" fontId="36" fillId="0" borderId="19" xfId="1" applyFont="1" applyBorder="1" applyAlignment="1">
      <alignment vertical="top"/>
    </xf>
    <xf numFmtId="2" fontId="37" fillId="0" borderId="19" xfId="6" quotePrefix="1" applyNumberFormat="1" applyFont="1" applyFill="1" applyBorder="1" applyAlignment="1">
      <alignment horizontal="left" vertical="top" wrapText="1"/>
    </xf>
    <xf numFmtId="0" fontId="38" fillId="0" borderId="0" xfId="1" applyFont="1" applyAlignment="1">
      <alignment vertical="top"/>
    </xf>
    <xf numFmtId="0" fontId="36" fillId="0" borderId="19" xfId="0" applyFont="1" applyBorder="1" applyAlignment="1">
      <alignment vertical="top"/>
    </xf>
    <xf numFmtId="2" fontId="35" fillId="0" borderId="19" xfId="1" applyNumberFormat="1" applyFont="1" applyBorder="1" applyAlignment="1">
      <alignment horizontal="left" vertical="top"/>
    </xf>
    <xf numFmtId="2" fontId="35" fillId="0" borderId="19" xfId="6" applyNumberFormat="1" applyFont="1" applyFill="1" applyBorder="1" applyAlignment="1">
      <alignment horizontal="left" vertical="top"/>
    </xf>
    <xf numFmtId="49" fontId="35" fillId="0" borderId="0" xfId="1" applyNumberFormat="1" applyFont="1" applyAlignment="1">
      <alignment horizontal="center" vertical="top"/>
    </xf>
    <xf numFmtId="0" fontId="35" fillId="0" borderId="0" xfId="1" applyFont="1" applyAlignment="1">
      <alignment vertical="top"/>
    </xf>
    <xf numFmtId="0" fontId="35" fillId="0" borderId="0" xfId="1" applyFont="1" applyAlignment="1">
      <alignment horizontal="center" vertical="top"/>
    </xf>
    <xf numFmtId="49" fontId="41" fillId="0" borderId="0" xfId="1" applyNumberFormat="1" applyFont="1" applyAlignment="1">
      <alignment horizontal="left" vertical="top"/>
    </xf>
    <xf numFmtId="0" fontId="38" fillId="0" borderId="0" xfId="1" applyFont="1" applyAlignment="1">
      <alignment horizontal="center" vertical="top"/>
    </xf>
    <xf numFmtId="49" fontId="38" fillId="0" borderId="0" xfId="1" applyNumberFormat="1" applyFont="1" applyAlignment="1">
      <alignment horizontal="center" vertical="top"/>
    </xf>
    <xf numFmtId="0" fontId="44" fillId="13" borderId="25" xfId="0" applyFont="1" applyFill="1" applyBorder="1" applyAlignment="1">
      <alignment horizontal="center" vertical="center" wrapText="1"/>
    </xf>
    <xf numFmtId="0" fontId="14" fillId="0" borderId="19" xfId="0" applyFont="1" applyBorder="1" applyAlignment="1">
      <alignment horizontal="center"/>
    </xf>
    <xf numFmtId="0" fontId="14" fillId="0" borderId="19" xfId="0" applyFont="1" applyBorder="1"/>
    <xf numFmtId="0" fontId="15" fillId="2" borderId="27" xfId="0" applyFont="1" applyFill="1" applyBorder="1" applyAlignment="1">
      <alignment vertical="center"/>
    </xf>
    <xf numFmtId="0" fontId="15" fillId="2" borderId="28" xfId="0" applyFont="1" applyFill="1" applyBorder="1" applyAlignment="1">
      <alignment vertical="center"/>
    </xf>
    <xf numFmtId="0" fontId="15" fillId="2" borderId="29" xfId="0" applyFont="1" applyFill="1" applyBorder="1" applyAlignment="1">
      <alignment vertical="center"/>
    </xf>
    <xf numFmtId="0" fontId="8" fillId="0" borderId="0" xfId="0" applyFont="1" applyAlignment="1">
      <alignment horizontal="center" vertical="center" wrapText="1"/>
    </xf>
    <xf numFmtId="0" fontId="45" fillId="0" borderId="0" xfId="0" applyFont="1" applyAlignment="1">
      <alignment wrapText="1"/>
    </xf>
    <xf numFmtId="0" fontId="15" fillId="2" borderId="28" xfId="0" applyFont="1" applyFill="1" applyBorder="1" applyAlignment="1">
      <alignment horizontal="right" vertical="center"/>
    </xf>
    <xf numFmtId="0" fontId="15" fillId="0" borderId="14" xfId="0" applyFont="1" applyBorder="1" applyAlignment="1">
      <alignment horizontal="center" vertical="center" wrapText="1"/>
    </xf>
    <xf numFmtId="43" fontId="0" fillId="0" borderId="0" xfId="11" applyFont="1"/>
    <xf numFmtId="0" fontId="15" fillId="0" borderId="2" xfId="0" applyFont="1" applyBorder="1" applyAlignment="1">
      <alignment horizontal="center" vertical="center"/>
    </xf>
    <xf numFmtId="49" fontId="15" fillId="0" borderId="6" xfId="0" applyNumberFormat="1" applyFont="1" applyBorder="1" applyAlignment="1">
      <alignment horizontal="center" vertical="center"/>
    </xf>
    <xf numFmtId="0" fontId="46" fillId="0" borderId="41" xfId="0" applyFont="1" applyBorder="1"/>
    <xf numFmtId="0" fontId="46" fillId="0" borderId="0" xfId="0" applyFont="1"/>
    <xf numFmtId="0" fontId="46" fillId="0" borderId="0" xfId="0" applyFont="1" applyAlignment="1">
      <alignment vertical="center"/>
    </xf>
    <xf numFmtId="0" fontId="19" fillId="0" borderId="39" xfId="0" applyFont="1" applyBorder="1" applyAlignment="1">
      <alignment horizontal="center" vertical="center"/>
    </xf>
    <xf numFmtId="0" fontId="15" fillId="0" borderId="50" xfId="0" applyFont="1" applyBorder="1" applyAlignment="1">
      <alignment horizontal="right" vertical="center"/>
    </xf>
    <xf numFmtId="0" fontId="46" fillId="0" borderId="19" xfId="0" applyFont="1" applyBorder="1" applyAlignment="1">
      <alignment horizontal="center" vertical="center" wrapText="1"/>
    </xf>
    <xf numFmtId="0" fontId="47" fillId="0" borderId="19" xfId="1" applyFont="1" applyBorder="1" applyAlignment="1">
      <alignment horizontal="center" vertical="center" wrapText="1"/>
    </xf>
    <xf numFmtId="43" fontId="47" fillId="0" borderId="40" xfId="11" applyFont="1" applyBorder="1" applyAlignment="1">
      <alignment horizontal="right" vertical="center" wrapText="1"/>
    </xf>
    <xf numFmtId="0" fontId="46" fillId="0" borderId="41" xfId="0" applyFont="1" applyBorder="1" applyAlignment="1">
      <alignment horizontal="center" vertical="center"/>
    </xf>
    <xf numFmtId="0" fontId="46" fillId="0" borderId="0" xfId="0" applyFont="1" applyAlignment="1">
      <alignment horizontal="center" vertical="center"/>
    </xf>
    <xf numFmtId="43" fontId="47" fillId="0" borderId="40" xfId="11" applyFont="1" applyBorder="1" applyAlignment="1">
      <alignment horizontal="right" vertical="center"/>
    </xf>
    <xf numFmtId="0" fontId="46" fillId="0" borderId="19" xfId="0" applyFont="1" applyBorder="1" applyAlignment="1">
      <alignment horizontal="center" vertical="center"/>
    </xf>
    <xf numFmtId="0" fontId="46" fillId="0" borderId="19" xfId="0" applyFont="1" applyBorder="1" applyAlignment="1">
      <alignment vertical="center"/>
    </xf>
    <xf numFmtId="4" fontId="46" fillId="0" borderId="19" xfId="8" applyNumberFormat="1" applyFont="1" applyBorder="1" applyAlignment="1">
      <alignment horizontal="right"/>
    </xf>
    <xf numFmtId="4" fontId="47" fillId="0" borderId="19" xfId="0" applyNumberFormat="1" applyFont="1" applyBorder="1" applyAlignment="1">
      <alignment wrapText="1"/>
    </xf>
    <xf numFmtId="0" fontId="47" fillId="0" borderId="19" xfId="0" applyFont="1" applyBorder="1" applyAlignment="1">
      <alignment horizontal="left" wrapText="1"/>
    </xf>
    <xf numFmtId="0" fontId="46" fillId="0" borderId="19" xfId="0" applyFont="1" applyBorder="1" applyAlignment="1">
      <alignment horizontal="center"/>
    </xf>
    <xf numFmtId="0" fontId="48" fillId="0" borderId="39" xfId="0" applyFont="1" applyBorder="1" applyAlignment="1">
      <alignment horizontal="center" vertical="center"/>
    </xf>
    <xf numFmtId="0" fontId="49" fillId="0" borderId="48" xfId="0" applyFont="1" applyBorder="1" applyAlignment="1">
      <alignment horizontal="center" vertical="center"/>
    </xf>
    <xf numFmtId="0" fontId="48" fillId="0" borderId="48" xfId="0" applyFont="1" applyBorder="1" applyAlignment="1">
      <alignment horizontal="center" vertical="center"/>
    </xf>
    <xf numFmtId="4" fontId="48" fillId="0" borderId="48" xfId="0" applyNumberFormat="1" applyFont="1" applyBorder="1" applyAlignment="1">
      <alignment horizontal="right" vertical="center"/>
    </xf>
    <xf numFmtId="0" fontId="46" fillId="0" borderId="0" xfId="0" applyFont="1" applyAlignment="1">
      <alignment horizontal="left" vertical="center"/>
    </xf>
    <xf numFmtId="0" fontId="48" fillId="0" borderId="0" xfId="0" applyFont="1" applyAlignment="1">
      <alignment horizontal="left" wrapText="1"/>
    </xf>
    <xf numFmtId="4" fontId="46" fillId="0" borderId="0" xfId="0" applyNumberFormat="1" applyFont="1" applyAlignment="1">
      <alignment horizontal="right"/>
    </xf>
    <xf numFmtId="4" fontId="46" fillId="0" borderId="40" xfId="8" applyNumberFormat="1" applyFont="1" applyBorder="1" applyAlignment="1">
      <alignment horizontal="right"/>
    </xf>
    <xf numFmtId="0" fontId="15" fillId="0" borderId="51" xfId="0" applyFont="1" applyBorder="1" applyAlignment="1">
      <alignment horizontal="right" vertical="center"/>
    </xf>
    <xf numFmtId="0" fontId="46" fillId="0" borderId="0" xfId="0" applyFont="1" applyAlignment="1">
      <alignment vertical="center" wrapText="1"/>
    </xf>
    <xf numFmtId="0" fontId="48" fillId="0" borderId="19" xfId="16" applyFont="1" applyBorder="1" applyAlignment="1">
      <alignment wrapText="1"/>
    </xf>
    <xf numFmtId="4" fontId="50" fillId="0" borderId="40" xfId="0" applyNumberFormat="1" applyFont="1" applyBorder="1" applyAlignment="1">
      <alignment horizontal="right"/>
    </xf>
    <xf numFmtId="43" fontId="46" fillId="0" borderId="0" xfId="11" applyFont="1"/>
    <xf numFmtId="43" fontId="46" fillId="0" borderId="0" xfId="0" applyNumberFormat="1" applyFont="1"/>
    <xf numFmtId="0" fontId="15" fillId="2" borderId="0" xfId="0" applyFont="1" applyFill="1" applyAlignment="1">
      <alignment horizontal="center" vertical="center"/>
    </xf>
    <xf numFmtId="0" fontId="16" fillId="0" borderId="0" xfId="0" applyFont="1"/>
    <xf numFmtId="0" fontId="5" fillId="0" borderId="14" xfId="0" applyFont="1" applyBorder="1" applyAlignment="1">
      <alignment horizontal="left" vertical="top"/>
    </xf>
    <xf numFmtId="0" fontId="4" fillId="0" borderId="14" xfId="0" applyFont="1" applyBorder="1"/>
    <xf numFmtId="0" fontId="15" fillId="0" borderId="52" xfId="0" applyFont="1" applyBorder="1" applyAlignment="1">
      <alignment horizontal="center" vertical="center"/>
    </xf>
    <xf numFmtId="0" fontId="19" fillId="0" borderId="52" xfId="0" applyFont="1" applyBorder="1" applyAlignment="1">
      <alignment horizontal="center" vertical="center"/>
    </xf>
    <xf numFmtId="0" fontId="1" fillId="0" borderId="53" xfId="0" applyFont="1" applyBorder="1" applyProtection="1">
      <protection locked="0"/>
    </xf>
    <xf numFmtId="0" fontId="4" fillId="0" borderId="53" xfId="0" applyFont="1" applyBorder="1"/>
    <xf numFmtId="2" fontId="15" fillId="0" borderId="17" xfId="0" applyNumberFormat="1" applyFont="1" applyBorder="1" applyAlignment="1" applyProtection="1">
      <alignment horizontal="center" vertical="center"/>
      <protection locked="0"/>
    </xf>
    <xf numFmtId="49" fontId="15" fillId="0" borderId="17" xfId="0" applyNumberFormat="1" applyFont="1" applyBorder="1" applyAlignment="1" applyProtection="1">
      <alignment horizontal="center" vertical="center"/>
      <protection locked="0"/>
    </xf>
    <xf numFmtId="0" fontId="15" fillId="0" borderId="17" xfId="0" applyFont="1" applyBorder="1" applyAlignment="1" applyProtection="1">
      <alignment horizontal="center" vertical="center" wrapText="1"/>
      <protection locked="0"/>
    </xf>
    <xf numFmtId="0" fontId="4" fillId="0" borderId="24" xfId="0" applyFont="1" applyBorder="1"/>
    <xf numFmtId="0" fontId="4" fillId="0" borderId="16" xfId="0" applyFont="1" applyBorder="1"/>
    <xf numFmtId="0" fontId="4" fillId="0" borderId="9" xfId="0" applyFont="1" applyBorder="1"/>
    <xf numFmtId="0" fontId="15" fillId="0" borderId="54" xfId="0" applyFont="1" applyBorder="1" applyAlignment="1">
      <alignment horizontal="left" vertical="center"/>
    </xf>
    <xf numFmtId="0" fontId="0" fillId="0" borderId="0" xfId="0" applyAlignment="1">
      <alignment horizontal="center" vertical="center"/>
    </xf>
    <xf numFmtId="0" fontId="54" fillId="0" borderId="0" xfId="0" applyFont="1" applyAlignment="1">
      <alignment horizontal="center"/>
    </xf>
    <xf numFmtId="0" fontId="0" fillId="0" borderId="0" xfId="0" applyAlignment="1">
      <alignment horizontal="left"/>
    </xf>
    <xf numFmtId="0" fontId="0" fillId="0" borderId="0" xfId="0" applyAlignment="1">
      <alignment wrapText="1"/>
    </xf>
    <xf numFmtId="0" fontId="24" fillId="0" borderId="19" xfId="0" applyFont="1" applyBorder="1" applyAlignment="1">
      <alignment horizontal="center" vertical="center" wrapText="1"/>
    </xf>
    <xf numFmtId="0" fontId="14" fillId="2" borderId="40" xfId="0" applyFont="1" applyFill="1" applyBorder="1" applyAlignment="1">
      <alignment horizontal="center" wrapText="1"/>
    </xf>
    <xf numFmtId="0" fontId="14" fillId="2" borderId="28" xfId="0" applyFont="1" applyFill="1" applyBorder="1" applyAlignment="1">
      <alignment horizontal="center"/>
    </xf>
    <xf numFmtId="0" fontId="14" fillId="2" borderId="32" xfId="0" applyFont="1" applyFill="1" applyBorder="1" applyAlignment="1">
      <alignment horizontal="center"/>
    </xf>
    <xf numFmtId="0" fontId="16" fillId="0" borderId="3" xfId="0" applyFont="1" applyBorder="1" applyAlignment="1">
      <alignment horizontal="center" vertical="center"/>
    </xf>
    <xf numFmtId="0" fontId="16" fillId="0" borderId="58" xfId="0" applyFont="1" applyBorder="1" applyAlignment="1">
      <alignment horizontal="center" vertical="center"/>
    </xf>
    <xf numFmtId="0" fontId="16" fillId="0" borderId="6"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xf>
    <xf numFmtId="0" fontId="15" fillId="0" borderId="19" xfId="0" applyFont="1" applyBorder="1" applyAlignment="1">
      <alignment horizontal="center"/>
    </xf>
    <xf numFmtId="0" fontId="15" fillId="2" borderId="28" xfId="0" applyFont="1" applyFill="1" applyBorder="1" applyAlignment="1">
      <alignment horizontal="center"/>
    </xf>
    <xf numFmtId="0" fontId="15" fillId="0" borderId="19"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56" fillId="14" borderId="65" xfId="0" applyFont="1" applyFill="1" applyBorder="1" applyAlignment="1">
      <alignment horizontal="center" vertical="top"/>
    </xf>
    <xf numFmtId="0" fontId="56" fillId="14" borderId="65" xfId="0" applyFont="1" applyFill="1" applyBorder="1" applyAlignment="1">
      <alignment horizontal="center" vertical="top" wrapText="1"/>
    </xf>
    <xf numFmtId="0" fontId="56" fillId="14" borderId="67" xfId="0" applyFont="1" applyFill="1" applyBorder="1" applyAlignment="1">
      <alignment horizontal="center" vertical="center"/>
    </xf>
    <xf numFmtId="0" fontId="56" fillId="14" borderId="67" xfId="0" applyFont="1" applyFill="1" applyBorder="1" applyAlignment="1">
      <alignment horizontal="center" vertical="center" wrapText="1"/>
    </xf>
    <xf numFmtId="0" fontId="56" fillId="14" borderId="67" xfId="0" applyFont="1" applyFill="1" applyBorder="1" applyAlignment="1">
      <alignment horizontal="center" wrapText="1"/>
    </xf>
    <xf numFmtId="0" fontId="52" fillId="2" borderId="19" xfId="0" applyFont="1" applyFill="1" applyBorder="1" applyAlignment="1">
      <alignment horizontal="left" vertical="center" wrapText="1" readingOrder="1"/>
    </xf>
    <xf numFmtId="0" fontId="52" fillId="2" borderId="19" xfId="0" applyFont="1" applyFill="1" applyBorder="1" applyAlignment="1">
      <alignment horizontal="center" vertical="center" wrapText="1" readingOrder="1"/>
    </xf>
    <xf numFmtId="0" fontId="52" fillId="2" borderId="19" xfId="6" applyNumberFormat="1" applyFont="1" applyFill="1" applyBorder="1" applyAlignment="1">
      <alignment horizontal="center" vertical="center" wrapText="1" readingOrder="1"/>
    </xf>
    <xf numFmtId="3" fontId="52" fillId="2" borderId="19" xfId="0" applyNumberFormat="1" applyFont="1" applyFill="1" applyBorder="1" applyAlignment="1">
      <alignment horizontal="center" vertical="center" wrapText="1" readingOrder="1"/>
    </xf>
    <xf numFmtId="0" fontId="52" fillId="2" borderId="19" xfId="0" applyFont="1" applyFill="1" applyBorder="1" applyAlignment="1">
      <alignment horizontal="left" vertical="center" wrapText="1"/>
    </xf>
    <xf numFmtId="0" fontId="52" fillId="2" borderId="19" xfId="0" applyFont="1" applyFill="1" applyBorder="1" applyAlignment="1">
      <alignment horizontal="center" vertical="center" wrapText="1"/>
    </xf>
    <xf numFmtId="3" fontId="52" fillId="2" borderId="19" xfId="0" applyNumberFormat="1" applyFont="1" applyFill="1" applyBorder="1" applyAlignment="1">
      <alignment horizontal="center" vertical="center"/>
    </xf>
    <xf numFmtId="0" fontId="52" fillId="2" borderId="19" xfId="0" applyFont="1" applyFill="1" applyBorder="1" applyAlignment="1">
      <alignment horizontal="left" vertical="top" wrapText="1" readingOrder="1"/>
    </xf>
    <xf numFmtId="3" fontId="52" fillId="2" borderId="19" xfId="0" applyNumberFormat="1" applyFont="1" applyFill="1" applyBorder="1" applyAlignment="1">
      <alignment horizontal="center" vertical="center" readingOrder="1"/>
    </xf>
    <xf numFmtId="0" fontId="52" fillId="2" borderId="19" xfId="0" applyFont="1" applyFill="1" applyBorder="1" applyAlignment="1">
      <alignment vertical="center" wrapText="1" readingOrder="1"/>
    </xf>
    <xf numFmtId="0" fontId="53" fillId="2" borderId="19" xfId="0" applyFont="1" applyFill="1" applyBorder="1" applyAlignment="1">
      <alignment horizontal="left" vertical="center" wrapText="1" readingOrder="1"/>
    </xf>
    <xf numFmtId="0" fontId="53" fillId="2" borderId="19" xfId="0" applyFont="1" applyFill="1" applyBorder="1" applyAlignment="1">
      <alignment vertical="top" wrapText="1"/>
    </xf>
    <xf numFmtId="0" fontId="53" fillId="2" borderId="19" xfId="0" applyFont="1" applyFill="1" applyBorder="1" applyAlignment="1">
      <alignment horizontal="center" vertical="center" wrapText="1"/>
    </xf>
    <xf numFmtId="3" fontId="53" fillId="2" borderId="19" xfId="0" applyNumberFormat="1" applyFont="1" applyFill="1" applyBorder="1" applyAlignment="1">
      <alignment horizontal="center" vertical="center" wrapText="1"/>
    </xf>
    <xf numFmtId="1" fontId="53" fillId="2" borderId="19" xfId="6" applyNumberFormat="1" applyFont="1" applyFill="1" applyBorder="1" applyAlignment="1">
      <alignment horizontal="center" vertical="center" wrapText="1"/>
    </xf>
    <xf numFmtId="0" fontId="53" fillId="2" borderId="19" xfId="0" applyFont="1" applyFill="1" applyBorder="1" applyAlignment="1">
      <alignment horizontal="left" vertical="center" wrapText="1"/>
    </xf>
    <xf numFmtId="0" fontId="53" fillId="2" borderId="19" xfId="0" applyFont="1" applyFill="1" applyBorder="1" applyAlignment="1">
      <alignment horizontal="left" vertical="top" wrapText="1" readingOrder="1"/>
    </xf>
    <xf numFmtId="0" fontId="52" fillId="2" borderId="19" xfId="0" applyFont="1" applyFill="1" applyBorder="1" applyAlignment="1">
      <alignment horizontal="justify" vertical="center" wrapText="1" readingOrder="1"/>
    </xf>
    <xf numFmtId="0" fontId="52" fillId="2" borderId="19" xfId="0" applyFont="1" applyFill="1" applyBorder="1" applyAlignment="1">
      <alignment horizontal="center" vertical="center"/>
    </xf>
    <xf numFmtId="0" fontId="52" fillId="2" borderId="19" xfId="0" applyFont="1" applyFill="1" applyBorder="1" applyAlignment="1">
      <alignment vertical="center" wrapText="1"/>
    </xf>
    <xf numFmtId="0" fontId="53" fillId="2" borderId="19" xfId="0" applyFont="1" applyFill="1" applyBorder="1" applyAlignment="1">
      <alignment horizontal="center" vertical="center" wrapText="1" readingOrder="1"/>
    </xf>
    <xf numFmtId="2" fontId="52" fillId="2" borderId="19" xfId="0" applyNumberFormat="1" applyFont="1" applyFill="1" applyBorder="1" applyAlignment="1">
      <alignment horizontal="center" vertical="center"/>
    </xf>
    <xf numFmtId="0" fontId="0" fillId="2" borderId="19" xfId="0" applyFill="1" applyBorder="1" applyAlignment="1">
      <alignment horizontal="center" vertical="center" readingOrder="1"/>
    </xf>
    <xf numFmtId="0" fontId="53" fillId="2" borderId="19" xfId="0" applyFont="1" applyFill="1" applyBorder="1" applyAlignment="1">
      <alignment horizontal="center" vertical="center"/>
    </xf>
    <xf numFmtId="0" fontId="52" fillId="2" borderId="19" xfId="0" applyFont="1" applyFill="1" applyBorder="1" applyAlignment="1">
      <alignment vertical="top" wrapText="1"/>
    </xf>
    <xf numFmtId="0" fontId="56" fillId="14" borderId="14" xfId="0" applyFont="1" applyFill="1" applyBorder="1" applyAlignment="1">
      <alignment vertical="center" wrapText="1"/>
    </xf>
    <xf numFmtId="0" fontId="15" fillId="8" borderId="17" xfId="0" applyFont="1" applyFill="1" applyBorder="1" applyAlignment="1" applyProtection="1">
      <alignment horizontal="center" vertical="center"/>
      <protection locked="0"/>
    </xf>
    <xf numFmtId="0" fontId="4" fillId="8" borderId="0" xfId="0" applyFont="1" applyFill="1" applyAlignment="1">
      <alignment horizontal="center" vertical="center"/>
    </xf>
    <xf numFmtId="49" fontId="15" fillId="8" borderId="17" xfId="0"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43" fontId="4" fillId="0" borderId="15" xfId="11" applyFont="1" applyFill="1" applyBorder="1" applyAlignment="1">
      <alignment horizontal="right" vertical="center"/>
    </xf>
    <xf numFmtId="43" fontId="4" fillId="0" borderId="57" xfId="11" applyFont="1" applyFill="1" applyBorder="1" applyAlignment="1">
      <alignment horizontal="right" vertical="center"/>
    </xf>
    <xf numFmtId="43" fontId="4" fillId="0" borderId="17" xfId="11" applyFont="1" applyFill="1" applyBorder="1" applyAlignment="1">
      <alignment horizontal="right" vertical="center"/>
    </xf>
    <xf numFmtId="43" fontId="0" fillId="0" borderId="0" xfId="0" applyNumberFormat="1"/>
    <xf numFmtId="0" fontId="26" fillId="12" borderId="73" xfId="0" applyFont="1" applyFill="1" applyBorder="1" applyAlignment="1">
      <alignment horizontal="center" vertical="center" textRotation="90" wrapText="1"/>
    </xf>
    <xf numFmtId="0" fontId="26" fillId="12" borderId="73" xfId="0" applyFont="1" applyFill="1" applyBorder="1" applyAlignment="1">
      <alignment horizontal="center" vertical="center" textRotation="90"/>
    </xf>
    <xf numFmtId="0" fontId="26" fillId="12" borderId="74" xfId="0" applyFont="1" applyFill="1" applyBorder="1" applyAlignment="1">
      <alignment horizontal="center" vertical="center" textRotation="90"/>
    </xf>
    <xf numFmtId="0" fontId="26" fillId="7" borderId="74" xfId="0" applyFont="1" applyFill="1" applyBorder="1" applyAlignment="1">
      <alignment horizontal="center" vertical="center" textRotation="90"/>
    </xf>
    <xf numFmtId="0" fontId="26" fillId="7" borderId="75" xfId="0" applyFont="1" applyFill="1" applyBorder="1" applyAlignment="1">
      <alignment horizontal="center" vertical="center" textRotation="90"/>
    </xf>
    <xf numFmtId="0" fontId="26" fillId="3" borderId="73" xfId="0" applyFont="1" applyFill="1" applyBorder="1" applyAlignment="1">
      <alignment horizontal="center" vertical="center" textRotation="90" wrapText="1"/>
    </xf>
    <xf numFmtId="0" fontId="26" fillId="11" borderId="75" xfId="0" applyFont="1" applyFill="1" applyBorder="1" applyAlignment="1">
      <alignment horizontal="center" vertical="center" textRotation="90" wrapText="1"/>
    </xf>
    <xf numFmtId="0" fontId="26" fillId="10" borderId="73" xfId="0" applyFont="1" applyFill="1" applyBorder="1" applyAlignment="1">
      <alignment horizontal="center" vertical="center" textRotation="90" wrapText="1"/>
    </xf>
    <xf numFmtId="0" fontId="26" fillId="10" borderId="74" xfId="0" applyFont="1" applyFill="1" applyBorder="1" applyAlignment="1">
      <alignment horizontal="center" vertical="center" textRotation="90" wrapText="1"/>
    </xf>
    <xf numFmtId="0" fontId="26" fillId="10" borderId="76" xfId="0" applyFont="1" applyFill="1" applyBorder="1" applyAlignment="1">
      <alignment horizontal="center" vertical="center" textRotation="90" wrapText="1"/>
    </xf>
    <xf numFmtId="0" fontId="43" fillId="9" borderId="73" xfId="0" applyFont="1" applyFill="1" applyBorder="1" applyAlignment="1">
      <alignment horizontal="center" vertical="center" textRotation="90" wrapText="1"/>
    </xf>
    <xf numFmtId="0" fontId="43" fillId="9" borderId="77" xfId="0" applyFont="1" applyFill="1" applyBorder="1" applyAlignment="1">
      <alignment horizontal="center" vertical="center" textRotation="90" wrapText="1"/>
    </xf>
    <xf numFmtId="0" fontId="43" fillId="9" borderId="74" xfId="0" applyFont="1" applyFill="1" applyBorder="1" applyAlignment="1">
      <alignment horizontal="center" vertical="center" textRotation="90" wrapText="1"/>
    </xf>
    <xf numFmtId="0" fontId="43" fillId="9" borderId="75" xfId="0" applyFont="1" applyFill="1" applyBorder="1" applyAlignment="1">
      <alignment horizontal="center" vertical="center" textRotation="90" wrapText="1"/>
    </xf>
    <xf numFmtId="0" fontId="0" fillId="3" borderId="19" xfId="0" applyFill="1" applyBorder="1"/>
    <xf numFmtId="0" fontId="0" fillId="3" borderId="19" xfId="0" applyFill="1" applyBorder="1" applyAlignment="1">
      <alignment horizontal="right"/>
    </xf>
    <xf numFmtId="1" fontId="0" fillId="3" borderId="19" xfId="0" applyNumberFormat="1" applyFill="1" applyBorder="1"/>
    <xf numFmtId="43" fontId="0" fillId="3" borderId="19" xfId="11" applyFont="1" applyFill="1" applyBorder="1"/>
    <xf numFmtId="0" fontId="0" fillId="3" borderId="0" xfId="0" applyFill="1"/>
    <xf numFmtId="43" fontId="57" fillId="3" borderId="19" xfId="11" applyFont="1" applyFill="1" applyBorder="1"/>
    <xf numFmtId="43" fontId="0" fillId="3" borderId="0" xfId="0" applyNumberFormat="1" applyFill="1"/>
    <xf numFmtId="43" fontId="0" fillId="3" borderId="0" xfId="11" applyFont="1" applyFill="1"/>
    <xf numFmtId="0" fontId="0" fillId="3" borderId="19" xfId="0" applyFill="1" applyBorder="1" applyAlignment="1">
      <alignment horizontal="left"/>
    </xf>
    <xf numFmtId="169" fontId="0" fillId="3" borderId="0" xfId="0" applyNumberFormat="1" applyFill="1"/>
    <xf numFmtId="43" fontId="6" fillId="3" borderId="19" xfId="11" applyFont="1" applyFill="1" applyBorder="1"/>
    <xf numFmtId="43" fontId="21" fillId="8" borderId="0" xfId="11" applyFont="1" applyFill="1"/>
    <xf numFmtId="4" fontId="0" fillId="3" borderId="0" xfId="0" applyNumberFormat="1" applyFill="1"/>
    <xf numFmtId="43" fontId="21" fillId="3" borderId="0" xfId="11" applyFont="1" applyFill="1"/>
    <xf numFmtId="0" fontId="8" fillId="0" borderId="0" xfId="0" applyFont="1" applyAlignment="1" applyProtection="1">
      <alignment horizontal="center"/>
      <protection locked="0"/>
    </xf>
    <xf numFmtId="0" fontId="8" fillId="0" borderId="0" xfId="0" applyFont="1" applyAlignment="1" applyProtection="1">
      <alignment horizontal="center" vertical="top"/>
      <protection locked="0"/>
    </xf>
    <xf numFmtId="0" fontId="8" fillId="0" borderId="0" xfId="0" applyFont="1" applyAlignment="1">
      <alignment horizontal="center" vertical="top"/>
    </xf>
    <xf numFmtId="0" fontId="20" fillId="3" borderId="0" xfId="0" applyFont="1" applyFill="1" applyAlignment="1">
      <alignment horizontal="center" vertical="center" wrapText="1"/>
    </xf>
    <xf numFmtId="0" fontId="8" fillId="0" borderId="0" xfId="0" applyFont="1" applyAlignment="1">
      <alignment horizontal="center"/>
    </xf>
    <xf numFmtId="0" fontId="2" fillId="0" borderId="34"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27" fillId="5" borderId="38"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38"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14" fillId="0" borderId="0" xfId="0" applyFont="1" applyAlignment="1" applyProtection="1">
      <alignment horizontal="center"/>
      <protection locked="0"/>
    </xf>
    <xf numFmtId="0" fontId="8" fillId="0" borderId="0" xfId="0" applyFont="1" applyAlignment="1" applyProtection="1">
      <alignment horizontal="center" vertical="center" wrapText="1"/>
      <protection locked="0"/>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0" borderId="8" xfId="0" applyFont="1" applyBorder="1" applyAlignment="1">
      <alignment horizontal="left" vertical="center"/>
    </xf>
    <xf numFmtId="0" fontId="1" fillId="0" borderId="0" xfId="0" applyFont="1" applyAlignment="1">
      <alignment horizontal="justify" vertical="center" wrapText="1"/>
    </xf>
    <xf numFmtId="0" fontId="1" fillId="0" borderId="14" xfId="0" applyFont="1" applyBorder="1" applyAlignment="1">
      <alignment horizontal="justify" vertical="center" wrapText="1"/>
    </xf>
    <xf numFmtId="0" fontId="14" fillId="0" borderId="0" xfId="0" applyFont="1" applyAlignment="1">
      <alignment horizont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23" xfId="0" applyFont="1" applyBorder="1" applyAlignment="1">
      <alignment horizontal="justify" vertical="center" wrapText="1"/>
    </xf>
    <xf numFmtId="0" fontId="39" fillId="6" borderId="19" xfId="0" applyFont="1" applyFill="1" applyBorder="1" applyAlignment="1">
      <alignment horizontal="left" vertical="center" wrapText="1"/>
    </xf>
    <xf numFmtId="0" fontId="40" fillId="0" borderId="19" xfId="0" applyFont="1" applyBorder="1" applyAlignment="1">
      <alignment horizontal="center" vertical="top"/>
    </xf>
    <xf numFmtId="49" fontId="35" fillId="0" borderId="19" xfId="1" applyNumberFormat="1" applyFont="1" applyBorder="1" applyAlignment="1">
      <alignment horizontal="left" vertical="top"/>
    </xf>
    <xf numFmtId="0" fontId="35" fillId="0" borderId="19" xfId="0" applyFont="1" applyBorder="1" applyAlignment="1">
      <alignment horizontal="left" vertical="top" wrapText="1"/>
    </xf>
    <xf numFmtId="0" fontId="35" fillId="0" borderId="19" xfId="0" applyFont="1" applyBorder="1" applyAlignment="1">
      <alignment horizontal="left" vertical="top"/>
    </xf>
    <xf numFmtId="2" fontId="37" fillId="0" borderId="19" xfId="6" quotePrefix="1" applyNumberFormat="1" applyFont="1" applyFill="1" applyBorder="1" applyAlignment="1">
      <alignment horizontal="left" vertical="top" wrapText="1"/>
    </xf>
    <xf numFmtId="2" fontId="37" fillId="0" borderId="19" xfId="6" applyNumberFormat="1" applyFont="1" applyFill="1" applyBorder="1" applyAlignment="1">
      <alignment horizontal="left" vertical="top" wrapText="1"/>
    </xf>
    <xf numFmtId="49" fontId="34" fillId="2" borderId="19" xfId="12" applyNumberFormat="1" applyFont="1" applyFill="1" applyBorder="1" applyAlignment="1">
      <alignment horizontal="center" vertical="center" textRotation="90" wrapText="1"/>
    </xf>
    <xf numFmtId="0" fontId="34" fillId="2" borderId="19" xfId="12" applyFont="1" applyFill="1" applyBorder="1" applyAlignment="1">
      <alignment horizontal="center" vertical="center" wrapText="1"/>
    </xf>
    <xf numFmtId="49" fontId="34" fillId="2" borderId="19" xfId="12" applyNumberFormat="1" applyFont="1" applyFill="1" applyBorder="1" applyAlignment="1">
      <alignment horizontal="center" vertical="center" wrapText="1"/>
    </xf>
    <xf numFmtId="0" fontId="56" fillId="14" borderId="66" xfId="0" applyFont="1" applyFill="1" applyBorder="1" applyAlignment="1">
      <alignment horizontal="center" vertical="center" wrapText="1"/>
    </xf>
    <xf numFmtId="0" fontId="56" fillId="14" borderId="68" xfId="0" applyFont="1" applyFill="1" applyBorder="1" applyAlignment="1">
      <alignment horizontal="center" vertical="center" wrapText="1"/>
    </xf>
    <xf numFmtId="0" fontId="56" fillId="14" borderId="14" xfId="0" applyFont="1" applyFill="1" applyBorder="1" applyAlignment="1">
      <alignment horizontal="center" vertical="center" wrapText="1"/>
    </xf>
    <xf numFmtId="0" fontId="52" fillId="2" borderId="19" xfId="0" applyFont="1" applyFill="1" applyBorder="1" applyAlignment="1">
      <alignment horizontal="left" vertical="center" wrapText="1" readingOrder="1"/>
    </xf>
    <xf numFmtId="0" fontId="56" fillId="14" borderId="64" xfId="0" applyFont="1" applyFill="1" applyBorder="1" applyAlignment="1">
      <alignment horizontal="center"/>
    </xf>
    <xf numFmtId="0" fontId="56" fillId="14" borderId="0" xfId="0" applyFont="1" applyFill="1" applyAlignment="1">
      <alignment horizontal="center"/>
    </xf>
    <xf numFmtId="0" fontId="56" fillId="14" borderId="65" xfId="0" applyFont="1" applyFill="1" applyBorder="1" applyAlignment="1">
      <alignment horizontal="center"/>
    </xf>
    <xf numFmtId="0" fontId="56" fillId="14" borderId="65" xfId="0" applyFont="1" applyFill="1" applyBorder="1" applyAlignment="1">
      <alignment horizontal="center" vertical="center" wrapText="1"/>
    </xf>
    <xf numFmtId="0" fontId="56" fillId="14" borderId="67" xfId="0" applyFont="1" applyFill="1" applyBorder="1" applyAlignment="1">
      <alignment horizontal="center" vertical="center" wrapText="1"/>
    </xf>
    <xf numFmtId="0" fontId="56" fillId="14" borderId="65" xfId="0" applyFont="1" applyFill="1" applyBorder="1" applyAlignment="1">
      <alignment horizontal="center" vertical="center"/>
    </xf>
    <xf numFmtId="0" fontId="56" fillId="14" borderId="66" xfId="0" applyFont="1" applyFill="1" applyBorder="1" applyAlignment="1">
      <alignment horizontal="center" vertical="center"/>
    </xf>
    <xf numFmtId="0" fontId="56" fillId="14" borderId="69" xfId="0" applyFont="1" applyFill="1" applyBorder="1" applyAlignment="1">
      <alignment horizontal="center" vertical="center"/>
    </xf>
    <xf numFmtId="0" fontId="56" fillId="14" borderId="70" xfId="0" applyFont="1" applyFill="1" applyBorder="1" applyAlignment="1">
      <alignment horizontal="center" vertical="center"/>
    </xf>
    <xf numFmtId="0" fontId="56" fillId="14" borderId="71"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56" fillId="14" borderId="72" xfId="0" applyFont="1" applyFill="1" applyBorder="1" applyAlignment="1">
      <alignment horizontal="center" vertical="center"/>
    </xf>
    <xf numFmtId="0" fontId="56" fillId="14" borderId="14" xfId="0" applyFont="1" applyFill="1" applyBorder="1" applyAlignment="1">
      <alignment horizontal="center" vertical="center"/>
    </xf>
    <xf numFmtId="0" fontId="42" fillId="14" borderId="59" xfId="0" applyFont="1" applyFill="1" applyBorder="1" applyAlignment="1">
      <alignment horizontal="right" vertical="center" wrapText="1"/>
    </xf>
    <xf numFmtId="0" fontId="42" fillId="14" borderId="60" xfId="0" applyFont="1" applyFill="1" applyBorder="1" applyAlignment="1">
      <alignment horizontal="right" vertical="center" wrapText="1"/>
    </xf>
    <xf numFmtId="0" fontId="55" fillId="7" borderId="61" xfId="0" applyFont="1" applyFill="1" applyBorder="1" applyAlignment="1">
      <alignment vertical="center"/>
    </xf>
    <xf numFmtId="0" fontId="55" fillId="7" borderId="62" xfId="0" applyFont="1" applyFill="1" applyBorder="1" applyAlignment="1">
      <alignment vertical="center"/>
    </xf>
    <xf numFmtId="0" fontId="55" fillId="7" borderId="63" xfId="0" applyFont="1" applyFill="1" applyBorder="1" applyAlignment="1">
      <alignment vertical="center"/>
    </xf>
    <xf numFmtId="0" fontId="14" fillId="0" borderId="0" xfId="0" applyFont="1" applyAlignment="1" applyProtection="1">
      <alignment horizontal="center" vertical="center"/>
      <protection locked="0"/>
    </xf>
    <xf numFmtId="0" fontId="14" fillId="0" borderId="0" xfId="0" applyFont="1" applyAlignment="1">
      <alignment horizontal="center" vertical="top"/>
    </xf>
    <xf numFmtId="0" fontId="17" fillId="0" borderId="0" xfId="0" applyFont="1" applyAlignment="1">
      <alignment horizontal="center" vertical="top"/>
    </xf>
    <xf numFmtId="0" fontId="31" fillId="0" borderId="0" xfId="0" applyFont="1" applyAlignment="1" applyProtection="1">
      <alignment horizontal="justify" vertical="distributed" wrapText="1"/>
      <protection locked="0"/>
    </xf>
    <xf numFmtId="0" fontId="15" fillId="2" borderId="1"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27" fillId="0" borderId="5" xfId="0" applyFont="1" applyBorder="1" applyAlignment="1">
      <alignment vertical="center"/>
    </xf>
    <xf numFmtId="0" fontId="27" fillId="0" borderId="7" xfId="0" applyFont="1" applyBorder="1" applyAlignment="1">
      <alignment vertical="center"/>
    </xf>
    <xf numFmtId="41" fontId="28" fillId="0" borderId="4" xfId="0" applyNumberFormat="1" applyFont="1" applyBorder="1" applyAlignment="1">
      <alignment horizontal="right" vertical="center"/>
    </xf>
    <xf numFmtId="0" fontId="28" fillId="0" borderId="5" xfId="0" applyFont="1" applyBorder="1" applyAlignment="1">
      <alignment vertical="center"/>
    </xf>
    <xf numFmtId="0" fontId="28" fillId="0" borderId="1" xfId="0" applyFont="1" applyBorder="1" applyAlignment="1">
      <alignment vertical="center"/>
    </xf>
    <xf numFmtId="0" fontId="28" fillId="0" borderId="3" xfId="0" applyFont="1" applyBorder="1" applyAlignment="1">
      <alignment vertical="center"/>
    </xf>
    <xf numFmtId="0" fontId="28" fillId="0" borderId="6" xfId="0" applyFont="1" applyBorder="1" applyAlignment="1">
      <alignment horizontal="left" vertical="center" indent="1"/>
    </xf>
    <xf numFmtId="0" fontId="27" fillId="5" borderId="1" xfId="0" applyFont="1" applyFill="1" applyBorder="1" applyAlignment="1">
      <alignment vertical="center"/>
    </xf>
    <xf numFmtId="0" fontId="27" fillId="5" borderId="3" xfId="0" applyFont="1" applyFill="1" applyBorder="1" applyAlignment="1">
      <alignment vertical="center"/>
    </xf>
    <xf numFmtId="0" fontId="27" fillId="5" borderId="7" xfId="0" applyFont="1" applyFill="1" applyBorder="1" applyAlignment="1">
      <alignment vertical="center"/>
    </xf>
    <xf numFmtId="0" fontId="27" fillId="5" borderId="9" xfId="0" applyFont="1" applyFill="1" applyBorder="1" applyAlignment="1">
      <alignment vertical="center"/>
    </xf>
    <xf numFmtId="0" fontId="27" fillId="5" borderId="38" xfId="0" applyFont="1" applyFill="1" applyBorder="1" applyAlignment="1">
      <alignment horizontal="center" vertical="justify"/>
    </xf>
    <xf numFmtId="0" fontId="27" fillId="5" borderId="13" xfId="0" applyFont="1" applyFill="1" applyBorder="1" applyAlignment="1">
      <alignment horizontal="center" vertical="justify"/>
    </xf>
    <xf numFmtId="0" fontId="27" fillId="0" borderId="6" xfId="0" applyFont="1" applyBorder="1" applyAlignment="1">
      <alignment vertical="center"/>
    </xf>
    <xf numFmtId="0" fontId="27" fillId="0" borderId="9" xfId="0" applyFont="1" applyBorder="1" applyAlignment="1">
      <alignment vertical="center"/>
    </xf>
    <xf numFmtId="41" fontId="27" fillId="0" borderId="4" xfId="0" applyNumberFormat="1" applyFont="1" applyBorder="1" applyAlignment="1">
      <alignment horizontal="right" vertical="center"/>
    </xf>
    <xf numFmtId="41" fontId="27" fillId="0" borderId="13" xfId="0" applyNumberFormat="1" applyFont="1" applyBorder="1" applyAlignment="1">
      <alignment horizontal="right" vertical="center"/>
    </xf>
    <xf numFmtId="0" fontId="27" fillId="0" borderId="5" xfId="0" applyFont="1" applyBorder="1" applyAlignment="1">
      <alignment vertical="center" wrapText="1"/>
    </xf>
    <xf numFmtId="0" fontId="26" fillId="3" borderId="0" xfId="0" applyFont="1" applyFill="1" applyAlignment="1">
      <alignment horizontal="center" vertical="center" wrapText="1"/>
    </xf>
    <xf numFmtId="0" fontId="28" fillId="0" borderId="5" xfId="0" applyFont="1" applyBorder="1" applyAlignment="1">
      <alignment vertical="center" wrapText="1"/>
    </xf>
    <xf numFmtId="0" fontId="28" fillId="0" borderId="11" xfId="0" applyFont="1" applyBorder="1" applyAlignment="1">
      <alignment vertical="center"/>
    </xf>
    <xf numFmtId="0" fontId="27" fillId="5" borderId="10" xfId="0" applyFont="1" applyFill="1" applyBorder="1" applyAlignment="1">
      <alignment vertical="center"/>
    </xf>
    <xf numFmtId="0" fontId="27" fillId="5" borderId="12" xfId="0" applyFont="1" applyFill="1" applyBorder="1" applyAlignment="1">
      <alignment vertical="center"/>
    </xf>
    <xf numFmtId="0" fontId="15" fillId="2" borderId="27" xfId="0" applyFont="1" applyFill="1" applyBorder="1" applyAlignment="1">
      <alignment horizontal="center" vertical="center"/>
    </xf>
    <xf numFmtId="0" fontId="15" fillId="0" borderId="28" xfId="0" applyFont="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23" xfId="0" applyFont="1" applyBorder="1" applyAlignment="1">
      <alignment horizontal="center" vertical="center"/>
    </xf>
    <xf numFmtId="0" fontId="17" fillId="0" borderId="7" xfId="0" applyFont="1" applyBorder="1" applyAlignment="1">
      <alignment horizontal="center" vertical="center"/>
    </xf>
    <xf numFmtId="0" fontId="17" fillId="0" borderId="24" xfId="0" applyFont="1" applyBorder="1" applyAlignment="1">
      <alignment horizontal="center" vertical="center"/>
    </xf>
    <xf numFmtId="0" fontId="15" fillId="2" borderId="39" xfId="0" applyFont="1" applyFill="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4" xfId="0" applyFont="1" applyBorder="1" applyAlignment="1">
      <alignment horizontal="center" vertical="center"/>
    </xf>
    <xf numFmtId="0" fontId="17" fillId="0" borderId="48" xfId="0" applyFont="1" applyBorder="1" applyAlignment="1">
      <alignment horizontal="center" vertical="center"/>
    </xf>
    <xf numFmtId="0" fontId="17" fillId="0" borderId="45" xfId="0" applyFont="1" applyBorder="1" applyAlignment="1">
      <alignment horizontal="center" vertical="center"/>
    </xf>
    <xf numFmtId="0" fontId="17" fillId="0" borderId="49" xfId="0" applyFont="1" applyBorder="1" applyAlignment="1">
      <alignment horizontal="center" vertical="center"/>
    </xf>
    <xf numFmtId="0" fontId="5" fillId="0" borderId="0" xfId="0" applyFont="1" applyAlignment="1">
      <alignment horizontal="center"/>
    </xf>
    <xf numFmtId="0" fontId="14" fillId="0" borderId="14" xfId="0" applyFont="1" applyBorder="1" applyAlignment="1">
      <alignment horizontal="center"/>
    </xf>
    <xf numFmtId="0" fontId="5" fillId="0" borderId="19" xfId="0" applyFont="1" applyBorder="1" applyAlignment="1">
      <alignment horizontal="center" vertical="center" wrapText="1"/>
    </xf>
    <xf numFmtId="0" fontId="14" fillId="2" borderId="40" xfId="0" applyFont="1" applyFill="1" applyBorder="1" applyAlignment="1">
      <alignment horizontal="center" wrapText="1"/>
    </xf>
    <xf numFmtId="0" fontId="14" fillId="2" borderId="28" xfId="0" applyFont="1" applyFill="1" applyBorder="1" applyAlignment="1">
      <alignment horizontal="center"/>
    </xf>
    <xf numFmtId="0" fontId="14" fillId="2" borderId="32" xfId="0" applyFont="1" applyFill="1" applyBorder="1" applyAlignment="1">
      <alignment horizontal="center"/>
    </xf>
    <xf numFmtId="0" fontId="24" fillId="0" borderId="19" xfId="0" applyFont="1" applyBorder="1" applyAlignment="1">
      <alignment horizontal="center" vertical="center" wrapText="1"/>
    </xf>
    <xf numFmtId="0" fontId="44" fillId="13" borderId="25" xfId="0" applyFont="1" applyFill="1" applyBorder="1" applyAlignment="1">
      <alignment horizontal="center" vertical="center"/>
    </xf>
    <xf numFmtId="0" fontId="44" fillId="13" borderId="26" xfId="0" applyFont="1" applyFill="1" applyBorder="1" applyAlignment="1">
      <alignment horizontal="center" vertical="center"/>
    </xf>
    <xf numFmtId="0" fontId="44" fillId="13" borderId="31" xfId="0" applyFont="1" applyFill="1" applyBorder="1" applyAlignment="1">
      <alignment horizontal="center" vertical="center"/>
    </xf>
    <xf numFmtId="0" fontId="44" fillId="3" borderId="25" xfId="0" applyFont="1" applyFill="1" applyBorder="1" applyAlignment="1">
      <alignment horizontal="center" vertical="center" wrapText="1"/>
    </xf>
    <xf numFmtId="0" fontId="44" fillId="13" borderId="31" xfId="0" applyFont="1" applyFill="1" applyBorder="1" applyAlignment="1">
      <alignment horizontal="center" vertical="center" wrapText="1"/>
    </xf>
  </cellXfs>
  <cellStyles count="17">
    <cellStyle name="20% - Accent6" xfId="9" xr:uid="{00000000-0005-0000-0000-000000000000}"/>
    <cellStyle name="Euro" xfId="2" xr:uid="{00000000-0005-0000-0000-000001000000}"/>
    <cellStyle name="Euro 2" xfId="3" xr:uid="{00000000-0005-0000-0000-000002000000}"/>
    <cellStyle name="Euro 3" xfId="4" xr:uid="{00000000-0005-0000-0000-000003000000}"/>
    <cellStyle name="Millares" xfId="11" builtinId="3"/>
    <cellStyle name="Millares 3" xfId="8" xr:uid="{00000000-0005-0000-0000-000005000000}"/>
    <cellStyle name="Millares 3 3" xfId="15" xr:uid="{00000000-0005-0000-0000-000006000000}"/>
    <cellStyle name="Moneda 3 2" xfId="14" xr:uid="{00000000-0005-0000-0000-000008000000}"/>
    <cellStyle name="Normal" xfId="0" builtinId="0"/>
    <cellStyle name="Normal 2" xfId="1" xr:uid="{00000000-0005-0000-0000-00000A000000}"/>
    <cellStyle name="Normal 2 2" xfId="13" xr:uid="{00000000-0005-0000-0000-00000B000000}"/>
    <cellStyle name="Normal 3" xfId="7" xr:uid="{00000000-0005-0000-0000-00000C000000}"/>
    <cellStyle name="Normal 3 2" xfId="12" xr:uid="{00000000-0005-0000-0000-00000D000000}"/>
    <cellStyle name="Normal 4 2" xfId="16" xr:uid="{00000000-0005-0000-0000-00000E000000}"/>
    <cellStyle name="Normal 4 8" xfId="10" xr:uid="{00000000-0005-0000-0000-00000F000000}"/>
    <cellStyle name="Porcentaje" xfId="6" builtinId="5"/>
    <cellStyle name="Porcentual 2" xfId="5" xr:uid="{00000000-0005-0000-0000-00001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7 CuadroTexto">
          <a:extLst>
            <a:ext uri="{FF2B5EF4-FFF2-40B4-BE49-F238E27FC236}">
              <a16:creationId xmlns:a16="http://schemas.microsoft.com/office/drawing/2014/main" id="{00000000-0008-0000-1B00-000002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476250</xdr:colOff>
      <xdr:row>0</xdr:row>
      <xdr:rowOff>93592</xdr:rowOff>
    </xdr:from>
    <xdr:ext cx="1638301" cy="496957"/>
    <xdr:sp macro="" textlink="">
      <xdr:nvSpPr>
        <xdr:cNvPr id="3" name="11 CuadroTexto">
          <a:extLst>
            <a:ext uri="{FF2B5EF4-FFF2-40B4-BE49-F238E27FC236}">
              <a16:creationId xmlns:a16="http://schemas.microsoft.com/office/drawing/2014/main" id="{00000000-0008-0000-1B00-000003000000}"/>
            </a:ext>
          </a:extLst>
        </xdr:cNvPr>
        <xdr:cNvSpPr txBox="1"/>
      </xdr:nvSpPr>
      <xdr:spPr>
        <a:xfrm>
          <a:off x="5981700" y="93592"/>
          <a:ext cx="1638301" cy="4969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ETCA-III-01</a:t>
          </a:r>
        </a:p>
      </xdr:txBody>
    </xdr:sp>
    <xdr:clientData/>
  </xdr:oneCellAnchor>
  <xdr:oneCellAnchor>
    <xdr:from>
      <xdr:col>1</xdr:col>
      <xdr:colOff>0</xdr:colOff>
      <xdr:row>3</xdr:row>
      <xdr:rowOff>142875</xdr:rowOff>
    </xdr:from>
    <xdr:ext cx="184731" cy="264560"/>
    <xdr:sp macro="" textlink="">
      <xdr:nvSpPr>
        <xdr:cNvPr id="4" name="5 CuadroTexto">
          <a:extLst>
            <a:ext uri="{FF2B5EF4-FFF2-40B4-BE49-F238E27FC236}">
              <a16:creationId xmlns:a16="http://schemas.microsoft.com/office/drawing/2014/main" id="{00000000-0008-0000-1B00-000004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5" name="1 CuadroTexto">
          <a:extLst>
            <a:ext uri="{FF2B5EF4-FFF2-40B4-BE49-F238E27FC236}">
              <a16:creationId xmlns:a16="http://schemas.microsoft.com/office/drawing/2014/main" id="{00000000-0008-0000-1B00-000005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6" name="1 CuadroTexto">
          <a:extLst>
            <a:ext uri="{FF2B5EF4-FFF2-40B4-BE49-F238E27FC236}">
              <a16:creationId xmlns:a16="http://schemas.microsoft.com/office/drawing/2014/main" id="{00000000-0008-0000-1B00-000006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7" name="1 CuadroTexto">
          <a:extLst>
            <a:ext uri="{FF2B5EF4-FFF2-40B4-BE49-F238E27FC236}">
              <a16:creationId xmlns:a16="http://schemas.microsoft.com/office/drawing/2014/main" id="{00000000-0008-0000-1B00-000007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8" name="1 CuadroTexto">
          <a:extLst>
            <a:ext uri="{FF2B5EF4-FFF2-40B4-BE49-F238E27FC236}">
              <a16:creationId xmlns:a16="http://schemas.microsoft.com/office/drawing/2014/main" id="{00000000-0008-0000-1B00-000008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41</xdr:row>
      <xdr:rowOff>0</xdr:rowOff>
    </xdr:from>
    <xdr:ext cx="2925416" cy="609013"/>
    <xdr:sp macro="" textlink="">
      <xdr:nvSpPr>
        <xdr:cNvPr id="10" name="CuadroTexto 1">
          <a:extLst>
            <a:ext uri="{FF2B5EF4-FFF2-40B4-BE49-F238E27FC236}">
              <a16:creationId xmlns:a16="http://schemas.microsoft.com/office/drawing/2014/main" id="{00000000-0008-0000-1B00-00000A000000}"/>
            </a:ext>
          </a:extLst>
        </xdr:cNvPr>
        <xdr:cNvSpPr txBox="1"/>
      </xdr:nvSpPr>
      <xdr:spPr>
        <a:xfrm>
          <a:off x="0" y="8953500"/>
          <a:ext cx="292541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1</xdr:col>
      <xdr:colOff>314325</xdr:colOff>
      <xdr:row>41</xdr:row>
      <xdr:rowOff>0</xdr:rowOff>
    </xdr:from>
    <xdr:ext cx="3486150" cy="662517"/>
    <xdr:sp macro="" textlink="">
      <xdr:nvSpPr>
        <xdr:cNvPr id="11" name="CuadroTexto 5">
          <a:extLst>
            <a:ext uri="{FF2B5EF4-FFF2-40B4-BE49-F238E27FC236}">
              <a16:creationId xmlns:a16="http://schemas.microsoft.com/office/drawing/2014/main" id="{00000000-0008-0000-1B00-00000B000000}"/>
            </a:ext>
          </a:extLst>
        </xdr:cNvPr>
        <xdr:cNvSpPr txBox="1"/>
      </xdr:nvSpPr>
      <xdr:spPr>
        <a:xfrm>
          <a:off x="3495675" y="8953500"/>
          <a:ext cx="348615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xdr:col>
      <xdr:colOff>133350</xdr:colOff>
      <xdr:row>3</xdr:row>
      <xdr:rowOff>161925</xdr:rowOff>
    </xdr:from>
    <xdr:ext cx="2790824" cy="254557"/>
    <xdr:sp macro="" textlink="">
      <xdr:nvSpPr>
        <xdr:cNvPr id="12" name="11 CuadroTexto">
          <a:extLst>
            <a:ext uri="{FF2B5EF4-FFF2-40B4-BE49-F238E27FC236}">
              <a16:creationId xmlns:a16="http://schemas.microsoft.com/office/drawing/2014/main" id="{00000000-0008-0000-1B00-00000C000000}"/>
            </a:ext>
          </a:extLst>
        </xdr:cNvPr>
        <xdr:cNvSpPr txBox="1"/>
      </xdr:nvSpPr>
      <xdr:spPr>
        <a:xfrm>
          <a:off x="4886325" y="7810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CUARTO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259911</xdr:colOff>
      <xdr:row>0</xdr:row>
      <xdr:rowOff>21167</xdr:rowOff>
    </xdr:from>
    <xdr:ext cx="952890" cy="254557"/>
    <xdr:sp macro="" textlink="">
      <xdr:nvSpPr>
        <xdr:cNvPr id="3" name="1 CuadroTexto">
          <a:extLst>
            <a:ext uri="{FF2B5EF4-FFF2-40B4-BE49-F238E27FC236}">
              <a16:creationId xmlns:a16="http://schemas.microsoft.com/office/drawing/2014/main" id="{00000000-0008-0000-1F00-000003000000}"/>
            </a:ext>
          </a:extLst>
        </xdr:cNvPr>
        <xdr:cNvSpPr txBox="1"/>
      </xdr:nvSpPr>
      <xdr:spPr>
        <a:xfrm>
          <a:off x="5805578" y="21167"/>
          <a:ext cx="95289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ETCA-III-03</a:t>
          </a:r>
        </a:p>
      </xdr:txBody>
    </xdr:sp>
    <xdr:clientData/>
  </xdr:oneCellAnchor>
  <xdr:oneCellAnchor>
    <xdr:from>
      <xdr:col>1</xdr:col>
      <xdr:colOff>0</xdr:colOff>
      <xdr:row>74</xdr:row>
      <xdr:rowOff>0</xdr:rowOff>
    </xdr:from>
    <xdr:ext cx="2925416" cy="609013"/>
    <xdr:sp macro="" textlink="">
      <xdr:nvSpPr>
        <xdr:cNvPr id="4" name="CuadroTexto 1">
          <a:extLst>
            <a:ext uri="{FF2B5EF4-FFF2-40B4-BE49-F238E27FC236}">
              <a16:creationId xmlns:a16="http://schemas.microsoft.com/office/drawing/2014/main" id="{00000000-0008-0000-1F00-000004000000}"/>
            </a:ext>
          </a:extLst>
        </xdr:cNvPr>
        <xdr:cNvSpPr txBox="1"/>
      </xdr:nvSpPr>
      <xdr:spPr>
        <a:xfrm>
          <a:off x="127000" y="8784167"/>
          <a:ext cx="292541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2</xdr:col>
      <xdr:colOff>920751</xdr:colOff>
      <xdr:row>74</xdr:row>
      <xdr:rowOff>0</xdr:rowOff>
    </xdr:from>
    <xdr:ext cx="3320808" cy="662517"/>
    <xdr:sp macro="" textlink="">
      <xdr:nvSpPr>
        <xdr:cNvPr id="5" name="CuadroTexto 5">
          <a:extLst>
            <a:ext uri="{FF2B5EF4-FFF2-40B4-BE49-F238E27FC236}">
              <a16:creationId xmlns:a16="http://schemas.microsoft.com/office/drawing/2014/main" id="{00000000-0008-0000-1F00-000005000000}"/>
            </a:ext>
          </a:extLst>
        </xdr:cNvPr>
        <xdr:cNvSpPr txBox="1"/>
      </xdr:nvSpPr>
      <xdr:spPr>
        <a:xfrm>
          <a:off x="3365501" y="35094333"/>
          <a:ext cx="3320808"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xdr:col>
      <xdr:colOff>169333</xdr:colOff>
      <xdr:row>3</xdr:row>
      <xdr:rowOff>179917</xdr:rowOff>
    </xdr:from>
    <xdr:ext cx="2790824" cy="254557"/>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4000500" y="814917"/>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CUARTO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184731" cy="264560"/>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 name="3 CuadroTexto">
          <a:extLst>
            <a:ext uri="{FF2B5EF4-FFF2-40B4-BE49-F238E27FC236}">
              <a16:creationId xmlns:a16="http://schemas.microsoft.com/office/drawing/2014/main" id="{00000000-0008-0000-2000-00000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 name="4 CuadroTexto">
          <a:extLst>
            <a:ext uri="{FF2B5EF4-FFF2-40B4-BE49-F238E27FC236}">
              <a16:creationId xmlns:a16="http://schemas.microsoft.com/office/drawing/2014/main" id="{00000000-0008-0000-2000-00000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 name="5 CuadroTexto">
          <a:extLst>
            <a:ext uri="{FF2B5EF4-FFF2-40B4-BE49-F238E27FC236}">
              <a16:creationId xmlns:a16="http://schemas.microsoft.com/office/drawing/2014/main" id="{00000000-0008-0000-2000-00000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 name="6 CuadroTexto">
          <a:extLst>
            <a:ext uri="{FF2B5EF4-FFF2-40B4-BE49-F238E27FC236}">
              <a16:creationId xmlns:a16="http://schemas.microsoft.com/office/drawing/2014/main" id="{00000000-0008-0000-2000-00000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 name="7 CuadroTexto">
          <a:extLst>
            <a:ext uri="{FF2B5EF4-FFF2-40B4-BE49-F238E27FC236}">
              <a16:creationId xmlns:a16="http://schemas.microsoft.com/office/drawing/2014/main" id="{00000000-0008-0000-2000-00000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 name="11 CuadroTexto">
          <a:extLst>
            <a:ext uri="{FF2B5EF4-FFF2-40B4-BE49-F238E27FC236}">
              <a16:creationId xmlns:a16="http://schemas.microsoft.com/office/drawing/2014/main" id="{00000000-0008-0000-2000-00000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 name="12 CuadroTexto">
          <a:extLst>
            <a:ext uri="{FF2B5EF4-FFF2-40B4-BE49-F238E27FC236}">
              <a16:creationId xmlns:a16="http://schemas.microsoft.com/office/drawing/2014/main" id="{00000000-0008-0000-2000-00000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 name="13 CuadroTexto">
          <a:extLst>
            <a:ext uri="{FF2B5EF4-FFF2-40B4-BE49-F238E27FC236}">
              <a16:creationId xmlns:a16="http://schemas.microsoft.com/office/drawing/2014/main" id="{00000000-0008-0000-2000-00000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 name="14 CuadroTexto">
          <a:extLst>
            <a:ext uri="{FF2B5EF4-FFF2-40B4-BE49-F238E27FC236}">
              <a16:creationId xmlns:a16="http://schemas.microsoft.com/office/drawing/2014/main" id="{00000000-0008-0000-2000-00000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 name="15 CuadroTexto">
          <a:extLst>
            <a:ext uri="{FF2B5EF4-FFF2-40B4-BE49-F238E27FC236}">
              <a16:creationId xmlns:a16="http://schemas.microsoft.com/office/drawing/2014/main" id="{00000000-0008-0000-2000-00001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 name="16 CuadroTexto">
          <a:extLst>
            <a:ext uri="{FF2B5EF4-FFF2-40B4-BE49-F238E27FC236}">
              <a16:creationId xmlns:a16="http://schemas.microsoft.com/office/drawing/2014/main" id="{00000000-0008-0000-2000-00001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 name="17 CuadroTexto">
          <a:extLst>
            <a:ext uri="{FF2B5EF4-FFF2-40B4-BE49-F238E27FC236}">
              <a16:creationId xmlns:a16="http://schemas.microsoft.com/office/drawing/2014/main" id="{00000000-0008-0000-2000-00001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 name="18 CuadroTexto">
          <a:extLst>
            <a:ext uri="{FF2B5EF4-FFF2-40B4-BE49-F238E27FC236}">
              <a16:creationId xmlns:a16="http://schemas.microsoft.com/office/drawing/2014/main" id="{00000000-0008-0000-2000-00001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 name="19 CuadroTexto">
          <a:extLst>
            <a:ext uri="{FF2B5EF4-FFF2-40B4-BE49-F238E27FC236}">
              <a16:creationId xmlns:a16="http://schemas.microsoft.com/office/drawing/2014/main" id="{00000000-0008-0000-2000-00001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 name="20 CuadroTexto">
          <a:extLst>
            <a:ext uri="{FF2B5EF4-FFF2-40B4-BE49-F238E27FC236}">
              <a16:creationId xmlns:a16="http://schemas.microsoft.com/office/drawing/2014/main" id="{00000000-0008-0000-2000-00001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 name="21 CuadroTexto">
          <a:extLst>
            <a:ext uri="{FF2B5EF4-FFF2-40B4-BE49-F238E27FC236}">
              <a16:creationId xmlns:a16="http://schemas.microsoft.com/office/drawing/2014/main" id="{00000000-0008-0000-2000-00001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 name="22 CuadroTexto">
          <a:extLst>
            <a:ext uri="{FF2B5EF4-FFF2-40B4-BE49-F238E27FC236}">
              <a16:creationId xmlns:a16="http://schemas.microsoft.com/office/drawing/2014/main" id="{00000000-0008-0000-2000-00001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 name="23 CuadroTexto">
          <a:extLst>
            <a:ext uri="{FF2B5EF4-FFF2-40B4-BE49-F238E27FC236}">
              <a16:creationId xmlns:a16="http://schemas.microsoft.com/office/drawing/2014/main" id="{00000000-0008-0000-2000-00001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 name="24 CuadroTexto">
          <a:extLst>
            <a:ext uri="{FF2B5EF4-FFF2-40B4-BE49-F238E27FC236}">
              <a16:creationId xmlns:a16="http://schemas.microsoft.com/office/drawing/2014/main" id="{00000000-0008-0000-2000-00001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 name="25 CuadroTexto">
          <a:extLst>
            <a:ext uri="{FF2B5EF4-FFF2-40B4-BE49-F238E27FC236}">
              <a16:creationId xmlns:a16="http://schemas.microsoft.com/office/drawing/2014/main" id="{00000000-0008-0000-2000-00001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7" name="26 CuadroTexto">
          <a:extLst>
            <a:ext uri="{FF2B5EF4-FFF2-40B4-BE49-F238E27FC236}">
              <a16:creationId xmlns:a16="http://schemas.microsoft.com/office/drawing/2014/main" id="{00000000-0008-0000-2000-00001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 name="27 CuadroTexto">
          <a:extLst>
            <a:ext uri="{FF2B5EF4-FFF2-40B4-BE49-F238E27FC236}">
              <a16:creationId xmlns:a16="http://schemas.microsoft.com/office/drawing/2014/main" id="{00000000-0008-0000-2000-00001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 name="28 CuadroTexto">
          <a:extLst>
            <a:ext uri="{FF2B5EF4-FFF2-40B4-BE49-F238E27FC236}">
              <a16:creationId xmlns:a16="http://schemas.microsoft.com/office/drawing/2014/main" id="{00000000-0008-0000-2000-00001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 name="29 CuadroTexto">
          <a:extLst>
            <a:ext uri="{FF2B5EF4-FFF2-40B4-BE49-F238E27FC236}">
              <a16:creationId xmlns:a16="http://schemas.microsoft.com/office/drawing/2014/main" id="{00000000-0008-0000-2000-00001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 name="30 CuadroTexto">
          <a:extLst>
            <a:ext uri="{FF2B5EF4-FFF2-40B4-BE49-F238E27FC236}">
              <a16:creationId xmlns:a16="http://schemas.microsoft.com/office/drawing/2014/main" id="{00000000-0008-0000-2000-00001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 name="31 CuadroTexto">
          <a:extLst>
            <a:ext uri="{FF2B5EF4-FFF2-40B4-BE49-F238E27FC236}">
              <a16:creationId xmlns:a16="http://schemas.microsoft.com/office/drawing/2014/main" id="{00000000-0008-0000-2000-00002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 name="32 CuadroTexto">
          <a:extLst>
            <a:ext uri="{FF2B5EF4-FFF2-40B4-BE49-F238E27FC236}">
              <a16:creationId xmlns:a16="http://schemas.microsoft.com/office/drawing/2014/main" id="{00000000-0008-0000-2000-00002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 name="33 CuadroTexto">
          <a:extLst>
            <a:ext uri="{FF2B5EF4-FFF2-40B4-BE49-F238E27FC236}">
              <a16:creationId xmlns:a16="http://schemas.microsoft.com/office/drawing/2014/main" id="{00000000-0008-0000-2000-00002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 name="34 CuadroTexto">
          <a:extLst>
            <a:ext uri="{FF2B5EF4-FFF2-40B4-BE49-F238E27FC236}">
              <a16:creationId xmlns:a16="http://schemas.microsoft.com/office/drawing/2014/main" id="{00000000-0008-0000-2000-00002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 name="35 CuadroTexto">
          <a:extLst>
            <a:ext uri="{FF2B5EF4-FFF2-40B4-BE49-F238E27FC236}">
              <a16:creationId xmlns:a16="http://schemas.microsoft.com/office/drawing/2014/main" id="{00000000-0008-0000-2000-00002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 name="36 CuadroTexto">
          <a:extLst>
            <a:ext uri="{FF2B5EF4-FFF2-40B4-BE49-F238E27FC236}">
              <a16:creationId xmlns:a16="http://schemas.microsoft.com/office/drawing/2014/main" id="{00000000-0008-0000-2000-00002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 name="37 CuadroTexto">
          <a:extLst>
            <a:ext uri="{FF2B5EF4-FFF2-40B4-BE49-F238E27FC236}">
              <a16:creationId xmlns:a16="http://schemas.microsoft.com/office/drawing/2014/main" id="{00000000-0008-0000-2000-00002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 name="38 CuadroTexto">
          <a:extLst>
            <a:ext uri="{FF2B5EF4-FFF2-40B4-BE49-F238E27FC236}">
              <a16:creationId xmlns:a16="http://schemas.microsoft.com/office/drawing/2014/main" id="{00000000-0008-0000-2000-00002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 name="39 CuadroTexto">
          <a:extLst>
            <a:ext uri="{FF2B5EF4-FFF2-40B4-BE49-F238E27FC236}">
              <a16:creationId xmlns:a16="http://schemas.microsoft.com/office/drawing/2014/main" id="{00000000-0008-0000-2000-00002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 name="40 CuadroTexto">
          <a:extLst>
            <a:ext uri="{FF2B5EF4-FFF2-40B4-BE49-F238E27FC236}">
              <a16:creationId xmlns:a16="http://schemas.microsoft.com/office/drawing/2014/main" id="{00000000-0008-0000-2000-00002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2" name="41 CuadroTexto">
          <a:extLst>
            <a:ext uri="{FF2B5EF4-FFF2-40B4-BE49-F238E27FC236}">
              <a16:creationId xmlns:a16="http://schemas.microsoft.com/office/drawing/2014/main" id="{00000000-0008-0000-2000-00002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 name="42 CuadroTexto">
          <a:extLst>
            <a:ext uri="{FF2B5EF4-FFF2-40B4-BE49-F238E27FC236}">
              <a16:creationId xmlns:a16="http://schemas.microsoft.com/office/drawing/2014/main" id="{00000000-0008-0000-2000-00002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 name="43 CuadroTexto">
          <a:extLst>
            <a:ext uri="{FF2B5EF4-FFF2-40B4-BE49-F238E27FC236}">
              <a16:creationId xmlns:a16="http://schemas.microsoft.com/office/drawing/2014/main" id="{00000000-0008-0000-2000-00002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 name="44 CuadroTexto">
          <a:extLst>
            <a:ext uri="{FF2B5EF4-FFF2-40B4-BE49-F238E27FC236}">
              <a16:creationId xmlns:a16="http://schemas.microsoft.com/office/drawing/2014/main" id="{00000000-0008-0000-2000-00002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 name="45 CuadroTexto">
          <a:extLst>
            <a:ext uri="{FF2B5EF4-FFF2-40B4-BE49-F238E27FC236}">
              <a16:creationId xmlns:a16="http://schemas.microsoft.com/office/drawing/2014/main" id="{00000000-0008-0000-2000-00002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 name="46 CuadroTexto">
          <a:extLst>
            <a:ext uri="{FF2B5EF4-FFF2-40B4-BE49-F238E27FC236}">
              <a16:creationId xmlns:a16="http://schemas.microsoft.com/office/drawing/2014/main" id="{00000000-0008-0000-2000-00002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 name="47 CuadroTexto">
          <a:extLst>
            <a:ext uri="{FF2B5EF4-FFF2-40B4-BE49-F238E27FC236}">
              <a16:creationId xmlns:a16="http://schemas.microsoft.com/office/drawing/2014/main" id="{00000000-0008-0000-2000-00003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 name="48 CuadroTexto">
          <a:extLst>
            <a:ext uri="{FF2B5EF4-FFF2-40B4-BE49-F238E27FC236}">
              <a16:creationId xmlns:a16="http://schemas.microsoft.com/office/drawing/2014/main" id="{00000000-0008-0000-2000-00003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 name="49 CuadroTexto">
          <a:extLst>
            <a:ext uri="{FF2B5EF4-FFF2-40B4-BE49-F238E27FC236}">
              <a16:creationId xmlns:a16="http://schemas.microsoft.com/office/drawing/2014/main" id="{00000000-0008-0000-2000-00003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 name="50 CuadroTexto">
          <a:extLst>
            <a:ext uri="{FF2B5EF4-FFF2-40B4-BE49-F238E27FC236}">
              <a16:creationId xmlns:a16="http://schemas.microsoft.com/office/drawing/2014/main" id="{00000000-0008-0000-2000-00003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 name="51 CuadroTexto">
          <a:extLst>
            <a:ext uri="{FF2B5EF4-FFF2-40B4-BE49-F238E27FC236}">
              <a16:creationId xmlns:a16="http://schemas.microsoft.com/office/drawing/2014/main" id="{00000000-0008-0000-2000-00003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 name="52 CuadroTexto">
          <a:extLst>
            <a:ext uri="{FF2B5EF4-FFF2-40B4-BE49-F238E27FC236}">
              <a16:creationId xmlns:a16="http://schemas.microsoft.com/office/drawing/2014/main" id="{00000000-0008-0000-2000-00003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 name="53 CuadroTexto">
          <a:extLst>
            <a:ext uri="{FF2B5EF4-FFF2-40B4-BE49-F238E27FC236}">
              <a16:creationId xmlns:a16="http://schemas.microsoft.com/office/drawing/2014/main" id="{00000000-0008-0000-2000-00003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 name="54 CuadroTexto">
          <a:extLst>
            <a:ext uri="{FF2B5EF4-FFF2-40B4-BE49-F238E27FC236}">
              <a16:creationId xmlns:a16="http://schemas.microsoft.com/office/drawing/2014/main" id="{00000000-0008-0000-2000-00003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 name="55 CuadroTexto">
          <a:extLst>
            <a:ext uri="{FF2B5EF4-FFF2-40B4-BE49-F238E27FC236}">
              <a16:creationId xmlns:a16="http://schemas.microsoft.com/office/drawing/2014/main" id="{00000000-0008-0000-2000-00003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 name="56 CuadroTexto">
          <a:extLst>
            <a:ext uri="{FF2B5EF4-FFF2-40B4-BE49-F238E27FC236}">
              <a16:creationId xmlns:a16="http://schemas.microsoft.com/office/drawing/2014/main" id="{00000000-0008-0000-2000-00003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 name="57 CuadroTexto">
          <a:extLst>
            <a:ext uri="{FF2B5EF4-FFF2-40B4-BE49-F238E27FC236}">
              <a16:creationId xmlns:a16="http://schemas.microsoft.com/office/drawing/2014/main" id="{00000000-0008-0000-2000-00003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 name="58 CuadroTexto">
          <a:extLst>
            <a:ext uri="{FF2B5EF4-FFF2-40B4-BE49-F238E27FC236}">
              <a16:creationId xmlns:a16="http://schemas.microsoft.com/office/drawing/2014/main" id="{00000000-0008-0000-2000-00003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 name="59 CuadroTexto">
          <a:extLst>
            <a:ext uri="{FF2B5EF4-FFF2-40B4-BE49-F238E27FC236}">
              <a16:creationId xmlns:a16="http://schemas.microsoft.com/office/drawing/2014/main" id="{00000000-0008-0000-2000-00003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 name="60 CuadroTexto">
          <a:extLst>
            <a:ext uri="{FF2B5EF4-FFF2-40B4-BE49-F238E27FC236}">
              <a16:creationId xmlns:a16="http://schemas.microsoft.com/office/drawing/2014/main" id="{00000000-0008-0000-2000-00003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 name="61 CuadroTexto">
          <a:extLst>
            <a:ext uri="{FF2B5EF4-FFF2-40B4-BE49-F238E27FC236}">
              <a16:creationId xmlns:a16="http://schemas.microsoft.com/office/drawing/2014/main" id="{00000000-0008-0000-2000-00003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 name="62 CuadroTexto">
          <a:extLst>
            <a:ext uri="{FF2B5EF4-FFF2-40B4-BE49-F238E27FC236}">
              <a16:creationId xmlns:a16="http://schemas.microsoft.com/office/drawing/2014/main" id="{00000000-0008-0000-2000-00003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 name="63 CuadroTexto">
          <a:extLst>
            <a:ext uri="{FF2B5EF4-FFF2-40B4-BE49-F238E27FC236}">
              <a16:creationId xmlns:a16="http://schemas.microsoft.com/office/drawing/2014/main" id="{00000000-0008-0000-2000-00004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 name="64 CuadroTexto">
          <a:extLst>
            <a:ext uri="{FF2B5EF4-FFF2-40B4-BE49-F238E27FC236}">
              <a16:creationId xmlns:a16="http://schemas.microsoft.com/office/drawing/2014/main" id="{00000000-0008-0000-2000-00004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 name="65 CuadroTexto">
          <a:extLst>
            <a:ext uri="{FF2B5EF4-FFF2-40B4-BE49-F238E27FC236}">
              <a16:creationId xmlns:a16="http://schemas.microsoft.com/office/drawing/2014/main" id="{00000000-0008-0000-2000-00004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 name="66 CuadroTexto">
          <a:extLst>
            <a:ext uri="{FF2B5EF4-FFF2-40B4-BE49-F238E27FC236}">
              <a16:creationId xmlns:a16="http://schemas.microsoft.com/office/drawing/2014/main" id="{00000000-0008-0000-2000-00004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 name="67 CuadroTexto">
          <a:extLst>
            <a:ext uri="{FF2B5EF4-FFF2-40B4-BE49-F238E27FC236}">
              <a16:creationId xmlns:a16="http://schemas.microsoft.com/office/drawing/2014/main" id="{00000000-0008-0000-2000-00004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 name="68 CuadroTexto">
          <a:extLst>
            <a:ext uri="{FF2B5EF4-FFF2-40B4-BE49-F238E27FC236}">
              <a16:creationId xmlns:a16="http://schemas.microsoft.com/office/drawing/2014/main" id="{00000000-0008-0000-2000-00004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 name="69 CuadroTexto">
          <a:extLst>
            <a:ext uri="{FF2B5EF4-FFF2-40B4-BE49-F238E27FC236}">
              <a16:creationId xmlns:a16="http://schemas.microsoft.com/office/drawing/2014/main" id="{00000000-0008-0000-2000-00004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 name="70 CuadroTexto">
          <a:extLst>
            <a:ext uri="{FF2B5EF4-FFF2-40B4-BE49-F238E27FC236}">
              <a16:creationId xmlns:a16="http://schemas.microsoft.com/office/drawing/2014/main" id="{00000000-0008-0000-2000-00004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 name="71 CuadroTexto">
          <a:extLst>
            <a:ext uri="{FF2B5EF4-FFF2-40B4-BE49-F238E27FC236}">
              <a16:creationId xmlns:a16="http://schemas.microsoft.com/office/drawing/2014/main" id="{00000000-0008-0000-2000-00004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 name="72 CuadroTexto">
          <a:extLst>
            <a:ext uri="{FF2B5EF4-FFF2-40B4-BE49-F238E27FC236}">
              <a16:creationId xmlns:a16="http://schemas.microsoft.com/office/drawing/2014/main" id="{00000000-0008-0000-2000-00004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 name="73 CuadroTexto">
          <a:extLst>
            <a:ext uri="{FF2B5EF4-FFF2-40B4-BE49-F238E27FC236}">
              <a16:creationId xmlns:a16="http://schemas.microsoft.com/office/drawing/2014/main" id="{00000000-0008-0000-2000-00004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 name="74 CuadroTexto">
          <a:extLst>
            <a:ext uri="{FF2B5EF4-FFF2-40B4-BE49-F238E27FC236}">
              <a16:creationId xmlns:a16="http://schemas.microsoft.com/office/drawing/2014/main" id="{00000000-0008-0000-2000-00004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 name="75 CuadroTexto">
          <a:extLst>
            <a:ext uri="{FF2B5EF4-FFF2-40B4-BE49-F238E27FC236}">
              <a16:creationId xmlns:a16="http://schemas.microsoft.com/office/drawing/2014/main" id="{00000000-0008-0000-2000-00004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7" name="76 CuadroTexto">
          <a:extLst>
            <a:ext uri="{FF2B5EF4-FFF2-40B4-BE49-F238E27FC236}">
              <a16:creationId xmlns:a16="http://schemas.microsoft.com/office/drawing/2014/main" id="{00000000-0008-0000-2000-00004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 name="77 CuadroTexto">
          <a:extLst>
            <a:ext uri="{FF2B5EF4-FFF2-40B4-BE49-F238E27FC236}">
              <a16:creationId xmlns:a16="http://schemas.microsoft.com/office/drawing/2014/main" id="{00000000-0008-0000-2000-00004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 name="78 CuadroTexto">
          <a:extLst>
            <a:ext uri="{FF2B5EF4-FFF2-40B4-BE49-F238E27FC236}">
              <a16:creationId xmlns:a16="http://schemas.microsoft.com/office/drawing/2014/main" id="{00000000-0008-0000-2000-00004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 name="79 CuadroTexto">
          <a:extLst>
            <a:ext uri="{FF2B5EF4-FFF2-40B4-BE49-F238E27FC236}">
              <a16:creationId xmlns:a16="http://schemas.microsoft.com/office/drawing/2014/main" id="{00000000-0008-0000-2000-00005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 name="80 CuadroTexto">
          <a:extLst>
            <a:ext uri="{FF2B5EF4-FFF2-40B4-BE49-F238E27FC236}">
              <a16:creationId xmlns:a16="http://schemas.microsoft.com/office/drawing/2014/main" id="{00000000-0008-0000-2000-00005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 name="81 CuadroTexto">
          <a:extLst>
            <a:ext uri="{FF2B5EF4-FFF2-40B4-BE49-F238E27FC236}">
              <a16:creationId xmlns:a16="http://schemas.microsoft.com/office/drawing/2014/main" id="{00000000-0008-0000-2000-00005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 name="82 CuadroTexto">
          <a:extLst>
            <a:ext uri="{FF2B5EF4-FFF2-40B4-BE49-F238E27FC236}">
              <a16:creationId xmlns:a16="http://schemas.microsoft.com/office/drawing/2014/main" id="{00000000-0008-0000-2000-00005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 name="83 CuadroTexto">
          <a:extLst>
            <a:ext uri="{FF2B5EF4-FFF2-40B4-BE49-F238E27FC236}">
              <a16:creationId xmlns:a16="http://schemas.microsoft.com/office/drawing/2014/main" id="{00000000-0008-0000-2000-00005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 name="84 CuadroTexto">
          <a:extLst>
            <a:ext uri="{FF2B5EF4-FFF2-40B4-BE49-F238E27FC236}">
              <a16:creationId xmlns:a16="http://schemas.microsoft.com/office/drawing/2014/main" id="{00000000-0008-0000-2000-00005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 name="85 CuadroTexto">
          <a:extLst>
            <a:ext uri="{FF2B5EF4-FFF2-40B4-BE49-F238E27FC236}">
              <a16:creationId xmlns:a16="http://schemas.microsoft.com/office/drawing/2014/main" id="{00000000-0008-0000-2000-00005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 name="86 CuadroTexto">
          <a:extLst>
            <a:ext uri="{FF2B5EF4-FFF2-40B4-BE49-F238E27FC236}">
              <a16:creationId xmlns:a16="http://schemas.microsoft.com/office/drawing/2014/main" id="{00000000-0008-0000-2000-00005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 name="87 CuadroTexto">
          <a:extLst>
            <a:ext uri="{FF2B5EF4-FFF2-40B4-BE49-F238E27FC236}">
              <a16:creationId xmlns:a16="http://schemas.microsoft.com/office/drawing/2014/main" id="{00000000-0008-0000-2000-00005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 name="88 CuadroTexto">
          <a:extLst>
            <a:ext uri="{FF2B5EF4-FFF2-40B4-BE49-F238E27FC236}">
              <a16:creationId xmlns:a16="http://schemas.microsoft.com/office/drawing/2014/main" id="{00000000-0008-0000-2000-00005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 name="89 CuadroTexto">
          <a:extLst>
            <a:ext uri="{FF2B5EF4-FFF2-40B4-BE49-F238E27FC236}">
              <a16:creationId xmlns:a16="http://schemas.microsoft.com/office/drawing/2014/main" id="{00000000-0008-0000-2000-00005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1" name="90 CuadroTexto">
          <a:extLst>
            <a:ext uri="{FF2B5EF4-FFF2-40B4-BE49-F238E27FC236}">
              <a16:creationId xmlns:a16="http://schemas.microsoft.com/office/drawing/2014/main" id="{00000000-0008-0000-2000-00005B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2" name="91 CuadroTexto">
          <a:extLst>
            <a:ext uri="{FF2B5EF4-FFF2-40B4-BE49-F238E27FC236}">
              <a16:creationId xmlns:a16="http://schemas.microsoft.com/office/drawing/2014/main" id="{00000000-0008-0000-2000-00005C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3" name="92 CuadroTexto">
          <a:extLst>
            <a:ext uri="{FF2B5EF4-FFF2-40B4-BE49-F238E27FC236}">
              <a16:creationId xmlns:a16="http://schemas.microsoft.com/office/drawing/2014/main" id="{00000000-0008-0000-2000-00005D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4" name="93 CuadroTexto">
          <a:extLst>
            <a:ext uri="{FF2B5EF4-FFF2-40B4-BE49-F238E27FC236}">
              <a16:creationId xmlns:a16="http://schemas.microsoft.com/office/drawing/2014/main" id="{00000000-0008-0000-2000-00005E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5" name="94 CuadroTexto">
          <a:extLst>
            <a:ext uri="{FF2B5EF4-FFF2-40B4-BE49-F238E27FC236}">
              <a16:creationId xmlns:a16="http://schemas.microsoft.com/office/drawing/2014/main" id="{00000000-0008-0000-2000-00005F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6" name="95 CuadroTexto">
          <a:extLst>
            <a:ext uri="{FF2B5EF4-FFF2-40B4-BE49-F238E27FC236}">
              <a16:creationId xmlns:a16="http://schemas.microsoft.com/office/drawing/2014/main" id="{00000000-0008-0000-2000-000060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7" name="96 CuadroTexto">
          <a:extLst>
            <a:ext uri="{FF2B5EF4-FFF2-40B4-BE49-F238E27FC236}">
              <a16:creationId xmlns:a16="http://schemas.microsoft.com/office/drawing/2014/main" id="{00000000-0008-0000-2000-000061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 name="97 CuadroTexto">
          <a:extLst>
            <a:ext uri="{FF2B5EF4-FFF2-40B4-BE49-F238E27FC236}">
              <a16:creationId xmlns:a16="http://schemas.microsoft.com/office/drawing/2014/main" id="{00000000-0008-0000-2000-000062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 name="98 CuadroTexto">
          <a:extLst>
            <a:ext uri="{FF2B5EF4-FFF2-40B4-BE49-F238E27FC236}">
              <a16:creationId xmlns:a16="http://schemas.microsoft.com/office/drawing/2014/main" id="{00000000-0008-0000-2000-000063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0" name="99 CuadroTexto">
          <a:extLst>
            <a:ext uri="{FF2B5EF4-FFF2-40B4-BE49-F238E27FC236}">
              <a16:creationId xmlns:a16="http://schemas.microsoft.com/office/drawing/2014/main" id="{00000000-0008-0000-2000-000064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1" name="100 CuadroTexto">
          <a:extLst>
            <a:ext uri="{FF2B5EF4-FFF2-40B4-BE49-F238E27FC236}">
              <a16:creationId xmlns:a16="http://schemas.microsoft.com/office/drawing/2014/main" id="{00000000-0008-0000-2000-000065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2" name="101 CuadroTexto">
          <a:extLst>
            <a:ext uri="{FF2B5EF4-FFF2-40B4-BE49-F238E27FC236}">
              <a16:creationId xmlns:a16="http://schemas.microsoft.com/office/drawing/2014/main" id="{00000000-0008-0000-2000-000066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03" name="102 CuadroTexto">
          <a:extLst>
            <a:ext uri="{FF2B5EF4-FFF2-40B4-BE49-F238E27FC236}">
              <a16:creationId xmlns:a16="http://schemas.microsoft.com/office/drawing/2014/main" id="{00000000-0008-0000-2000-00006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 name="103 CuadroTexto">
          <a:extLst>
            <a:ext uri="{FF2B5EF4-FFF2-40B4-BE49-F238E27FC236}">
              <a16:creationId xmlns:a16="http://schemas.microsoft.com/office/drawing/2014/main" id="{00000000-0008-0000-2000-00006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 name="104 CuadroTexto">
          <a:extLst>
            <a:ext uri="{FF2B5EF4-FFF2-40B4-BE49-F238E27FC236}">
              <a16:creationId xmlns:a16="http://schemas.microsoft.com/office/drawing/2014/main" id="{00000000-0008-0000-2000-00006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 name="105 CuadroTexto">
          <a:extLst>
            <a:ext uri="{FF2B5EF4-FFF2-40B4-BE49-F238E27FC236}">
              <a16:creationId xmlns:a16="http://schemas.microsoft.com/office/drawing/2014/main" id="{00000000-0008-0000-2000-00006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 name="106 CuadroTexto">
          <a:extLst>
            <a:ext uri="{FF2B5EF4-FFF2-40B4-BE49-F238E27FC236}">
              <a16:creationId xmlns:a16="http://schemas.microsoft.com/office/drawing/2014/main" id="{00000000-0008-0000-2000-00006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 name="107 CuadroTexto">
          <a:extLst>
            <a:ext uri="{FF2B5EF4-FFF2-40B4-BE49-F238E27FC236}">
              <a16:creationId xmlns:a16="http://schemas.microsoft.com/office/drawing/2014/main" id="{00000000-0008-0000-2000-00006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 name="108 CuadroTexto">
          <a:extLst>
            <a:ext uri="{FF2B5EF4-FFF2-40B4-BE49-F238E27FC236}">
              <a16:creationId xmlns:a16="http://schemas.microsoft.com/office/drawing/2014/main" id="{00000000-0008-0000-2000-00006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 name="109 CuadroTexto">
          <a:extLst>
            <a:ext uri="{FF2B5EF4-FFF2-40B4-BE49-F238E27FC236}">
              <a16:creationId xmlns:a16="http://schemas.microsoft.com/office/drawing/2014/main" id="{00000000-0008-0000-2000-00006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 name="110 CuadroTexto">
          <a:extLst>
            <a:ext uri="{FF2B5EF4-FFF2-40B4-BE49-F238E27FC236}">
              <a16:creationId xmlns:a16="http://schemas.microsoft.com/office/drawing/2014/main" id="{00000000-0008-0000-2000-00006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 name="111 CuadroTexto">
          <a:extLst>
            <a:ext uri="{FF2B5EF4-FFF2-40B4-BE49-F238E27FC236}">
              <a16:creationId xmlns:a16="http://schemas.microsoft.com/office/drawing/2014/main" id="{00000000-0008-0000-2000-00007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3" name="112 CuadroTexto">
          <a:extLst>
            <a:ext uri="{FF2B5EF4-FFF2-40B4-BE49-F238E27FC236}">
              <a16:creationId xmlns:a16="http://schemas.microsoft.com/office/drawing/2014/main" id="{00000000-0008-0000-2000-00007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 name="113 CuadroTexto">
          <a:extLst>
            <a:ext uri="{FF2B5EF4-FFF2-40B4-BE49-F238E27FC236}">
              <a16:creationId xmlns:a16="http://schemas.microsoft.com/office/drawing/2014/main" id="{00000000-0008-0000-2000-00007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 name="114 CuadroTexto">
          <a:extLst>
            <a:ext uri="{FF2B5EF4-FFF2-40B4-BE49-F238E27FC236}">
              <a16:creationId xmlns:a16="http://schemas.microsoft.com/office/drawing/2014/main" id="{00000000-0008-0000-2000-00007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 name="115 CuadroTexto">
          <a:extLst>
            <a:ext uri="{FF2B5EF4-FFF2-40B4-BE49-F238E27FC236}">
              <a16:creationId xmlns:a16="http://schemas.microsoft.com/office/drawing/2014/main" id="{00000000-0008-0000-2000-00007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 name="116 CuadroTexto">
          <a:extLst>
            <a:ext uri="{FF2B5EF4-FFF2-40B4-BE49-F238E27FC236}">
              <a16:creationId xmlns:a16="http://schemas.microsoft.com/office/drawing/2014/main" id="{00000000-0008-0000-2000-00007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 name="117 CuadroTexto">
          <a:extLst>
            <a:ext uri="{FF2B5EF4-FFF2-40B4-BE49-F238E27FC236}">
              <a16:creationId xmlns:a16="http://schemas.microsoft.com/office/drawing/2014/main" id="{00000000-0008-0000-2000-00007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 name="118 CuadroTexto">
          <a:extLst>
            <a:ext uri="{FF2B5EF4-FFF2-40B4-BE49-F238E27FC236}">
              <a16:creationId xmlns:a16="http://schemas.microsoft.com/office/drawing/2014/main" id="{00000000-0008-0000-2000-00007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 name="119 CuadroTexto">
          <a:extLst>
            <a:ext uri="{FF2B5EF4-FFF2-40B4-BE49-F238E27FC236}">
              <a16:creationId xmlns:a16="http://schemas.microsoft.com/office/drawing/2014/main" id="{00000000-0008-0000-2000-00007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 name="120 CuadroTexto">
          <a:extLst>
            <a:ext uri="{FF2B5EF4-FFF2-40B4-BE49-F238E27FC236}">
              <a16:creationId xmlns:a16="http://schemas.microsoft.com/office/drawing/2014/main" id="{00000000-0008-0000-2000-00007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 name="121 CuadroTexto">
          <a:extLst>
            <a:ext uri="{FF2B5EF4-FFF2-40B4-BE49-F238E27FC236}">
              <a16:creationId xmlns:a16="http://schemas.microsoft.com/office/drawing/2014/main" id="{00000000-0008-0000-2000-00007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 name="122 CuadroTexto">
          <a:extLst>
            <a:ext uri="{FF2B5EF4-FFF2-40B4-BE49-F238E27FC236}">
              <a16:creationId xmlns:a16="http://schemas.microsoft.com/office/drawing/2014/main" id="{00000000-0008-0000-2000-00007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 name="123 CuadroTexto">
          <a:extLst>
            <a:ext uri="{FF2B5EF4-FFF2-40B4-BE49-F238E27FC236}">
              <a16:creationId xmlns:a16="http://schemas.microsoft.com/office/drawing/2014/main" id="{00000000-0008-0000-2000-00007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 name="124 CuadroTexto">
          <a:extLst>
            <a:ext uri="{FF2B5EF4-FFF2-40B4-BE49-F238E27FC236}">
              <a16:creationId xmlns:a16="http://schemas.microsoft.com/office/drawing/2014/main" id="{00000000-0008-0000-2000-00007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 name="125 CuadroTexto">
          <a:extLst>
            <a:ext uri="{FF2B5EF4-FFF2-40B4-BE49-F238E27FC236}">
              <a16:creationId xmlns:a16="http://schemas.microsoft.com/office/drawing/2014/main" id="{00000000-0008-0000-2000-00007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 name="126 CuadroTexto">
          <a:extLst>
            <a:ext uri="{FF2B5EF4-FFF2-40B4-BE49-F238E27FC236}">
              <a16:creationId xmlns:a16="http://schemas.microsoft.com/office/drawing/2014/main" id="{00000000-0008-0000-2000-00007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 name="127 CuadroTexto">
          <a:extLst>
            <a:ext uri="{FF2B5EF4-FFF2-40B4-BE49-F238E27FC236}">
              <a16:creationId xmlns:a16="http://schemas.microsoft.com/office/drawing/2014/main" id="{00000000-0008-0000-2000-00008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 name="128 CuadroTexto">
          <a:extLst>
            <a:ext uri="{FF2B5EF4-FFF2-40B4-BE49-F238E27FC236}">
              <a16:creationId xmlns:a16="http://schemas.microsoft.com/office/drawing/2014/main" id="{00000000-0008-0000-2000-00008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0" name="129 CuadroTexto">
          <a:extLst>
            <a:ext uri="{FF2B5EF4-FFF2-40B4-BE49-F238E27FC236}">
              <a16:creationId xmlns:a16="http://schemas.microsoft.com/office/drawing/2014/main" id="{00000000-0008-0000-2000-00008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 name="130 CuadroTexto">
          <a:extLst>
            <a:ext uri="{FF2B5EF4-FFF2-40B4-BE49-F238E27FC236}">
              <a16:creationId xmlns:a16="http://schemas.microsoft.com/office/drawing/2014/main" id="{00000000-0008-0000-2000-00008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 name="131 CuadroTexto">
          <a:extLst>
            <a:ext uri="{FF2B5EF4-FFF2-40B4-BE49-F238E27FC236}">
              <a16:creationId xmlns:a16="http://schemas.microsoft.com/office/drawing/2014/main" id="{00000000-0008-0000-2000-00008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 name="132 CuadroTexto">
          <a:extLst>
            <a:ext uri="{FF2B5EF4-FFF2-40B4-BE49-F238E27FC236}">
              <a16:creationId xmlns:a16="http://schemas.microsoft.com/office/drawing/2014/main" id="{00000000-0008-0000-2000-00008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4" name="133 CuadroTexto">
          <a:extLst>
            <a:ext uri="{FF2B5EF4-FFF2-40B4-BE49-F238E27FC236}">
              <a16:creationId xmlns:a16="http://schemas.microsoft.com/office/drawing/2014/main" id="{00000000-0008-0000-2000-00008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 name="134 CuadroTexto">
          <a:extLst>
            <a:ext uri="{FF2B5EF4-FFF2-40B4-BE49-F238E27FC236}">
              <a16:creationId xmlns:a16="http://schemas.microsoft.com/office/drawing/2014/main" id="{00000000-0008-0000-2000-00008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 name="135 CuadroTexto">
          <a:extLst>
            <a:ext uri="{FF2B5EF4-FFF2-40B4-BE49-F238E27FC236}">
              <a16:creationId xmlns:a16="http://schemas.microsoft.com/office/drawing/2014/main" id="{00000000-0008-0000-2000-00008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 name="136 CuadroTexto">
          <a:extLst>
            <a:ext uri="{FF2B5EF4-FFF2-40B4-BE49-F238E27FC236}">
              <a16:creationId xmlns:a16="http://schemas.microsoft.com/office/drawing/2014/main" id="{00000000-0008-0000-2000-00008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 name="137 CuadroTexto">
          <a:extLst>
            <a:ext uri="{FF2B5EF4-FFF2-40B4-BE49-F238E27FC236}">
              <a16:creationId xmlns:a16="http://schemas.microsoft.com/office/drawing/2014/main" id="{00000000-0008-0000-2000-00008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 name="138 CuadroTexto">
          <a:extLst>
            <a:ext uri="{FF2B5EF4-FFF2-40B4-BE49-F238E27FC236}">
              <a16:creationId xmlns:a16="http://schemas.microsoft.com/office/drawing/2014/main" id="{00000000-0008-0000-2000-00008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 name="139 CuadroTexto">
          <a:extLst>
            <a:ext uri="{FF2B5EF4-FFF2-40B4-BE49-F238E27FC236}">
              <a16:creationId xmlns:a16="http://schemas.microsoft.com/office/drawing/2014/main" id="{00000000-0008-0000-2000-00008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 name="140 CuadroTexto">
          <a:extLst>
            <a:ext uri="{FF2B5EF4-FFF2-40B4-BE49-F238E27FC236}">
              <a16:creationId xmlns:a16="http://schemas.microsoft.com/office/drawing/2014/main" id="{00000000-0008-0000-2000-00008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 name="141 CuadroTexto">
          <a:extLst>
            <a:ext uri="{FF2B5EF4-FFF2-40B4-BE49-F238E27FC236}">
              <a16:creationId xmlns:a16="http://schemas.microsoft.com/office/drawing/2014/main" id="{00000000-0008-0000-2000-00008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 name="142 CuadroTexto">
          <a:extLst>
            <a:ext uri="{FF2B5EF4-FFF2-40B4-BE49-F238E27FC236}">
              <a16:creationId xmlns:a16="http://schemas.microsoft.com/office/drawing/2014/main" id="{00000000-0008-0000-2000-00008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 name="143 CuadroTexto">
          <a:extLst>
            <a:ext uri="{FF2B5EF4-FFF2-40B4-BE49-F238E27FC236}">
              <a16:creationId xmlns:a16="http://schemas.microsoft.com/office/drawing/2014/main" id="{00000000-0008-0000-2000-00009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 name="144 CuadroTexto">
          <a:extLst>
            <a:ext uri="{FF2B5EF4-FFF2-40B4-BE49-F238E27FC236}">
              <a16:creationId xmlns:a16="http://schemas.microsoft.com/office/drawing/2014/main" id="{00000000-0008-0000-2000-00009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 name="145 CuadroTexto">
          <a:extLst>
            <a:ext uri="{FF2B5EF4-FFF2-40B4-BE49-F238E27FC236}">
              <a16:creationId xmlns:a16="http://schemas.microsoft.com/office/drawing/2014/main" id="{00000000-0008-0000-2000-00009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 name="146 CuadroTexto">
          <a:extLst>
            <a:ext uri="{FF2B5EF4-FFF2-40B4-BE49-F238E27FC236}">
              <a16:creationId xmlns:a16="http://schemas.microsoft.com/office/drawing/2014/main" id="{00000000-0008-0000-2000-00009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 name="147 CuadroTexto">
          <a:extLst>
            <a:ext uri="{FF2B5EF4-FFF2-40B4-BE49-F238E27FC236}">
              <a16:creationId xmlns:a16="http://schemas.microsoft.com/office/drawing/2014/main" id="{00000000-0008-0000-2000-00009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9" name="148 CuadroTexto">
          <a:extLst>
            <a:ext uri="{FF2B5EF4-FFF2-40B4-BE49-F238E27FC236}">
              <a16:creationId xmlns:a16="http://schemas.microsoft.com/office/drawing/2014/main" id="{00000000-0008-0000-2000-00009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 name="149 CuadroTexto">
          <a:extLst>
            <a:ext uri="{FF2B5EF4-FFF2-40B4-BE49-F238E27FC236}">
              <a16:creationId xmlns:a16="http://schemas.microsoft.com/office/drawing/2014/main" id="{00000000-0008-0000-2000-00009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 name="150 CuadroTexto">
          <a:extLst>
            <a:ext uri="{FF2B5EF4-FFF2-40B4-BE49-F238E27FC236}">
              <a16:creationId xmlns:a16="http://schemas.microsoft.com/office/drawing/2014/main" id="{00000000-0008-0000-2000-00009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 name="151 CuadroTexto">
          <a:extLst>
            <a:ext uri="{FF2B5EF4-FFF2-40B4-BE49-F238E27FC236}">
              <a16:creationId xmlns:a16="http://schemas.microsoft.com/office/drawing/2014/main" id="{00000000-0008-0000-2000-00009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 name="152 CuadroTexto">
          <a:extLst>
            <a:ext uri="{FF2B5EF4-FFF2-40B4-BE49-F238E27FC236}">
              <a16:creationId xmlns:a16="http://schemas.microsoft.com/office/drawing/2014/main" id="{00000000-0008-0000-2000-00009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 name="153 CuadroTexto">
          <a:extLst>
            <a:ext uri="{FF2B5EF4-FFF2-40B4-BE49-F238E27FC236}">
              <a16:creationId xmlns:a16="http://schemas.microsoft.com/office/drawing/2014/main" id="{00000000-0008-0000-2000-00009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 name="154 CuadroTexto">
          <a:extLst>
            <a:ext uri="{FF2B5EF4-FFF2-40B4-BE49-F238E27FC236}">
              <a16:creationId xmlns:a16="http://schemas.microsoft.com/office/drawing/2014/main" id="{00000000-0008-0000-2000-00009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 name="155 CuadroTexto">
          <a:extLst>
            <a:ext uri="{FF2B5EF4-FFF2-40B4-BE49-F238E27FC236}">
              <a16:creationId xmlns:a16="http://schemas.microsoft.com/office/drawing/2014/main" id="{00000000-0008-0000-2000-00009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 name="156 CuadroTexto">
          <a:extLst>
            <a:ext uri="{FF2B5EF4-FFF2-40B4-BE49-F238E27FC236}">
              <a16:creationId xmlns:a16="http://schemas.microsoft.com/office/drawing/2014/main" id="{00000000-0008-0000-2000-00009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 name="157 CuadroTexto">
          <a:extLst>
            <a:ext uri="{FF2B5EF4-FFF2-40B4-BE49-F238E27FC236}">
              <a16:creationId xmlns:a16="http://schemas.microsoft.com/office/drawing/2014/main" id="{00000000-0008-0000-2000-00009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 name="158 CuadroTexto">
          <a:extLst>
            <a:ext uri="{FF2B5EF4-FFF2-40B4-BE49-F238E27FC236}">
              <a16:creationId xmlns:a16="http://schemas.microsoft.com/office/drawing/2014/main" id="{00000000-0008-0000-2000-00009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 name="159 CuadroTexto">
          <a:extLst>
            <a:ext uri="{FF2B5EF4-FFF2-40B4-BE49-F238E27FC236}">
              <a16:creationId xmlns:a16="http://schemas.microsoft.com/office/drawing/2014/main" id="{00000000-0008-0000-2000-0000A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 name="160 CuadroTexto">
          <a:extLst>
            <a:ext uri="{FF2B5EF4-FFF2-40B4-BE49-F238E27FC236}">
              <a16:creationId xmlns:a16="http://schemas.microsoft.com/office/drawing/2014/main" id="{00000000-0008-0000-2000-0000A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 name="161 CuadroTexto">
          <a:extLst>
            <a:ext uri="{FF2B5EF4-FFF2-40B4-BE49-F238E27FC236}">
              <a16:creationId xmlns:a16="http://schemas.microsoft.com/office/drawing/2014/main" id="{00000000-0008-0000-2000-0000A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 name="162 CuadroTexto">
          <a:extLst>
            <a:ext uri="{FF2B5EF4-FFF2-40B4-BE49-F238E27FC236}">
              <a16:creationId xmlns:a16="http://schemas.microsoft.com/office/drawing/2014/main" id="{00000000-0008-0000-2000-0000A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 name="163 CuadroTexto">
          <a:extLst>
            <a:ext uri="{FF2B5EF4-FFF2-40B4-BE49-F238E27FC236}">
              <a16:creationId xmlns:a16="http://schemas.microsoft.com/office/drawing/2014/main" id="{00000000-0008-0000-2000-0000A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 name="164 CuadroTexto">
          <a:extLst>
            <a:ext uri="{FF2B5EF4-FFF2-40B4-BE49-F238E27FC236}">
              <a16:creationId xmlns:a16="http://schemas.microsoft.com/office/drawing/2014/main" id="{00000000-0008-0000-2000-0000A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6" name="165 CuadroTexto">
          <a:extLst>
            <a:ext uri="{FF2B5EF4-FFF2-40B4-BE49-F238E27FC236}">
              <a16:creationId xmlns:a16="http://schemas.microsoft.com/office/drawing/2014/main" id="{00000000-0008-0000-2000-0000A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 name="166 CuadroTexto">
          <a:extLst>
            <a:ext uri="{FF2B5EF4-FFF2-40B4-BE49-F238E27FC236}">
              <a16:creationId xmlns:a16="http://schemas.microsoft.com/office/drawing/2014/main" id="{00000000-0008-0000-2000-0000A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 name="167 CuadroTexto">
          <a:extLst>
            <a:ext uri="{FF2B5EF4-FFF2-40B4-BE49-F238E27FC236}">
              <a16:creationId xmlns:a16="http://schemas.microsoft.com/office/drawing/2014/main" id="{00000000-0008-0000-2000-0000A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9" name="168 CuadroTexto">
          <a:extLst>
            <a:ext uri="{FF2B5EF4-FFF2-40B4-BE49-F238E27FC236}">
              <a16:creationId xmlns:a16="http://schemas.microsoft.com/office/drawing/2014/main" id="{00000000-0008-0000-2000-0000A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 name="169 CuadroTexto">
          <a:extLst>
            <a:ext uri="{FF2B5EF4-FFF2-40B4-BE49-F238E27FC236}">
              <a16:creationId xmlns:a16="http://schemas.microsoft.com/office/drawing/2014/main" id="{00000000-0008-0000-2000-0000A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 name="170 CuadroTexto">
          <a:extLst>
            <a:ext uri="{FF2B5EF4-FFF2-40B4-BE49-F238E27FC236}">
              <a16:creationId xmlns:a16="http://schemas.microsoft.com/office/drawing/2014/main" id="{00000000-0008-0000-2000-0000A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 name="171 CuadroTexto">
          <a:extLst>
            <a:ext uri="{FF2B5EF4-FFF2-40B4-BE49-F238E27FC236}">
              <a16:creationId xmlns:a16="http://schemas.microsoft.com/office/drawing/2014/main" id="{00000000-0008-0000-2000-0000A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 name="172 CuadroTexto">
          <a:extLst>
            <a:ext uri="{FF2B5EF4-FFF2-40B4-BE49-F238E27FC236}">
              <a16:creationId xmlns:a16="http://schemas.microsoft.com/office/drawing/2014/main" id="{00000000-0008-0000-2000-0000A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 name="173 CuadroTexto">
          <a:extLst>
            <a:ext uri="{FF2B5EF4-FFF2-40B4-BE49-F238E27FC236}">
              <a16:creationId xmlns:a16="http://schemas.microsoft.com/office/drawing/2014/main" id="{00000000-0008-0000-2000-0000A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 name="174 CuadroTexto">
          <a:extLst>
            <a:ext uri="{FF2B5EF4-FFF2-40B4-BE49-F238E27FC236}">
              <a16:creationId xmlns:a16="http://schemas.microsoft.com/office/drawing/2014/main" id="{00000000-0008-0000-2000-0000A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 name="175 CuadroTexto">
          <a:extLst>
            <a:ext uri="{FF2B5EF4-FFF2-40B4-BE49-F238E27FC236}">
              <a16:creationId xmlns:a16="http://schemas.microsoft.com/office/drawing/2014/main" id="{00000000-0008-0000-2000-0000B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 name="176 CuadroTexto">
          <a:extLst>
            <a:ext uri="{FF2B5EF4-FFF2-40B4-BE49-F238E27FC236}">
              <a16:creationId xmlns:a16="http://schemas.microsoft.com/office/drawing/2014/main" id="{00000000-0008-0000-2000-0000B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 name="177 CuadroTexto">
          <a:extLst>
            <a:ext uri="{FF2B5EF4-FFF2-40B4-BE49-F238E27FC236}">
              <a16:creationId xmlns:a16="http://schemas.microsoft.com/office/drawing/2014/main" id="{00000000-0008-0000-2000-0000B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 name="178 CuadroTexto">
          <a:extLst>
            <a:ext uri="{FF2B5EF4-FFF2-40B4-BE49-F238E27FC236}">
              <a16:creationId xmlns:a16="http://schemas.microsoft.com/office/drawing/2014/main" id="{00000000-0008-0000-2000-0000B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 name="179 CuadroTexto">
          <a:extLst>
            <a:ext uri="{FF2B5EF4-FFF2-40B4-BE49-F238E27FC236}">
              <a16:creationId xmlns:a16="http://schemas.microsoft.com/office/drawing/2014/main" id="{00000000-0008-0000-2000-0000B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 name="180 CuadroTexto">
          <a:extLst>
            <a:ext uri="{FF2B5EF4-FFF2-40B4-BE49-F238E27FC236}">
              <a16:creationId xmlns:a16="http://schemas.microsoft.com/office/drawing/2014/main" id="{00000000-0008-0000-2000-0000B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 name="181 CuadroTexto">
          <a:extLst>
            <a:ext uri="{FF2B5EF4-FFF2-40B4-BE49-F238E27FC236}">
              <a16:creationId xmlns:a16="http://schemas.microsoft.com/office/drawing/2014/main" id="{00000000-0008-0000-2000-0000B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 name="182 CuadroTexto">
          <a:extLst>
            <a:ext uri="{FF2B5EF4-FFF2-40B4-BE49-F238E27FC236}">
              <a16:creationId xmlns:a16="http://schemas.microsoft.com/office/drawing/2014/main" id="{00000000-0008-0000-2000-0000B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4" name="183 CuadroTexto">
          <a:extLst>
            <a:ext uri="{FF2B5EF4-FFF2-40B4-BE49-F238E27FC236}">
              <a16:creationId xmlns:a16="http://schemas.microsoft.com/office/drawing/2014/main" id="{00000000-0008-0000-2000-0000B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 name="184 CuadroTexto">
          <a:extLst>
            <a:ext uri="{FF2B5EF4-FFF2-40B4-BE49-F238E27FC236}">
              <a16:creationId xmlns:a16="http://schemas.microsoft.com/office/drawing/2014/main" id="{00000000-0008-0000-2000-0000B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 name="185 CuadroTexto">
          <a:extLst>
            <a:ext uri="{FF2B5EF4-FFF2-40B4-BE49-F238E27FC236}">
              <a16:creationId xmlns:a16="http://schemas.microsoft.com/office/drawing/2014/main" id="{00000000-0008-0000-2000-0000B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 name="186 CuadroTexto">
          <a:extLst>
            <a:ext uri="{FF2B5EF4-FFF2-40B4-BE49-F238E27FC236}">
              <a16:creationId xmlns:a16="http://schemas.microsoft.com/office/drawing/2014/main" id="{00000000-0008-0000-2000-0000B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 name="187 CuadroTexto">
          <a:extLst>
            <a:ext uri="{FF2B5EF4-FFF2-40B4-BE49-F238E27FC236}">
              <a16:creationId xmlns:a16="http://schemas.microsoft.com/office/drawing/2014/main" id="{00000000-0008-0000-2000-0000B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 name="188 CuadroTexto">
          <a:extLst>
            <a:ext uri="{FF2B5EF4-FFF2-40B4-BE49-F238E27FC236}">
              <a16:creationId xmlns:a16="http://schemas.microsoft.com/office/drawing/2014/main" id="{00000000-0008-0000-2000-0000B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 name="189 CuadroTexto">
          <a:extLst>
            <a:ext uri="{FF2B5EF4-FFF2-40B4-BE49-F238E27FC236}">
              <a16:creationId xmlns:a16="http://schemas.microsoft.com/office/drawing/2014/main" id="{00000000-0008-0000-2000-0000B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 name="190 CuadroTexto">
          <a:extLst>
            <a:ext uri="{FF2B5EF4-FFF2-40B4-BE49-F238E27FC236}">
              <a16:creationId xmlns:a16="http://schemas.microsoft.com/office/drawing/2014/main" id="{00000000-0008-0000-2000-0000B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 name="191 CuadroTexto">
          <a:extLst>
            <a:ext uri="{FF2B5EF4-FFF2-40B4-BE49-F238E27FC236}">
              <a16:creationId xmlns:a16="http://schemas.microsoft.com/office/drawing/2014/main" id="{00000000-0008-0000-2000-0000C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 name="192 CuadroTexto">
          <a:extLst>
            <a:ext uri="{FF2B5EF4-FFF2-40B4-BE49-F238E27FC236}">
              <a16:creationId xmlns:a16="http://schemas.microsoft.com/office/drawing/2014/main" id="{00000000-0008-0000-2000-0000C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 name="193 CuadroTexto">
          <a:extLst>
            <a:ext uri="{FF2B5EF4-FFF2-40B4-BE49-F238E27FC236}">
              <a16:creationId xmlns:a16="http://schemas.microsoft.com/office/drawing/2014/main" id="{00000000-0008-0000-2000-0000C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 name="194 CuadroTexto">
          <a:extLst>
            <a:ext uri="{FF2B5EF4-FFF2-40B4-BE49-F238E27FC236}">
              <a16:creationId xmlns:a16="http://schemas.microsoft.com/office/drawing/2014/main" id="{00000000-0008-0000-2000-0000C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 name="195 CuadroTexto">
          <a:extLst>
            <a:ext uri="{FF2B5EF4-FFF2-40B4-BE49-F238E27FC236}">
              <a16:creationId xmlns:a16="http://schemas.microsoft.com/office/drawing/2014/main" id="{00000000-0008-0000-2000-0000C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 name="196 CuadroTexto">
          <a:extLst>
            <a:ext uri="{FF2B5EF4-FFF2-40B4-BE49-F238E27FC236}">
              <a16:creationId xmlns:a16="http://schemas.microsoft.com/office/drawing/2014/main" id="{00000000-0008-0000-2000-0000C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 name="197 CuadroTexto">
          <a:extLst>
            <a:ext uri="{FF2B5EF4-FFF2-40B4-BE49-F238E27FC236}">
              <a16:creationId xmlns:a16="http://schemas.microsoft.com/office/drawing/2014/main" id="{00000000-0008-0000-2000-0000C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 name="198 CuadroTexto">
          <a:extLst>
            <a:ext uri="{FF2B5EF4-FFF2-40B4-BE49-F238E27FC236}">
              <a16:creationId xmlns:a16="http://schemas.microsoft.com/office/drawing/2014/main" id="{00000000-0008-0000-2000-0000C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 name="199 CuadroTexto">
          <a:extLst>
            <a:ext uri="{FF2B5EF4-FFF2-40B4-BE49-F238E27FC236}">
              <a16:creationId xmlns:a16="http://schemas.microsoft.com/office/drawing/2014/main" id="{00000000-0008-0000-2000-0000C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1" name="200 CuadroTexto">
          <a:extLst>
            <a:ext uri="{FF2B5EF4-FFF2-40B4-BE49-F238E27FC236}">
              <a16:creationId xmlns:a16="http://schemas.microsoft.com/office/drawing/2014/main" id="{00000000-0008-0000-2000-0000C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 name="201 CuadroTexto">
          <a:extLst>
            <a:ext uri="{FF2B5EF4-FFF2-40B4-BE49-F238E27FC236}">
              <a16:creationId xmlns:a16="http://schemas.microsoft.com/office/drawing/2014/main" id="{00000000-0008-0000-2000-0000C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 name="202 CuadroTexto">
          <a:extLst>
            <a:ext uri="{FF2B5EF4-FFF2-40B4-BE49-F238E27FC236}">
              <a16:creationId xmlns:a16="http://schemas.microsoft.com/office/drawing/2014/main" id="{00000000-0008-0000-2000-0000C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4" name="203 CuadroTexto">
          <a:extLst>
            <a:ext uri="{FF2B5EF4-FFF2-40B4-BE49-F238E27FC236}">
              <a16:creationId xmlns:a16="http://schemas.microsoft.com/office/drawing/2014/main" id="{00000000-0008-0000-2000-0000C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5" name="204 CuadroTexto">
          <a:extLst>
            <a:ext uri="{FF2B5EF4-FFF2-40B4-BE49-F238E27FC236}">
              <a16:creationId xmlns:a16="http://schemas.microsoft.com/office/drawing/2014/main" id="{00000000-0008-0000-2000-0000C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6" name="205 CuadroTexto">
          <a:extLst>
            <a:ext uri="{FF2B5EF4-FFF2-40B4-BE49-F238E27FC236}">
              <a16:creationId xmlns:a16="http://schemas.microsoft.com/office/drawing/2014/main" id="{00000000-0008-0000-2000-0000C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7" name="206 CuadroTexto">
          <a:extLst>
            <a:ext uri="{FF2B5EF4-FFF2-40B4-BE49-F238E27FC236}">
              <a16:creationId xmlns:a16="http://schemas.microsoft.com/office/drawing/2014/main" id="{00000000-0008-0000-2000-0000C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8" name="207 CuadroTexto">
          <a:extLst>
            <a:ext uri="{FF2B5EF4-FFF2-40B4-BE49-F238E27FC236}">
              <a16:creationId xmlns:a16="http://schemas.microsoft.com/office/drawing/2014/main" id="{00000000-0008-0000-2000-0000D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9" name="208 CuadroTexto">
          <a:extLst>
            <a:ext uri="{FF2B5EF4-FFF2-40B4-BE49-F238E27FC236}">
              <a16:creationId xmlns:a16="http://schemas.microsoft.com/office/drawing/2014/main" id="{00000000-0008-0000-2000-0000D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0" name="209 CuadroTexto">
          <a:extLst>
            <a:ext uri="{FF2B5EF4-FFF2-40B4-BE49-F238E27FC236}">
              <a16:creationId xmlns:a16="http://schemas.microsoft.com/office/drawing/2014/main" id="{00000000-0008-0000-2000-0000D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1" name="210 CuadroTexto">
          <a:extLst>
            <a:ext uri="{FF2B5EF4-FFF2-40B4-BE49-F238E27FC236}">
              <a16:creationId xmlns:a16="http://schemas.microsoft.com/office/drawing/2014/main" id="{00000000-0008-0000-2000-0000D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2" name="211 CuadroTexto">
          <a:extLst>
            <a:ext uri="{FF2B5EF4-FFF2-40B4-BE49-F238E27FC236}">
              <a16:creationId xmlns:a16="http://schemas.microsoft.com/office/drawing/2014/main" id="{00000000-0008-0000-2000-0000D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3" name="212 CuadroTexto">
          <a:extLst>
            <a:ext uri="{FF2B5EF4-FFF2-40B4-BE49-F238E27FC236}">
              <a16:creationId xmlns:a16="http://schemas.microsoft.com/office/drawing/2014/main" id="{00000000-0008-0000-2000-0000D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4" name="213 CuadroTexto">
          <a:extLst>
            <a:ext uri="{FF2B5EF4-FFF2-40B4-BE49-F238E27FC236}">
              <a16:creationId xmlns:a16="http://schemas.microsoft.com/office/drawing/2014/main" id="{00000000-0008-0000-2000-0000D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5" name="214 CuadroTexto">
          <a:extLst>
            <a:ext uri="{FF2B5EF4-FFF2-40B4-BE49-F238E27FC236}">
              <a16:creationId xmlns:a16="http://schemas.microsoft.com/office/drawing/2014/main" id="{00000000-0008-0000-2000-0000D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6" name="215 CuadroTexto">
          <a:extLst>
            <a:ext uri="{FF2B5EF4-FFF2-40B4-BE49-F238E27FC236}">
              <a16:creationId xmlns:a16="http://schemas.microsoft.com/office/drawing/2014/main" id="{00000000-0008-0000-2000-0000D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7" name="216 CuadroTexto">
          <a:extLst>
            <a:ext uri="{FF2B5EF4-FFF2-40B4-BE49-F238E27FC236}">
              <a16:creationId xmlns:a16="http://schemas.microsoft.com/office/drawing/2014/main" id="{00000000-0008-0000-2000-0000D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8" name="217 CuadroTexto">
          <a:extLst>
            <a:ext uri="{FF2B5EF4-FFF2-40B4-BE49-F238E27FC236}">
              <a16:creationId xmlns:a16="http://schemas.microsoft.com/office/drawing/2014/main" id="{00000000-0008-0000-2000-0000D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9" name="218 CuadroTexto">
          <a:extLst>
            <a:ext uri="{FF2B5EF4-FFF2-40B4-BE49-F238E27FC236}">
              <a16:creationId xmlns:a16="http://schemas.microsoft.com/office/drawing/2014/main" id="{00000000-0008-0000-2000-0000D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0" name="219 CuadroTexto">
          <a:extLst>
            <a:ext uri="{FF2B5EF4-FFF2-40B4-BE49-F238E27FC236}">
              <a16:creationId xmlns:a16="http://schemas.microsoft.com/office/drawing/2014/main" id="{00000000-0008-0000-2000-0000D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 name="220 CuadroTexto">
          <a:extLst>
            <a:ext uri="{FF2B5EF4-FFF2-40B4-BE49-F238E27FC236}">
              <a16:creationId xmlns:a16="http://schemas.microsoft.com/office/drawing/2014/main" id="{00000000-0008-0000-2000-0000D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 name="221 CuadroTexto">
          <a:extLst>
            <a:ext uri="{FF2B5EF4-FFF2-40B4-BE49-F238E27FC236}">
              <a16:creationId xmlns:a16="http://schemas.microsoft.com/office/drawing/2014/main" id="{00000000-0008-0000-2000-0000D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 name="222 CuadroTexto">
          <a:extLst>
            <a:ext uri="{FF2B5EF4-FFF2-40B4-BE49-F238E27FC236}">
              <a16:creationId xmlns:a16="http://schemas.microsoft.com/office/drawing/2014/main" id="{00000000-0008-0000-2000-0000D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 name="223 CuadroTexto">
          <a:extLst>
            <a:ext uri="{FF2B5EF4-FFF2-40B4-BE49-F238E27FC236}">
              <a16:creationId xmlns:a16="http://schemas.microsoft.com/office/drawing/2014/main" id="{00000000-0008-0000-2000-0000E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 name="224 CuadroTexto">
          <a:extLst>
            <a:ext uri="{FF2B5EF4-FFF2-40B4-BE49-F238E27FC236}">
              <a16:creationId xmlns:a16="http://schemas.microsoft.com/office/drawing/2014/main" id="{00000000-0008-0000-2000-0000E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 name="225 CuadroTexto">
          <a:extLst>
            <a:ext uri="{FF2B5EF4-FFF2-40B4-BE49-F238E27FC236}">
              <a16:creationId xmlns:a16="http://schemas.microsoft.com/office/drawing/2014/main" id="{00000000-0008-0000-2000-0000E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 name="226 CuadroTexto">
          <a:extLst>
            <a:ext uri="{FF2B5EF4-FFF2-40B4-BE49-F238E27FC236}">
              <a16:creationId xmlns:a16="http://schemas.microsoft.com/office/drawing/2014/main" id="{00000000-0008-0000-2000-0000E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 name="227 CuadroTexto">
          <a:extLst>
            <a:ext uri="{FF2B5EF4-FFF2-40B4-BE49-F238E27FC236}">
              <a16:creationId xmlns:a16="http://schemas.microsoft.com/office/drawing/2014/main" id="{00000000-0008-0000-2000-0000E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 name="228 CuadroTexto">
          <a:extLst>
            <a:ext uri="{FF2B5EF4-FFF2-40B4-BE49-F238E27FC236}">
              <a16:creationId xmlns:a16="http://schemas.microsoft.com/office/drawing/2014/main" id="{00000000-0008-0000-2000-0000E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 name="229 CuadroTexto">
          <a:extLst>
            <a:ext uri="{FF2B5EF4-FFF2-40B4-BE49-F238E27FC236}">
              <a16:creationId xmlns:a16="http://schemas.microsoft.com/office/drawing/2014/main" id="{00000000-0008-0000-2000-0000E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 name="230 CuadroTexto">
          <a:extLst>
            <a:ext uri="{FF2B5EF4-FFF2-40B4-BE49-F238E27FC236}">
              <a16:creationId xmlns:a16="http://schemas.microsoft.com/office/drawing/2014/main" id="{00000000-0008-0000-2000-0000E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 name="231 CuadroTexto">
          <a:extLst>
            <a:ext uri="{FF2B5EF4-FFF2-40B4-BE49-F238E27FC236}">
              <a16:creationId xmlns:a16="http://schemas.microsoft.com/office/drawing/2014/main" id="{00000000-0008-0000-2000-0000E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 name="232 CuadroTexto">
          <a:extLst>
            <a:ext uri="{FF2B5EF4-FFF2-40B4-BE49-F238E27FC236}">
              <a16:creationId xmlns:a16="http://schemas.microsoft.com/office/drawing/2014/main" id="{00000000-0008-0000-2000-0000E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 name="233 CuadroTexto">
          <a:extLst>
            <a:ext uri="{FF2B5EF4-FFF2-40B4-BE49-F238E27FC236}">
              <a16:creationId xmlns:a16="http://schemas.microsoft.com/office/drawing/2014/main" id="{00000000-0008-0000-2000-0000E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 name="234 CuadroTexto">
          <a:extLst>
            <a:ext uri="{FF2B5EF4-FFF2-40B4-BE49-F238E27FC236}">
              <a16:creationId xmlns:a16="http://schemas.microsoft.com/office/drawing/2014/main" id="{00000000-0008-0000-2000-0000E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6" name="235 CuadroTexto">
          <a:extLst>
            <a:ext uri="{FF2B5EF4-FFF2-40B4-BE49-F238E27FC236}">
              <a16:creationId xmlns:a16="http://schemas.microsoft.com/office/drawing/2014/main" id="{00000000-0008-0000-2000-0000E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 name="236 CuadroTexto">
          <a:extLst>
            <a:ext uri="{FF2B5EF4-FFF2-40B4-BE49-F238E27FC236}">
              <a16:creationId xmlns:a16="http://schemas.microsoft.com/office/drawing/2014/main" id="{00000000-0008-0000-2000-0000E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 name="237 CuadroTexto">
          <a:extLst>
            <a:ext uri="{FF2B5EF4-FFF2-40B4-BE49-F238E27FC236}">
              <a16:creationId xmlns:a16="http://schemas.microsoft.com/office/drawing/2014/main" id="{00000000-0008-0000-2000-0000E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 name="238 CuadroTexto">
          <a:extLst>
            <a:ext uri="{FF2B5EF4-FFF2-40B4-BE49-F238E27FC236}">
              <a16:creationId xmlns:a16="http://schemas.microsoft.com/office/drawing/2014/main" id="{00000000-0008-0000-2000-0000E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 name="239 CuadroTexto">
          <a:extLst>
            <a:ext uri="{FF2B5EF4-FFF2-40B4-BE49-F238E27FC236}">
              <a16:creationId xmlns:a16="http://schemas.microsoft.com/office/drawing/2014/main" id="{00000000-0008-0000-2000-0000F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 name="240 CuadroTexto">
          <a:extLst>
            <a:ext uri="{FF2B5EF4-FFF2-40B4-BE49-F238E27FC236}">
              <a16:creationId xmlns:a16="http://schemas.microsoft.com/office/drawing/2014/main" id="{00000000-0008-0000-2000-0000F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 name="241 CuadroTexto">
          <a:extLst>
            <a:ext uri="{FF2B5EF4-FFF2-40B4-BE49-F238E27FC236}">
              <a16:creationId xmlns:a16="http://schemas.microsoft.com/office/drawing/2014/main" id="{00000000-0008-0000-2000-0000F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 name="242 CuadroTexto">
          <a:extLst>
            <a:ext uri="{FF2B5EF4-FFF2-40B4-BE49-F238E27FC236}">
              <a16:creationId xmlns:a16="http://schemas.microsoft.com/office/drawing/2014/main" id="{00000000-0008-0000-2000-0000F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 name="243 CuadroTexto">
          <a:extLst>
            <a:ext uri="{FF2B5EF4-FFF2-40B4-BE49-F238E27FC236}">
              <a16:creationId xmlns:a16="http://schemas.microsoft.com/office/drawing/2014/main" id="{00000000-0008-0000-2000-0000F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 name="244 CuadroTexto">
          <a:extLst>
            <a:ext uri="{FF2B5EF4-FFF2-40B4-BE49-F238E27FC236}">
              <a16:creationId xmlns:a16="http://schemas.microsoft.com/office/drawing/2014/main" id="{00000000-0008-0000-2000-0000F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 name="245 CuadroTexto">
          <a:extLst>
            <a:ext uri="{FF2B5EF4-FFF2-40B4-BE49-F238E27FC236}">
              <a16:creationId xmlns:a16="http://schemas.microsoft.com/office/drawing/2014/main" id="{00000000-0008-0000-2000-0000F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 name="246 CuadroTexto">
          <a:extLst>
            <a:ext uri="{FF2B5EF4-FFF2-40B4-BE49-F238E27FC236}">
              <a16:creationId xmlns:a16="http://schemas.microsoft.com/office/drawing/2014/main" id="{00000000-0008-0000-2000-0000F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 name="247 CuadroTexto">
          <a:extLst>
            <a:ext uri="{FF2B5EF4-FFF2-40B4-BE49-F238E27FC236}">
              <a16:creationId xmlns:a16="http://schemas.microsoft.com/office/drawing/2014/main" id="{00000000-0008-0000-2000-0000F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 name="248 CuadroTexto">
          <a:extLst>
            <a:ext uri="{FF2B5EF4-FFF2-40B4-BE49-F238E27FC236}">
              <a16:creationId xmlns:a16="http://schemas.microsoft.com/office/drawing/2014/main" id="{00000000-0008-0000-2000-0000F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 name="249 CuadroTexto">
          <a:extLst>
            <a:ext uri="{FF2B5EF4-FFF2-40B4-BE49-F238E27FC236}">
              <a16:creationId xmlns:a16="http://schemas.microsoft.com/office/drawing/2014/main" id="{00000000-0008-0000-2000-0000F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 name="250 CuadroTexto">
          <a:extLst>
            <a:ext uri="{FF2B5EF4-FFF2-40B4-BE49-F238E27FC236}">
              <a16:creationId xmlns:a16="http://schemas.microsoft.com/office/drawing/2014/main" id="{00000000-0008-0000-2000-0000F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 name="251 CuadroTexto">
          <a:extLst>
            <a:ext uri="{FF2B5EF4-FFF2-40B4-BE49-F238E27FC236}">
              <a16:creationId xmlns:a16="http://schemas.microsoft.com/office/drawing/2014/main" id="{00000000-0008-0000-2000-0000F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 name="252 CuadroTexto">
          <a:extLst>
            <a:ext uri="{FF2B5EF4-FFF2-40B4-BE49-F238E27FC236}">
              <a16:creationId xmlns:a16="http://schemas.microsoft.com/office/drawing/2014/main" id="{00000000-0008-0000-2000-0000F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4" name="253 CuadroTexto">
          <a:extLst>
            <a:ext uri="{FF2B5EF4-FFF2-40B4-BE49-F238E27FC236}">
              <a16:creationId xmlns:a16="http://schemas.microsoft.com/office/drawing/2014/main" id="{00000000-0008-0000-2000-0000F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 name="254 CuadroTexto">
          <a:extLst>
            <a:ext uri="{FF2B5EF4-FFF2-40B4-BE49-F238E27FC236}">
              <a16:creationId xmlns:a16="http://schemas.microsoft.com/office/drawing/2014/main" id="{00000000-0008-0000-2000-0000F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 name="255 CuadroTexto">
          <a:extLst>
            <a:ext uri="{FF2B5EF4-FFF2-40B4-BE49-F238E27FC236}">
              <a16:creationId xmlns:a16="http://schemas.microsoft.com/office/drawing/2014/main" id="{00000000-0008-0000-2000-00000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 name="256 CuadroTexto">
          <a:extLst>
            <a:ext uri="{FF2B5EF4-FFF2-40B4-BE49-F238E27FC236}">
              <a16:creationId xmlns:a16="http://schemas.microsoft.com/office/drawing/2014/main" id="{00000000-0008-0000-2000-00000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 name="257 CuadroTexto">
          <a:extLst>
            <a:ext uri="{FF2B5EF4-FFF2-40B4-BE49-F238E27FC236}">
              <a16:creationId xmlns:a16="http://schemas.microsoft.com/office/drawing/2014/main" id="{00000000-0008-0000-2000-00000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 name="258 CuadroTexto">
          <a:extLst>
            <a:ext uri="{FF2B5EF4-FFF2-40B4-BE49-F238E27FC236}">
              <a16:creationId xmlns:a16="http://schemas.microsoft.com/office/drawing/2014/main" id="{00000000-0008-0000-2000-00000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 name="259 CuadroTexto">
          <a:extLst>
            <a:ext uri="{FF2B5EF4-FFF2-40B4-BE49-F238E27FC236}">
              <a16:creationId xmlns:a16="http://schemas.microsoft.com/office/drawing/2014/main" id="{00000000-0008-0000-2000-00000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 name="260 CuadroTexto">
          <a:extLst>
            <a:ext uri="{FF2B5EF4-FFF2-40B4-BE49-F238E27FC236}">
              <a16:creationId xmlns:a16="http://schemas.microsoft.com/office/drawing/2014/main" id="{00000000-0008-0000-2000-00000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 name="261 CuadroTexto">
          <a:extLst>
            <a:ext uri="{FF2B5EF4-FFF2-40B4-BE49-F238E27FC236}">
              <a16:creationId xmlns:a16="http://schemas.microsoft.com/office/drawing/2014/main" id="{00000000-0008-0000-2000-00000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 name="262 CuadroTexto">
          <a:extLst>
            <a:ext uri="{FF2B5EF4-FFF2-40B4-BE49-F238E27FC236}">
              <a16:creationId xmlns:a16="http://schemas.microsoft.com/office/drawing/2014/main" id="{00000000-0008-0000-2000-00000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 name="263 CuadroTexto">
          <a:extLst>
            <a:ext uri="{FF2B5EF4-FFF2-40B4-BE49-F238E27FC236}">
              <a16:creationId xmlns:a16="http://schemas.microsoft.com/office/drawing/2014/main" id="{00000000-0008-0000-2000-00000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 name="264 CuadroTexto">
          <a:extLst>
            <a:ext uri="{FF2B5EF4-FFF2-40B4-BE49-F238E27FC236}">
              <a16:creationId xmlns:a16="http://schemas.microsoft.com/office/drawing/2014/main" id="{00000000-0008-0000-2000-00000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 name="265 CuadroTexto">
          <a:extLst>
            <a:ext uri="{FF2B5EF4-FFF2-40B4-BE49-F238E27FC236}">
              <a16:creationId xmlns:a16="http://schemas.microsoft.com/office/drawing/2014/main" id="{00000000-0008-0000-2000-00000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 name="266 CuadroTexto">
          <a:extLst>
            <a:ext uri="{FF2B5EF4-FFF2-40B4-BE49-F238E27FC236}">
              <a16:creationId xmlns:a16="http://schemas.microsoft.com/office/drawing/2014/main" id="{00000000-0008-0000-2000-00000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 name="267 CuadroTexto">
          <a:extLst>
            <a:ext uri="{FF2B5EF4-FFF2-40B4-BE49-F238E27FC236}">
              <a16:creationId xmlns:a16="http://schemas.microsoft.com/office/drawing/2014/main" id="{00000000-0008-0000-2000-00000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69" name="268 CuadroTexto">
          <a:extLst>
            <a:ext uri="{FF2B5EF4-FFF2-40B4-BE49-F238E27FC236}">
              <a16:creationId xmlns:a16="http://schemas.microsoft.com/office/drawing/2014/main" id="{00000000-0008-0000-2000-00000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0" name="269 CuadroTexto">
          <a:extLst>
            <a:ext uri="{FF2B5EF4-FFF2-40B4-BE49-F238E27FC236}">
              <a16:creationId xmlns:a16="http://schemas.microsoft.com/office/drawing/2014/main" id="{00000000-0008-0000-2000-00000E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1" name="270 CuadroTexto">
          <a:extLst>
            <a:ext uri="{FF2B5EF4-FFF2-40B4-BE49-F238E27FC236}">
              <a16:creationId xmlns:a16="http://schemas.microsoft.com/office/drawing/2014/main" id="{00000000-0008-0000-2000-00000F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2" name="271 CuadroTexto">
          <a:extLst>
            <a:ext uri="{FF2B5EF4-FFF2-40B4-BE49-F238E27FC236}">
              <a16:creationId xmlns:a16="http://schemas.microsoft.com/office/drawing/2014/main" id="{00000000-0008-0000-2000-000010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3" name="272 CuadroTexto">
          <a:extLst>
            <a:ext uri="{FF2B5EF4-FFF2-40B4-BE49-F238E27FC236}">
              <a16:creationId xmlns:a16="http://schemas.microsoft.com/office/drawing/2014/main" id="{00000000-0008-0000-2000-000011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4" name="273 CuadroTexto">
          <a:extLst>
            <a:ext uri="{FF2B5EF4-FFF2-40B4-BE49-F238E27FC236}">
              <a16:creationId xmlns:a16="http://schemas.microsoft.com/office/drawing/2014/main" id="{00000000-0008-0000-2000-000012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5" name="274 CuadroTexto">
          <a:extLst>
            <a:ext uri="{FF2B5EF4-FFF2-40B4-BE49-F238E27FC236}">
              <a16:creationId xmlns:a16="http://schemas.microsoft.com/office/drawing/2014/main" id="{00000000-0008-0000-2000-000013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6" name="275 CuadroTexto">
          <a:extLst>
            <a:ext uri="{FF2B5EF4-FFF2-40B4-BE49-F238E27FC236}">
              <a16:creationId xmlns:a16="http://schemas.microsoft.com/office/drawing/2014/main" id="{00000000-0008-0000-2000-000014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7" name="276 CuadroTexto">
          <a:extLst>
            <a:ext uri="{FF2B5EF4-FFF2-40B4-BE49-F238E27FC236}">
              <a16:creationId xmlns:a16="http://schemas.microsoft.com/office/drawing/2014/main" id="{00000000-0008-0000-2000-000015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8" name="277 CuadroTexto">
          <a:extLst>
            <a:ext uri="{FF2B5EF4-FFF2-40B4-BE49-F238E27FC236}">
              <a16:creationId xmlns:a16="http://schemas.microsoft.com/office/drawing/2014/main" id="{00000000-0008-0000-2000-000016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9" name="278 CuadroTexto">
          <a:extLst>
            <a:ext uri="{FF2B5EF4-FFF2-40B4-BE49-F238E27FC236}">
              <a16:creationId xmlns:a16="http://schemas.microsoft.com/office/drawing/2014/main" id="{00000000-0008-0000-2000-000017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0" name="279 CuadroTexto">
          <a:extLst>
            <a:ext uri="{FF2B5EF4-FFF2-40B4-BE49-F238E27FC236}">
              <a16:creationId xmlns:a16="http://schemas.microsoft.com/office/drawing/2014/main" id="{00000000-0008-0000-2000-000018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1" name="280 CuadroTexto">
          <a:extLst>
            <a:ext uri="{FF2B5EF4-FFF2-40B4-BE49-F238E27FC236}">
              <a16:creationId xmlns:a16="http://schemas.microsoft.com/office/drawing/2014/main" id="{00000000-0008-0000-2000-000019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2" name="281 CuadroTexto">
          <a:extLst>
            <a:ext uri="{FF2B5EF4-FFF2-40B4-BE49-F238E27FC236}">
              <a16:creationId xmlns:a16="http://schemas.microsoft.com/office/drawing/2014/main" id="{00000000-0008-0000-2000-00001A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3" name="282 CuadroTexto">
          <a:extLst>
            <a:ext uri="{FF2B5EF4-FFF2-40B4-BE49-F238E27FC236}">
              <a16:creationId xmlns:a16="http://schemas.microsoft.com/office/drawing/2014/main" id="{00000000-0008-0000-2000-00001B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4" name="283 CuadroTexto">
          <a:extLst>
            <a:ext uri="{FF2B5EF4-FFF2-40B4-BE49-F238E27FC236}">
              <a16:creationId xmlns:a16="http://schemas.microsoft.com/office/drawing/2014/main" id="{00000000-0008-0000-2000-00001C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5" name="284 CuadroTexto">
          <a:extLst>
            <a:ext uri="{FF2B5EF4-FFF2-40B4-BE49-F238E27FC236}">
              <a16:creationId xmlns:a16="http://schemas.microsoft.com/office/drawing/2014/main" id="{00000000-0008-0000-2000-00001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6" name="285 CuadroTexto">
          <a:extLst>
            <a:ext uri="{FF2B5EF4-FFF2-40B4-BE49-F238E27FC236}">
              <a16:creationId xmlns:a16="http://schemas.microsoft.com/office/drawing/2014/main" id="{00000000-0008-0000-2000-00001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 name="286 CuadroTexto">
          <a:extLst>
            <a:ext uri="{FF2B5EF4-FFF2-40B4-BE49-F238E27FC236}">
              <a16:creationId xmlns:a16="http://schemas.microsoft.com/office/drawing/2014/main" id="{00000000-0008-0000-2000-00001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 name="287 CuadroTexto">
          <a:extLst>
            <a:ext uri="{FF2B5EF4-FFF2-40B4-BE49-F238E27FC236}">
              <a16:creationId xmlns:a16="http://schemas.microsoft.com/office/drawing/2014/main" id="{00000000-0008-0000-2000-00002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 name="288 CuadroTexto">
          <a:extLst>
            <a:ext uri="{FF2B5EF4-FFF2-40B4-BE49-F238E27FC236}">
              <a16:creationId xmlns:a16="http://schemas.microsoft.com/office/drawing/2014/main" id="{00000000-0008-0000-2000-00002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 name="289 CuadroTexto">
          <a:extLst>
            <a:ext uri="{FF2B5EF4-FFF2-40B4-BE49-F238E27FC236}">
              <a16:creationId xmlns:a16="http://schemas.microsoft.com/office/drawing/2014/main" id="{00000000-0008-0000-2000-00002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 name="290 CuadroTexto">
          <a:extLst>
            <a:ext uri="{FF2B5EF4-FFF2-40B4-BE49-F238E27FC236}">
              <a16:creationId xmlns:a16="http://schemas.microsoft.com/office/drawing/2014/main" id="{00000000-0008-0000-2000-00002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 name="291 CuadroTexto">
          <a:extLst>
            <a:ext uri="{FF2B5EF4-FFF2-40B4-BE49-F238E27FC236}">
              <a16:creationId xmlns:a16="http://schemas.microsoft.com/office/drawing/2014/main" id="{00000000-0008-0000-2000-00002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 name="292 CuadroTexto">
          <a:extLst>
            <a:ext uri="{FF2B5EF4-FFF2-40B4-BE49-F238E27FC236}">
              <a16:creationId xmlns:a16="http://schemas.microsoft.com/office/drawing/2014/main" id="{00000000-0008-0000-2000-00002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 name="293 CuadroTexto">
          <a:extLst>
            <a:ext uri="{FF2B5EF4-FFF2-40B4-BE49-F238E27FC236}">
              <a16:creationId xmlns:a16="http://schemas.microsoft.com/office/drawing/2014/main" id="{00000000-0008-0000-2000-00002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 name="294 CuadroTexto">
          <a:extLst>
            <a:ext uri="{FF2B5EF4-FFF2-40B4-BE49-F238E27FC236}">
              <a16:creationId xmlns:a16="http://schemas.microsoft.com/office/drawing/2014/main" id="{00000000-0008-0000-2000-00002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 name="295 CuadroTexto">
          <a:extLst>
            <a:ext uri="{FF2B5EF4-FFF2-40B4-BE49-F238E27FC236}">
              <a16:creationId xmlns:a16="http://schemas.microsoft.com/office/drawing/2014/main" id="{00000000-0008-0000-2000-00002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 name="296 CuadroTexto">
          <a:extLst>
            <a:ext uri="{FF2B5EF4-FFF2-40B4-BE49-F238E27FC236}">
              <a16:creationId xmlns:a16="http://schemas.microsoft.com/office/drawing/2014/main" id="{00000000-0008-0000-2000-00002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8" name="301 CuadroTexto">
          <a:extLst>
            <a:ext uri="{FF2B5EF4-FFF2-40B4-BE49-F238E27FC236}">
              <a16:creationId xmlns:a16="http://schemas.microsoft.com/office/drawing/2014/main" id="{00000000-0008-0000-2000-00002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9" name="302 CuadroTexto">
          <a:extLst>
            <a:ext uri="{FF2B5EF4-FFF2-40B4-BE49-F238E27FC236}">
              <a16:creationId xmlns:a16="http://schemas.microsoft.com/office/drawing/2014/main" id="{00000000-0008-0000-2000-00002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0" name="307 CuadroTexto">
          <a:extLst>
            <a:ext uri="{FF2B5EF4-FFF2-40B4-BE49-F238E27FC236}">
              <a16:creationId xmlns:a16="http://schemas.microsoft.com/office/drawing/2014/main" id="{00000000-0008-0000-2000-00002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1" name="308 CuadroTexto">
          <a:extLst>
            <a:ext uri="{FF2B5EF4-FFF2-40B4-BE49-F238E27FC236}">
              <a16:creationId xmlns:a16="http://schemas.microsoft.com/office/drawing/2014/main" id="{00000000-0008-0000-2000-00002D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2" name="309 CuadroTexto">
          <a:extLst>
            <a:ext uri="{FF2B5EF4-FFF2-40B4-BE49-F238E27FC236}">
              <a16:creationId xmlns:a16="http://schemas.microsoft.com/office/drawing/2014/main" id="{00000000-0008-0000-2000-00002E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3" name="310 CuadroTexto">
          <a:extLst>
            <a:ext uri="{FF2B5EF4-FFF2-40B4-BE49-F238E27FC236}">
              <a16:creationId xmlns:a16="http://schemas.microsoft.com/office/drawing/2014/main" id="{00000000-0008-0000-2000-00002F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4" name="311 CuadroTexto">
          <a:extLst>
            <a:ext uri="{FF2B5EF4-FFF2-40B4-BE49-F238E27FC236}">
              <a16:creationId xmlns:a16="http://schemas.microsoft.com/office/drawing/2014/main" id="{00000000-0008-0000-2000-000030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5" name="312 CuadroTexto">
          <a:extLst>
            <a:ext uri="{FF2B5EF4-FFF2-40B4-BE49-F238E27FC236}">
              <a16:creationId xmlns:a16="http://schemas.microsoft.com/office/drawing/2014/main" id="{00000000-0008-0000-2000-000031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6" name="313 CuadroTexto">
          <a:extLst>
            <a:ext uri="{FF2B5EF4-FFF2-40B4-BE49-F238E27FC236}">
              <a16:creationId xmlns:a16="http://schemas.microsoft.com/office/drawing/2014/main" id="{00000000-0008-0000-2000-000032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7" name="314 CuadroTexto">
          <a:extLst>
            <a:ext uri="{FF2B5EF4-FFF2-40B4-BE49-F238E27FC236}">
              <a16:creationId xmlns:a16="http://schemas.microsoft.com/office/drawing/2014/main" id="{00000000-0008-0000-2000-000033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8" name="315 CuadroTexto">
          <a:extLst>
            <a:ext uri="{FF2B5EF4-FFF2-40B4-BE49-F238E27FC236}">
              <a16:creationId xmlns:a16="http://schemas.microsoft.com/office/drawing/2014/main" id="{00000000-0008-0000-2000-000034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9" name="316 CuadroTexto">
          <a:extLst>
            <a:ext uri="{FF2B5EF4-FFF2-40B4-BE49-F238E27FC236}">
              <a16:creationId xmlns:a16="http://schemas.microsoft.com/office/drawing/2014/main" id="{00000000-0008-0000-2000-000035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0" name="317 CuadroTexto">
          <a:extLst>
            <a:ext uri="{FF2B5EF4-FFF2-40B4-BE49-F238E27FC236}">
              <a16:creationId xmlns:a16="http://schemas.microsoft.com/office/drawing/2014/main" id="{00000000-0008-0000-2000-000036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1" name="318 CuadroTexto">
          <a:extLst>
            <a:ext uri="{FF2B5EF4-FFF2-40B4-BE49-F238E27FC236}">
              <a16:creationId xmlns:a16="http://schemas.microsoft.com/office/drawing/2014/main" id="{00000000-0008-0000-2000-000037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2" name="319 CuadroTexto">
          <a:extLst>
            <a:ext uri="{FF2B5EF4-FFF2-40B4-BE49-F238E27FC236}">
              <a16:creationId xmlns:a16="http://schemas.microsoft.com/office/drawing/2014/main" id="{00000000-0008-0000-2000-000038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3" name="320 CuadroTexto">
          <a:extLst>
            <a:ext uri="{FF2B5EF4-FFF2-40B4-BE49-F238E27FC236}">
              <a16:creationId xmlns:a16="http://schemas.microsoft.com/office/drawing/2014/main" id="{00000000-0008-0000-2000-000039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4" name="321 CuadroTexto">
          <a:extLst>
            <a:ext uri="{FF2B5EF4-FFF2-40B4-BE49-F238E27FC236}">
              <a16:creationId xmlns:a16="http://schemas.microsoft.com/office/drawing/2014/main" id="{00000000-0008-0000-2000-00003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5" name="322 CuadroTexto">
          <a:extLst>
            <a:ext uri="{FF2B5EF4-FFF2-40B4-BE49-F238E27FC236}">
              <a16:creationId xmlns:a16="http://schemas.microsoft.com/office/drawing/2014/main" id="{00000000-0008-0000-2000-00003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6" name="323 CuadroTexto">
          <a:extLst>
            <a:ext uri="{FF2B5EF4-FFF2-40B4-BE49-F238E27FC236}">
              <a16:creationId xmlns:a16="http://schemas.microsoft.com/office/drawing/2014/main" id="{00000000-0008-0000-2000-00003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7" name="324 CuadroTexto">
          <a:extLst>
            <a:ext uri="{FF2B5EF4-FFF2-40B4-BE49-F238E27FC236}">
              <a16:creationId xmlns:a16="http://schemas.microsoft.com/office/drawing/2014/main" id="{00000000-0008-0000-2000-00003D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 name="325 CuadroTexto">
          <a:extLst>
            <a:ext uri="{FF2B5EF4-FFF2-40B4-BE49-F238E27FC236}">
              <a16:creationId xmlns:a16="http://schemas.microsoft.com/office/drawing/2014/main" id="{00000000-0008-0000-2000-00003E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 name="326 CuadroTexto">
          <a:extLst>
            <a:ext uri="{FF2B5EF4-FFF2-40B4-BE49-F238E27FC236}">
              <a16:creationId xmlns:a16="http://schemas.microsoft.com/office/drawing/2014/main" id="{00000000-0008-0000-2000-00003F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0" name="327 CuadroTexto">
          <a:extLst>
            <a:ext uri="{FF2B5EF4-FFF2-40B4-BE49-F238E27FC236}">
              <a16:creationId xmlns:a16="http://schemas.microsoft.com/office/drawing/2014/main" id="{00000000-0008-0000-2000-000040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1" name="328 CuadroTexto">
          <a:extLst>
            <a:ext uri="{FF2B5EF4-FFF2-40B4-BE49-F238E27FC236}">
              <a16:creationId xmlns:a16="http://schemas.microsoft.com/office/drawing/2014/main" id="{00000000-0008-0000-2000-000041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2" name="329 CuadroTexto">
          <a:extLst>
            <a:ext uri="{FF2B5EF4-FFF2-40B4-BE49-F238E27FC236}">
              <a16:creationId xmlns:a16="http://schemas.microsoft.com/office/drawing/2014/main" id="{00000000-0008-0000-2000-000042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3" name="330 CuadroTexto">
          <a:extLst>
            <a:ext uri="{FF2B5EF4-FFF2-40B4-BE49-F238E27FC236}">
              <a16:creationId xmlns:a16="http://schemas.microsoft.com/office/drawing/2014/main" id="{00000000-0008-0000-2000-000043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4" name="331 CuadroTexto">
          <a:extLst>
            <a:ext uri="{FF2B5EF4-FFF2-40B4-BE49-F238E27FC236}">
              <a16:creationId xmlns:a16="http://schemas.microsoft.com/office/drawing/2014/main" id="{00000000-0008-0000-2000-000044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5" name="332 CuadroTexto">
          <a:extLst>
            <a:ext uri="{FF2B5EF4-FFF2-40B4-BE49-F238E27FC236}">
              <a16:creationId xmlns:a16="http://schemas.microsoft.com/office/drawing/2014/main" id="{00000000-0008-0000-2000-000045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6" name="333 CuadroTexto">
          <a:extLst>
            <a:ext uri="{FF2B5EF4-FFF2-40B4-BE49-F238E27FC236}">
              <a16:creationId xmlns:a16="http://schemas.microsoft.com/office/drawing/2014/main" id="{00000000-0008-0000-2000-000046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7" name="334 CuadroTexto">
          <a:extLst>
            <a:ext uri="{FF2B5EF4-FFF2-40B4-BE49-F238E27FC236}">
              <a16:creationId xmlns:a16="http://schemas.microsoft.com/office/drawing/2014/main" id="{00000000-0008-0000-2000-000047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8" name="335 CuadroTexto">
          <a:extLst>
            <a:ext uri="{FF2B5EF4-FFF2-40B4-BE49-F238E27FC236}">
              <a16:creationId xmlns:a16="http://schemas.microsoft.com/office/drawing/2014/main" id="{00000000-0008-0000-2000-000048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9" name="336 CuadroTexto">
          <a:extLst>
            <a:ext uri="{FF2B5EF4-FFF2-40B4-BE49-F238E27FC236}">
              <a16:creationId xmlns:a16="http://schemas.microsoft.com/office/drawing/2014/main" id="{00000000-0008-0000-2000-000049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0" name="337 CuadroTexto">
          <a:extLst>
            <a:ext uri="{FF2B5EF4-FFF2-40B4-BE49-F238E27FC236}">
              <a16:creationId xmlns:a16="http://schemas.microsoft.com/office/drawing/2014/main" id="{00000000-0008-0000-2000-00004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1" name="338 CuadroTexto">
          <a:extLst>
            <a:ext uri="{FF2B5EF4-FFF2-40B4-BE49-F238E27FC236}">
              <a16:creationId xmlns:a16="http://schemas.microsoft.com/office/drawing/2014/main" id="{00000000-0008-0000-2000-00004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2" name="339 CuadroTexto">
          <a:extLst>
            <a:ext uri="{FF2B5EF4-FFF2-40B4-BE49-F238E27FC236}">
              <a16:creationId xmlns:a16="http://schemas.microsoft.com/office/drawing/2014/main" id="{00000000-0008-0000-2000-00004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3" name="340 CuadroTexto">
          <a:extLst>
            <a:ext uri="{FF2B5EF4-FFF2-40B4-BE49-F238E27FC236}">
              <a16:creationId xmlns:a16="http://schemas.microsoft.com/office/drawing/2014/main" id="{00000000-0008-0000-2000-00004D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4" name="341 CuadroTexto">
          <a:extLst>
            <a:ext uri="{FF2B5EF4-FFF2-40B4-BE49-F238E27FC236}">
              <a16:creationId xmlns:a16="http://schemas.microsoft.com/office/drawing/2014/main" id="{00000000-0008-0000-2000-00004E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5" name="342 CuadroTexto">
          <a:extLst>
            <a:ext uri="{FF2B5EF4-FFF2-40B4-BE49-F238E27FC236}">
              <a16:creationId xmlns:a16="http://schemas.microsoft.com/office/drawing/2014/main" id="{00000000-0008-0000-2000-00004F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6" name="343 CuadroTexto">
          <a:extLst>
            <a:ext uri="{FF2B5EF4-FFF2-40B4-BE49-F238E27FC236}">
              <a16:creationId xmlns:a16="http://schemas.microsoft.com/office/drawing/2014/main" id="{00000000-0008-0000-2000-000050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7" name="344 CuadroTexto">
          <a:extLst>
            <a:ext uri="{FF2B5EF4-FFF2-40B4-BE49-F238E27FC236}">
              <a16:creationId xmlns:a16="http://schemas.microsoft.com/office/drawing/2014/main" id="{00000000-0008-0000-2000-000051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8" name="345 CuadroTexto">
          <a:extLst>
            <a:ext uri="{FF2B5EF4-FFF2-40B4-BE49-F238E27FC236}">
              <a16:creationId xmlns:a16="http://schemas.microsoft.com/office/drawing/2014/main" id="{00000000-0008-0000-2000-000052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9" name="346 CuadroTexto">
          <a:extLst>
            <a:ext uri="{FF2B5EF4-FFF2-40B4-BE49-F238E27FC236}">
              <a16:creationId xmlns:a16="http://schemas.microsoft.com/office/drawing/2014/main" id="{00000000-0008-0000-2000-000053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0" name="347 CuadroTexto">
          <a:extLst>
            <a:ext uri="{FF2B5EF4-FFF2-40B4-BE49-F238E27FC236}">
              <a16:creationId xmlns:a16="http://schemas.microsoft.com/office/drawing/2014/main" id="{00000000-0008-0000-2000-000054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1" name="348 CuadroTexto">
          <a:extLst>
            <a:ext uri="{FF2B5EF4-FFF2-40B4-BE49-F238E27FC236}">
              <a16:creationId xmlns:a16="http://schemas.microsoft.com/office/drawing/2014/main" id="{00000000-0008-0000-2000-000055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2" name="349 CuadroTexto">
          <a:extLst>
            <a:ext uri="{FF2B5EF4-FFF2-40B4-BE49-F238E27FC236}">
              <a16:creationId xmlns:a16="http://schemas.microsoft.com/office/drawing/2014/main" id="{00000000-0008-0000-2000-000056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3" name="350 CuadroTexto">
          <a:extLst>
            <a:ext uri="{FF2B5EF4-FFF2-40B4-BE49-F238E27FC236}">
              <a16:creationId xmlns:a16="http://schemas.microsoft.com/office/drawing/2014/main" id="{00000000-0008-0000-2000-000057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4" name="351 CuadroTexto">
          <a:extLst>
            <a:ext uri="{FF2B5EF4-FFF2-40B4-BE49-F238E27FC236}">
              <a16:creationId xmlns:a16="http://schemas.microsoft.com/office/drawing/2014/main" id="{00000000-0008-0000-2000-000058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5" name="352 CuadroTexto">
          <a:extLst>
            <a:ext uri="{FF2B5EF4-FFF2-40B4-BE49-F238E27FC236}">
              <a16:creationId xmlns:a16="http://schemas.microsoft.com/office/drawing/2014/main" id="{00000000-0008-0000-2000-000059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6" name="353 CuadroTexto">
          <a:extLst>
            <a:ext uri="{FF2B5EF4-FFF2-40B4-BE49-F238E27FC236}">
              <a16:creationId xmlns:a16="http://schemas.microsoft.com/office/drawing/2014/main" id="{00000000-0008-0000-2000-00005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7" name="354 CuadroTexto">
          <a:extLst>
            <a:ext uri="{FF2B5EF4-FFF2-40B4-BE49-F238E27FC236}">
              <a16:creationId xmlns:a16="http://schemas.microsoft.com/office/drawing/2014/main" id="{00000000-0008-0000-2000-00005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8" name="355 CuadroTexto">
          <a:extLst>
            <a:ext uri="{FF2B5EF4-FFF2-40B4-BE49-F238E27FC236}">
              <a16:creationId xmlns:a16="http://schemas.microsoft.com/office/drawing/2014/main" id="{00000000-0008-0000-2000-00005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9" name="356 CuadroTexto">
          <a:extLst>
            <a:ext uri="{FF2B5EF4-FFF2-40B4-BE49-F238E27FC236}">
              <a16:creationId xmlns:a16="http://schemas.microsoft.com/office/drawing/2014/main" id="{00000000-0008-0000-2000-00005D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0" name="357 CuadroTexto">
          <a:extLst>
            <a:ext uri="{FF2B5EF4-FFF2-40B4-BE49-F238E27FC236}">
              <a16:creationId xmlns:a16="http://schemas.microsoft.com/office/drawing/2014/main" id="{00000000-0008-0000-2000-00005E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1" name="358 CuadroTexto">
          <a:extLst>
            <a:ext uri="{FF2B5EF4-FFF2-40B4-BE49-F238E27FC236}">
              <a16:creationId xmlns:a16="http://schemas.microsoft.com/office/drawing/2014/main" id="{00000000-0008-0000-2000-00005F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2" name="359 CuadroTexto">
          <a:extLst>
            <a:ext uri="{FF2B5EF4-FFF2-40B4-BE49-F238E27FC236}">
              <a16:creationId xmlns:a16="http://schemas.microsoft.com/office/drawing/2014/main" id="{00000000-0008-0000-2000-000060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3" name="360 CuadroTexto">
          <a:extLst>
            <a:ext uri="{FF2B5EF4-FFF2-40B4-BE49-F238E27FC236}">
              <a16:creationId xmlns:a16="http://schemas.microsoft.com/office/drawing/2014/main" id="{00000000-0008-0000-2000-000061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4" name="361 CuadroTexto">
          <a:extLst>
            <a:ext uri="{FF2B5EF4-FFF2-40B4-BE49-F238E27FC236}">
              <a16:creationId xmlns:a16="http://schemas.microsoft.com/office/drawing/2014/main" id="{00000000-0008-0000-2000-000062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5" name="362 CuadroTexto">
          <a:extLst>
            <a:ext uri="{FF2B5EF4-FFF2-40B4-BE49-F238E27FC236}">
              <a16:creationId xmlns:a16="http://schemas.microsoft.com/office/drawing/2014/main" id="{00000000-0008-0000-2000-000063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6" name="363 CuadroTexto">
          <a:extLst>
            <a:ext uri="{FF2B5EF4-FFF2-40B4-BE49-F238E27FC236}">
              <a16:creationId xmlns:a16="http://schemas.microsoft.com/office/drawing/2014/main" id="{00000000-0008-0000-2000-000064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7" name="364 CuadroTexto">
          <a:extLst>
            <a:ext uri="{FF2B5EF4-FFF2-40B4-BE49-F238E27FC236}">
              <a16:creationId xmlns:a16="http://schemas.microsoft.com/office/drawing/2014/main" id="{00000000-0008-0000-2000-000065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8" name="365 CuadroTexto">
          <a:extLst>
            <a:ext uri="{FF2B5EF4-FFF2-40B4-BE49-F238E27FC236}">
              <a16:creationId xmlns:a16="http://schemas.microsoft.com/office/drawing/2014/main" id="{00000000-0008-0000-2000-000066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9" name="366 CuadroTexto">
          <a:extLst>
            <a:ext uri="{FF2B5EF4-FFF2-40B4-BE49-F238E27FC236}">
              <a16:creationId xmlns:a16="http://schemas.microsoft.com/office/drawing/2014/main" id="{00000000-0008-0000-2000-000067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0" name="367 CuadroTexto">
          <a:extLst>
            <a:ext uri="{FF2B5EF4-FFF2-40B4-BE49-F238E27FC236}">
              <a16:creationId xmlns:a16="http://schemas.microsoft.com/office/drawing/2014/main" id="{00000000-0008-0000-2000-000068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1" name="368 CuadroTexto">
          <a:extLst>
            <a:ext uri="{FF2B5EF4-FFF2-40B4-BE49-F238E27FC236}">
              <a16:creationId xmlns:a16="http://schemas.microsoft.com/office/drawing/2014/main" id="{00000000-0008-0000-2000-000069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2" name="369 CuadroTexto">
          <a:extLst>
            <a:ext uri="{FF2B5EF4-FFF2-40B4-BE49-F238E27FC236}">
              <a16:creationId xmlns:a16="http://schemas.microsoft.com/office/drawing/2014/main" id="{00000000-0008-0000-2000-00006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3" name="370 CuadroTexto">
          <a:extLst>
            <a:ext uri="{FF2B5EF4-FFF2-40B4-BE49-F238E27FC236}">
              <a16:creationId xmlns:a16="http://schemas.microsoft.com/office/drawing/2014/main" id="{00000000-0008-0000-2000-00006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4" name="371 CuadroTexto">
          <a:extLst>
            <a:ext uri="{FF2B5EF4-FFF2-40B4-BE49-F238E27FC236}">
              <a16:creationId xmlns:a16="http://schemas.microsoft.com/office/drawing/2014/main" id="{00000000-0008-0000-2000-00006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5" name="372 CuadroTexto">
          <a:extLst>
            <a:ext uri="{FF2B5EF4-FFF2-40B4-BE49-F238E27FC236}">
              <a16:creationId xmlns:a16="http://schemas.microsoft.com/office/drawing/2014/main" id="{00000000-0008-0000-2000-00006D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6" name="373 CuadroTexto">
          <a:extLst>
            <a:ext uri="{FF2B5EF4-FFF2-40B4-BE49-F238E27FC236}">
              <a16:creationId xmlns:a16="http://schemas.microsoft.com/office/drawing/2014/main" id="{00000000-0008-0000-2000-00006E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7" name="374 CuadroTexto">
          <a:extLst>
            <a:ext uri="{FF2B5EF4-FFF2-40B4-BE49-F238E27FC236}">
              <a16:creationId xmlns:a16="http://schemas.microsoft.com/office/drawing/2014/main" id="{00000000-0008-0000-2000-00006F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8" name="375 CuadroTexto">
          <a:extLst>
            <a:ext uri="{FF2B5EF4-FFF2-40B4-BE49-F238E27FC236}">
              <a16:creationId xmlns:a16="http://schemas.microsoft.com/office/drawing/2014/main" id="{00000000-0008-0000-2000-000070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9" name="376 CuadroTexto">
          <a:extLst>
            <a:ext uri="{FF2B5EF4-FFF2-40B4-BE49-F238E27FC236}">
              <a16:creationId xmlns:a16="http://schemas.microsoft.com/office/drawing/2014/main" id="{00000000-0008-0000-2000-000071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0" name="377 CuadroTexto">
          <a:extLst>
            <a:ext uri="{FF2B5EF4-FFF2-40B4-BE49-F238E27FC236}">
              <a16:creationId xmlns:a16="http://schemas.microsoft.com/office/drawing/2014/main" id="{00000000-0008-0000-2000-000072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1" name="378 CuadroTexto">
          <a:extLst>
            <a:ext uri="{FF2B5EF4-FFF2-40B4-BE49-F238E27FC236}">
              <a16:creationId xmlns:a16="http://schemas.microsoft.com/office/drawing/2014/main" id="{00000000-0008-0000-2000-000073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2" name="379 CuadroTexto">
          <a:extLst>
            <a:ext uri="{FF2B5EF4-FFF2-40B4-BE49-F238E27FC236}">
              <a16:creationId xmlns:a16="http://schemas.microsoft.com/office/drawing/2014/main" id="{00000000-0008-0000-2000-000074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3" name="380 CuadroTexto">
          <a:extLst>
            <a:ext uri="{FF2B5EF4-FFF2-40B4-BE49-F238E27FC236}">
              <a16:creationId xmlns:a16="http://schemas.microsoft.com/office/drawing/2014/main" id="{00000000-0008-0000-2000-000075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4" name="381 CuadroTexto">
          <a:extLst>
            <a:ext uri="{FF2B5EF4-FFF2-40B4-BE49-F238E27FC236}">
              <a16:creationId xmlns:a16="http://schemas.microsoft.com/office/drawing/2014/main" id="{00000000-0008-0000-2000-000076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5" name="382 CuadroTexto">
          <a:extLst>
            <a:ext uri="{FF2B5EF4-FFF2-40B4-BE49-F238E27FC236}">
              <a16:creationId xmlns:a16="http://schemas.microsoft.com/office/drawing/2014/main" id="{00000000-0008-0000-2000-000077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6" name="383 CuadroTexto">
          <a:extLst>
            <a:ext uri="{FF2B5EF4-FFF2-40B4-BE49-F238E27FC236}">
              <a16:creationId xmlns:a16="http://schemas.microsoft.com/office/drawing/2014/main" id="{00000000-0008-0000-2000-000078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7" name="384 CuadroTexto">
          <a:extLst>
            <a:ext uri="{FF2B5EF4-FFF2-40B4-BE49-F238E27FC236}">
              <a16:creationId xmlns:a16="http://schemas.microsoft.com/office/drawing/2014/main" id="{00000000-0008-0000-2000-000079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8" name="385 CuadroTexto">
          <a:extLst>
            <a:ext uri="{FF2B5EF4-FFF2-40B4-BE49-F238E27FC236}">
              <a16:creationId xmlns:a16="http://schemas.microsoft.com/office/drawing/2014/main" id="{00000000-0008-0000-2000-00007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9" name="386 CuadroTexto">
          <a:extLst>
            <a:ext uri="{FF2B5EF4-FFF2-40B4-BE49-F238E27FC236}">
              <a16:creationId xmlns:a16="http://schemas.microsoft.com/office/drawing/2014/main" id="{00000000-0008-0000-2000-00007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0" name="387 CuadroTexto">
          <a:extLst>
            <a:ext uri="{FF2B5EF4-FFF2-40B4-BE49-F238E27FC236}">
              <a16:creationId xmlns:a16="http://schemas.microsoft.com/office/drawing/2014/main" id="{00000000-0008-0000-2000-00007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1" name="388 CuadroTexto">
          <a:extLst>
            <a:ext uri="{FF2B5EF4-FFF2-40B4-BE49-F238E27FC236}">
              <a16:creationId xmlns:a16="http://schemas.microsoft.com/office/drawing/2014/main" id="{00000000-0008-0000-2000-00007D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2" name="389 CuadroTexto">
          <a:extLst>
            <a:ext uri="{FF2B5EF4-FFF2-40B4-BE49-F238E27FC236}">
              <a16:creationId xmlns:a16="http://schemas.microsoft.com/office/drawing/2014/main" id="{00000000-0008-0000-2000-00007E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3" name="390 CuadroTexto">
          <a:extLst>
            <a:ext uri="{FF2B5EF4-FFF2-40B4-BE49-F238E27FC236}">
              <a16:creationId xmlns:a16="http://schemas.microsoft.com/office/drawing/2014/main" id="{00000000-0008-0000-2000-00007F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4" name="391 CuadroTexto">
          <a:extLst>
            <a:ext uri="{FF2B5EF4-FFF2-40B4-BE49-F238E27FC236}">
              <a16:creationId xmlns:a16="http://schemas.microsoft.com/office/drawing/2014/main" id="{00000000-0008-0000-2000-000080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5" name="392 CuadroTexto">
          <a:extLst>
            <a:ext uri="{FF2B5EF4-FFF2-40B4-BE49-F238E27FC236}">
              <a16:creationId xmlns:a16="http://schemas.microsoft.com/office/drawing/2014/main" id="{00000000-0008-0000-2000-000081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6" name="393 CuadroTexto">
          <a:extLst>
            <a:ext uri="{FF2B5EF4-FFF2-40B4-BE49-F238E27FC236}">
              <a16:creationId xmlns:a16="http://schemas.microsoft.com/office/drawing/2014/main" id="{00000000-0008-0000-2000-000082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7" name="394 CuadroTexto">
          <a:extLst>
            <a:ext uri="{FF2B5EF4-FFF2-40B4-BE49-F238E27FC236}">
              <a16:creationId xmlns:a16="http://schemas.microsoft.com/office/drawing/2014/main" id="{00000000-0008-0000-2000-000083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8" name="395 CuadroTexto">
          <a:extLst>
            <a:ext uri="{FF2B5EF4-FFF2-40B4-BE49-F238E27FC236}">
              <a16:creationId xmlns:a16="http://schemas.microsoft.com/office/drawing/2014/main" id="{00000000-0008-0000-2000-000084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 name="396 CuadroTexto">
          <a:extLst>
            <a:ext uri="{FF2B5EF4-FFF2-40B4-BE49-F238E27FC236}">
              <a16:creationId xmlns:a16="http://schemas.microsoft.com/office/drawing/2014/main" id="{00000000-0008-0000-2000-000085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0" name="397 CuadroTexto">
          <a:extLst>
            <a:ext uri="{FF2B5EF4-FFF2-40B4-BE49-F238E27FC236}">
              <a16:creationId xmlns:a16="http://schemas.microsoft.com/office/drawing/2014/main" id="{00000000-0008-0000-2000-000086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1" name="398 CuadroTexto">
          <a:extLst>
            <a:ext uri="{FF2B5EF4-FFF2-40B4-BE49-F238E27FC236}">
              <a16:creationId xmlns:a16="http://schemas.microsoft.com/office/drawing/2014/main" id="{00000000-0008-0000-2000-000087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2" name="399 CuadroTexto">
          <a:extLst>
            <a:ext uri="{FF2B5EF4-FFF2-40B4-BE49-F238E27FC236}">
              <a16:creationId xmlns:a16="http://schemas.microsoft.com/office/drawing/2014/main" id="{00000000-0008-0000-2000-000088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3" name="400 CuadroTexto">
          <a:extLst>
            <a:ext uri="{FF2B5EF4-FFF2-40B4-BE49-F238E27FC236}">
              <a16:creationId xmlns:a16="http://schemas.microsoft.com/office/drawing/2014/main" id="{00000000-0008-0000-2000-000089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4" name="401 CuadroTexto">
          <a:extLst>
            <a:ext uri="{FF2B5EF4-FFF2-40B4-BE49-F238E27FC236}">
              <a16:creationId xmlns:a16="http://schemas.microsoft.com/office/drawing/2014/main" id="{00000000-0008-0000-2000-00008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5" name="402 CuadroTexto">
          <a:extLst>
            <a:ext uri="{FF2B5EF4-FFF2-40B4-BE49-F238E27FC236}">
              <a16:creationId xmlns:a16="http://schemas.microsoft.com/office/drawing/2014/main" id="{00000000-0008-0000-2000-00008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6" name="403 CuadroTexto">
          <a:extLst>
            <a:ext uri="{FF2B5EF4-FFF2-40B4-BE49-F238E27FC236}">
              <a16:creationId xmlns:a16="http://schemas.microsoft.com/office/drawing/2014/main" id="{00000000-0008-0000-2000-00008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7" name="404 CuadroTexto">
          <a:extLst>
            <a:ext uri="{FF2B5EF4-FFF2-40B4-BE49-F238E27FC236}">
              <a16:creationId xmlns:a16="http://schemas.microsoft.com/office/drawing/2014/main" id="{00000000-0008-0000-2000-00008D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8" name="405 CuadroTexto">
          <a:extLst>
            <a:ext uri="{FF2B5EF4-FFF2-40B4-BE49-F238E27FC236}">
              <a16:creationId xmlns:a16="http://schemas.microsoft.com/office/drawing/2014/main" id="{00000000-0008-0000-2000-00008E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9" name="406 CuadroTexto">
          <a:extLst>
            <a:ext uri="{FF2B5EF4-FFF2-40B4-BE49-F238E27FC236}">
              <a16:creationId xmlns:a16="http://schemas.microsoft.com/office/drawing/2014/main" id="{00000000-0008-0000-2000-00008F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0" name="407 CuadroTexto">
          <a:extLst>
            <a:ext uri="{FF2B5EF4-FFF2-40B4-BE49-F238E27FC236}">
              <a16:creationId xmlns:a16="http://schemas.microsoft.com/office/drawing/2014/main" id="{00000000-0008-0000-2000-000090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1" name="408 CuadroTexto">
          <a:extLst>
            <a:ext uri="{FF2B5EF4-FFF2-40B4-BE49-F238E27FC236}">
              <a16:creationId xmlns:a16="http://schemas.microsoft.com/office/drawing/2014/main" id="{00000000-0008-0000-2000-000091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2" name="409 CuadroTexto">
          <a:extLst>
            <a:ext uri="{FF2B5EF4-FFF2-40B4-BE49-F238E27FC236}">
              <a16:creationId xmlns:a16="http://schemas.microsoft.com/office/drawing/2014/main" id="{00000000-0008-0000-2000-000092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3" name="410 CuadroTexto">
          <a:extLst>
            <a:ext uri="{FF2B5EF4-FFF2-40B4-BE49-F238E27FC236}">
              <a16:creationId xmlns:a16="http://schemas.microsoft.com/office/drawing/2014/main" id="{00000000-0008-0000-2000-000093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4" name="411 CuadroTexto">
          <a:extLst>
            <a:ext uri="{FF2B5EF4-FFF2-40B4-BE49-F238E27FC236}">
              <a16:creationId xmlns:a16="http://schemas.microsoft.com/office/drawing/2014/main" id="{00000000-0008-0000-2000-000094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5" name="412 CuadroTexto">
          <a:extLst>
            <a:ext uri="{FF2B5EF4-FFF2-40B4-BE49-F238E27FC236}">
              <a16:creationId xmlns:a16="http://schemas.microsoft.com/office/drawing/2014/main" id="{00000000-0008-0000-2000-000095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6" name="413 CuadroTexto">
          <a:extLst>
            <a:ext uri="{FF2B5EF4-FFF2-40B4-BE49-F238E27FC236}">
              <a16:creationId xmlns:a16="http://schemas.microsoft.com/office/drawing/2014/main" id="{00000000-0008-0000-2000-000096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7" name="414 CuadroTexto">
          <a:extLst>
            <a:ext uri="{FF2B5EF4-FFF2-40B4-BE49-F238E27FC236}">
              <a16:creationId xmlns:a16="http://schemas.microsoft.com/office/drawing/2014/main" id="{00000000-0008-0000-2000-000097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8" name="415 CuadroTexto">
          <a:extLst>
            <a:ext uri="{FF2B5EF4-FFF2-40B4-BE49-F238E27FC236}">
              <a16:creationId xmlns:a16="http://schemas.microsoft.com/office/drawing/2014/main" id="{00000000-0008-0000-2000-000098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9" name="416 CuadroTexto">
          <a:extLst>
            <a:ext uri="{FF2B5EF4-FFF2-40B4-BE49-F238E27FC236}">
              <a16:creationId xmlns:a16="http://schemas.microsoft.com/office/drawing/2014/main" id="{00000000-0008-0000-2000-000099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0" name="417 CuadroTexto">
          <a:extLst>
            <a:ext uri="{FF2B5EF4-FFF2-40B4-BE49-F238E27FC236}">
              <a16:creationId xmlns:a16="http://schemas.microsoft.com/office/drawing/2014/main" id="{00000000-0008-0000-2000-00009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1" name="418 CuadroTexto">
          <a:extLst>
            <a:ext uri="{FF2B5EF4-FFF2-40B4-BE49-F238E27FC236}">
              <a16:creationId xmlns:a16="http://schemas.microsoft.com/office/drawing/2014/main" id="{00000000-0008-0000-2000-00009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2" name="419 CuadroTexto">
          <a:extLst>
            <a:ext uri="{FF2B5EF4-FFF2-40B4-BE49-F238E27FC236}">
              <a16:creationId xmlns:a16="http://schemas.microsoft.com/office/drawing/2014/main" id="{00000000-0008-0000-2000-00009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3" name="420 CuadroTexto">
          <a:extLst>
            <a:ext uri="{FF2B5EF4-FFF2-40B4-BE49-F238E27FC236}">
              <a16:creationId xmlns:a16="http://schemas.microsoft.com/office/drawing/2014/main" id="{00000000-0008-0000-2000-00009D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4" name="421 CuadroTexto">
          <a:extLst>
            <a:ext uri="{FF2B5EF4-FFF2-40B4-BE49-F238E27FC236}">
              <a16:creationId xmlns:a16="http://schemas.microsoft.com/office/drawing/2014/main" id="{00000000-0008-0000-2000-00009E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5" name="422 CuadroTexto">
          <a:extLst>
            <a:ext uri="{FF2B5EF4-FFF2-40B4-BE49-F238E27FC236}">
              <a16:creationId xmlns:a16="http://schemas.microsoft.com/office/drawing/2014/main" id="{00000000-0008-0000-2000-00009F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16" name="423 CuadroTexto">
          <a:extLst>
            <a:ext uri="{FF2B5EF4-FFF2-40B4-BE49-F238E27FC236}">
              <a16:creationId xmlns:a16="http://schemas.microsoft.com/office/drawing/2014/main" id="{00000000-0008-0000-2000-0000A0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7" name="424 CuadroTexto">
          <a:extLst>
            <a:ext uri="{FF2B5EF4-FFF2-40B4-BE49-F238E27FC236}">
              <a16:creationId xmlns:a16="http://schemas.microsoft.com/office/drawing/2014/main" id="{00000000-0008-0000-2000-0000A1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8" name="425 CuadroTexto">
          <a:extLst>
            <a:ext uri="{FF2B5EF4-FFF2-40B4-BE49-F238E27FC236}">
              <a16:creationId xmlns:a16="http://schemas.microsoft.com/office/drawing/2014/main" id="{00000000-0008-0000-2000-0000A2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9" name="426 CuadroTexto">
          <a:extLst>
            <a:ext uri="{FF2B5EF4-FFF2-40B4-BE49-F238E27FC236}">
              <a16:creationId xmlns:a16="http://schemas.microsoft.com/office/drawing/2014/main" id="{00000000-0008-0000-2000-0000A3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0" name="427 CuadroTexto">
          <a:extLst>
            <a:ext uri="{FF2B5EF4-FFF2-40B4-BE49-F238E27FC236}">
              <a16:creationId xmlns:a16="http://schemas.microsoft.com/office/drawing/2014/main" id="{00000000-0008-0000-2000-0000A4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1" name="428 CuadroTexto">
          <a:extLst>
            <a:ext uri="{FF2B5EF4-FFF2-40B4-BE49-F238E27FC236}">
              <a16:creationId xmlns:a16="http://schemas.microsoft.com/office/drawing/2014/main" id="{00000000-0008-0000-2000-0000A5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2" name="429 CuadroTexto">
          <a:extLst>
            <a:ext uri="{FF2B5EF4-FFF2-40B4-BE49-F238E27FC236}">
              <a16:creationId xmlns:a16="http://schemas.microsoft.com/office/drawing/2014/main" id="{00000000-0008-0000-2000-0000A6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3" name="430 CuadroTexto">
          <a:extLst>
            <a:ext uri="{FF2B5EF4-FFF2-40B4-BE49-F238E27FC236}">
              <a16:creationId xmlns:a16="http://schemas.microsoft.com/office/drawing/2014/main" id="{00000000-0008-0000-2000-0000A7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4" name="431 CuadroTexto">
          <a:extLst>
            <a:ext uri="{FF2B5EF4-FFF2-40B4-BE49-F238E27FC236}">
              <a16:creationId xmlns:a16="http://schemas.microsoft.com/office/drawing/2014/main" id="{00000000-0008-0000-2000-0000A8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5" name="432 CuadroTexto">
          <a:extLst>
            <a:ext uri="{FF2B5EF4-FFF2-40B4-BE49-F238E27FC236}">
              <a16:creationId xmlns:a16="http://schemas.microsoft.com/office/drawing/2014/main" id="{00000000-0008-0000-2000-0000A9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6" name="433 CuadroTexto">
          <a:extLst>
            <a:ext uri="{FF2B5EF4-FFF2-40B4-BE49-F238E27FC236}">
              <a16:creationId xmlns:a16="http://schemas.microsoft.com/office/drawing/2014/main" id="{00000000-0008-0000-2000-0000AA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7" name="434 CuadroTexto">
          <a:extLst>
            <a:ext uri="{FF2B5EF4-FFF2-40B4-BE49-F238E27FC236}">
              <a16:creationId xmlns:a16="http://schemas.microsoft.com/office/drawing/2014/main" id="{00000000-0008-0000-2000-0000AB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8" name="435 CuadroTexto">
          <a:extLst>
            <a:ext uri="{FF2B5EF4-FFF2-40B4-BE49-F238E27FC236}">
              <a16:creationId xmlns:a16="http://schemas.microsoft.com/office/drawing/2014/main" id="{00000000-0008-0000-2000-0000AC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9" name="436 CuadroTexto">
          <a:extLst>
            <a:ext uri="{FF2B5EF4-FFF2-40B4-BE49-F238E27FC236}">
              <a16:creationId xmlns:a16="http://schemas.microsoft.com/office/drawing/2014/main" id="{00000000-0008-0000-2000-0000AD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0" name="437 CuadroTexto">
          <a:extLst>
            <a:ext uri="{FF2B5EF4-FFF2-40B4-BE49-F238E27FC236}">
              <a16:creationId xmlns:a16="http://schemas.microsoft.com/office/drawing/2014/main" id="{00000000-0008-0000-2000-0000AE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 name="438 CuadroTexto">
          <a:extLst>
            <a:ext uri="{FF2B5EF4-FFF2-40B4-BE49-F238E27FC236}">
              <a16:creationId xmlns:a16="http://schemas.microsoft.com/office/drawing/2014/main" id="{00000000-0008-0000-2000-0000AF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 name="439 CuadroTexto">
          <a:extLst>
            <a:ext uri="{FF2B5EF4-FFF2-40B4-BE49-F238E27FC236}">
              <a16:creationId xmlns:a16="http://schemas.microsoft.com/office/drawing/2014/main" id="{00000000-0008-0000-2000-0000B001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3" name="440 CuadroTexto">
          <a:extLst>
            <a:ext uri="{FF2B5EF4-FFF2-40B4-BE49-F238E27FC236}">
              <a16:creationId xmlns:a16="http://schemas.microsoft.com/office/drawing/2014/main" id="{00000000-0008-0000-2000-0000B1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 name="441 CuadroTexto">
          <a:extLst>
            <a:ext uri="{FF2B5EF4-FFF2-40B4-BE49-F238E27FC236}">
              <a16:creationId xmlns:a16="http://schemas.microsoft.com/office/drawing/2014/main" id="{00000000-0008-0000-2000-0000B2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5" name="442 CuadroTexto">
          <a:extLst>
            <a:ext uri="{FF2B5EF4-FFF2-40B4-BE49-F238E27FC236}">
              <a16:creationId xmlns:a16="http://schemas.microsoft.com/office/drawing/2014/main" id="{00000000-0008-0000-2000-0000B3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6" name="443 CuadroTexto">
          <a:extLst>
            <a:ext uri="{FF2B5EF4-FFF2-40B4-BE49-F238E27FC236}">
              <a16:creationId xmlns:a16="http://schemas.microsoft.com/office/drawing/2014/main" id="{00000000-0008-0000-2000-0000B4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7" name="444 CuadroTexto">
          <a:extLst>
            <a:ext uri="{FF2B5EF4-FFF2-40B4-BE49-F238E27FC236}">
              <a16:creationId xmlns:a16="http://schemas.microsoft.com/office/drawing/2014/main" id="{00000000-0008-0000-2000-0000B5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8" name="445 CuadroTexto">
          <a:extLst>
            <a:ext uri="{FF2B5EF4-FFF2-40B4-BE49-F238E27FC236}">
              <a16:creationId xmlns:a16="http://schemas.microsoft.com/office/drawing/2014/main" id="{00000000-0008-0000-2000-0000B6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9" name="446 CuadroTexto">
          <a:extLst>
            <a:ext uri="{FF2B5EF4-FFF2-40B4-BE49-F238E27FC236}">
              <a16:creationId xmlns:a16="http://schemas.microsoft.com/office/drawing/2014/main" id="{00000000-0008-0000-2000-0000B7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0" name="447 CuadroTexto">
          <a:extLst>
            <a:ext uri="{FF2B5EF4-FFF2-40B4-BE49-F238E27FC236}">
              <a16:creationId xmlns:a16="http://schemas.microsoft.com/office/drawing/2014/main" id="{00000000-0008-0000-2000-0000B8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1" name="448 CuadroTexto">
          <a:extLst>
            <a:ext uri="{FF2B5EF4-FFF2-40B4-BE49-F238E27FC236}">
              <a16:creationId xmlns:a16="http://schemas.microsoft.com/office/drawing/2014/main" id="{00000000-0008-0000-2000-0000B9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2" name="449 CuadroTexto">
          <a:extLst>
            <a:ext uri="{FF2B5EF4-FFF2-40B4-BE49-F238E27FC236}">
              <a16:creationId xmlns:a16="http://schemas.microsoft.com/office/drawing/2014/main" id="{00000000-0008-0000-2000-0000BA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3" name="450 CuadroTexto">
          <a:extLst>
            <a:ext uri="{FF2B5EF4-FFF2-40B4-BE49-F238E27FC236}">
              <a16:creationId xmlns:a16="http://schemas.microsoft.com/office/drawing/2014/main" id="{00000000-0008-0000-2000-0000BB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4" name="451 CuadroTexto">
          <a:extLst>
            <a:ext uri="{FF2B5EF4-FFF2-40B4-BE49-F238E27FC236}">
              <a16:creationId xmlns:a16="http://schemas.microsoft.com/office/drawing/2014/main" id="{00000000-0008-0000-2000-0000BC01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 name="17 CuadroTexto">
          <a:extLst>
            <a:ext uri="{FF2B5EF4-FFF2-40B4-BE49-F238E27FC236}">
              <a16:creationId xmlns:a16="http://schemas.microsoft.com/office/drawing/2014/main" id="{00000000-0008-0000-2000-0000B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46" name="90 CuadroTexto">
          <a:extLst>
            <a:ext uri="{FF2B5EF4-FFF2-40B4-BE49-F238E27FC236}">
              <a16:creationId xmlns:a16="http://schemas.microsoft.com/office/drawing/2014/main" id="{00000000-0008-0000-2000-0000BE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7" name="91 CuadroTexto">
          <a:extLst>
            <a:ext uri="{FF2B5EF4-FFF2-40B4-BE49-F238E27FC236}">
              <a16:creationId xmlns:a16="http://schemas.microsoft.com/office/drawing/2014/main" id="{00000000-0008-0000-2000-0000BF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8" name="92 CuadroTexto">
          <a:extLst>
            <a:ext uri="{FF2B5EF4-FFF2-40B4-BE49-F238E27FC236}">
              <a16:creationId xmlns:a16="http://schemas.microsoft.com/office/drawing/2014/main" id="{00000000-0008-0000-2000-0000C0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9" name="93 CuadroTexto">
          <a:extLst>
            <a:ext uri="{FF2B5EF4-FFF2-40B4-BE49-F238E27FC236}">
              <a16:creationId xmlns:a16="http://schemas.microsoft.com/office/drawing/2014/main" id="{00000000-0008-0000-2000-0000C1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0" name="94 CuadroTexto">
          <a:extLst>
            <a:ext uri="{FF2B5EF4-FFF2-40B4-BE49-F238E27FC236}">
              <a16:creationId xmlns:a16="http://schemas.microsoft.com/office/drawing/2014/main" id="{00000000-0008-0000-2000-0000C2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 name="95 CuadroTexto">
          <a:extLst>
            <a:ext uri="{FF2B5EF4-FFF2-40B4-BE49-F238E27FC236}">
              <a16:creationId xmlns:a16="http://schemas.microsoft.com/office/drawing/2014/main" id="{00000000-0008-0000-2000-0000C3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 name="96 CuadroTexto">
          <a:extLst>
            <a:ext uri="{FF2B5EF4-FFF2-40B4-BE49-F238E27FC236}">
              <a16:creationId xmlns:a16="http://schemas.microsoft.com/office/drawing/2014/main" id="{00000000-0008-0000-2000-0000C4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3" name="97 CuadroTexto">
          <a:extLst>
            <a:ext uri="{FF2B5EF4-FFF2-40B4-BE49-F238E27FC236}">
              <a16:creationId xmlns:a16="http://schemas.microsoft.com/office/drawing/2014/main" id="{00000000-0008-0000-2000-0000C5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4" name="98 CuadroTexto">
          <a:extLst>
            <a:ext uri="{FF2B5EF4-FFF2-40B4-BE49-F238E27FC236}">
              <a16:creationId xmlns:a16="http://schemas.microsoft.com/office/drawing/2014/main" id="{00000000-0008-0000-2000-0000C6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5" name="99 CuadroTexto">
          <a:extLst>
            <a:ext uri="{FF2B5EF4-FFF2-40B4-BE49-F238E27FC236}">
              <a16:creationId xmlns:a16="http://schemas.microsoft.com/office/drawing/2014/main" id="{00000000-0008-0000-2000-0000C7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6" name="100 CuadroTexto">
          <a:extLst>
            <a:ext uri="{FF2B5EF4-FFF2-40B4-BE49-F238E27FC236}">
              <a16:creationId xmlns:a16="http://schemas.microsoft.com/office/drawing/2014/main" id="{00000000-0008-0000-2000-0000C8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7" name="101 CuadroTexto">
          <a:extLst>
            <a:ext uri="{FF2B5EF4-FFF2-40B4-BE49-F238E27FC236}">
              <a16:creationId xmlns:a16="http://schemas.microsoft.com/office/drawing/2014/main" id="{00000000-0008-0000-2000-0000C9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8" name="118 CuadroTexto">
          <a:extLst>
            <a:ext uri="{FF2B5EF4-FFF2-40B4-BE49-F238E27FC236}">
              <a16:creationId xmlns:a16="http://schemas.microsoft.com/office/drawing/2014/main" id="{00000000-0008-0000-2000-0000C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 name="119 CuadroTexto">
          <a:extLst>
            <a:ext uri="{FF2B5EF4-FFF2-40B4-BE49-F238E27FC236}">
              <a16:creationId xmlns:a16="http://schemas.microsoft.com/office/drawing/2014/main" id="{00000000-0008-0000-2000-0000C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 name="120 CuadroTexto">
          <a:extLst>
            <a:ext uri="{FF2B5EF4-FFF2-40B4-BE49-F238E27FC236}">
              <a16:creationId xmlns:a16="http://schemas.microsoft.com/office/drawing/2014/main" id="{00000000-0008-0000-2000-0000C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 name="121 CuadroTexto">
          <a:extLst>
            <a:ext uri="{FF2B5EF4-FFF2-40B4-BE49-F238E27FC236}">
              <a16:creationId xmlns:a16="http://schemas.microsoft.com/office/drawing/2014/main" id="{00000000-0008-0000-2000-0000C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 name="122 CuadroTexto">
          <a:extLst>
            <a:ext uri="{FF2B5EF4-FFF2-40B4-BE49-F238E27FC236}">
              <a16:creationId xmlns:a16="http://schemas.microsoft.com/office/drawing/2014/main" id="{00000000-0008-0000-2000-0000C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 name="123 CuadroTexto">
          <a:extLst>
            <a:ext uri="{FF2B5EF4-FFF2-40B4-BE49-F238E27FC236}">
              <a16:creationId xmlns:a16="http://schemas.microsoft.com/office/drawing/2014/main" id="{00000000-0008-0000-2000-0000C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 name="124 CuadroTexto">
          <a:extLst>
            <a:ext uri="{FF2B5EF4-FFF2-40B4-BE49-F238E27FC236}">
              <a16:creationId xmlns:a16="http://schemas.microsoft.com/office/drawing/2014/main" id="{00000000-0008-0000-2000-0000D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 name="125 CuadroTexto">
          <a:extLst>
            <a:ext uri="{FF2B5EF4-FFF2-40B4-BE49-F238E27FC236}">
              <a16:creationId xmlns:a16="http://schemas.microsoft.com/office/drawing/2014/main" id="{00000000-0008-0000-2000-0000D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 name="143 CuadroTexto">
          <a:extLst>
            <a:ext uri="{FF2B5EF4-FFF2-40B4-BE49-F238E27FC236}">
              <a16:creationId xmlns:a16="http://schemas.microsoft.com/office/drawing/2014/main" id="{00000000-0008-0000-2000-0000D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7" name="144 CuadroTexto">
          <a:extLst>
            <a:ext uri="{FF2B5EF4-FFF2-40B4-BE49-F238E27FC236}">
              <a16:creationId xmlns:a16="http://schemas.microsoft.com/office/drawing/2014/main" id="{00000000-0008-0000-2000-0000D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 name="145 CuadroTexto">
          <a:extLst>
            <a:ext uri="{FF2B5EF4-FFF2-40B4-BE49-F238E27FC236}">
              <a16:creationId xmlns:a16="http://schemas.microsoft.com/office/drawing/2014/main" id="{00000000-0008-0000-2000-0000D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 name="146 CuadroTexto">
          <a:extLst>
            <a:ext uri="{FF2B5EF4-FFF2-40B4-BE49-F238E27FC236}">
              <a16:creationId xmlns:a16="http://schemas.microsoft.com/office/drawing/2014/main" id="{00000000-0008-0000-2000-0000D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 name="147 CuadroTexto">
          <a:extLst>
            <a:ext uri="{FF2B5EF4-FFF2-40B4-BE49-F238E27FC236}">
              <a16:creationId xmlns:a16="http://schemas.microsoft.com/office/drawing/2014/main" id="{00000000-0008-0000-2000-0000D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 name="148 CuadroTexto">
          <a:extLst>
            <a:ext uri="{FF2B5EF4-FFF2-40B4-BE49-F238E27FC236}">
              <a16:creationId xmlns:a16="http://schemas.microsoft.com/office/drawing/2014/main" id="{00000000-0008-0000-2000-0000D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 name="149 CuadroTexto">
          <a:extLst>
            <a:ext uri="{FF2B5EF4-FFF2-40B4-BE49-F238E27FC236}">
              <a16:creationId xmlns:a16="http://schemas.microsoft.com/office/drawing/2014/main" id="{00000000-0008-0000-2000-0000D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 name="150 CuadroTexto">
          <a:extLst>
            <a:ext uri="{FF2B5EF4-FFF2-40B4-BE49-F238E27FC236}">
              <a16:creationId xmlns:a16="http://schemas.microsoft.com/office/drawing/2014/main" id="{00000000-0008-0000-2000-0000D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 name="151 CuadroTexto">
          <a:extLst>
            <a:ext uri="{FF2B5EF4-FFF2-40B4-BE49-F238E27FC236}">
              <a16:creationId xmlns:a16="http://schemas.microsoft.com/office/drawing/2014/main" id="{00000000-0008-0000-2000-0000D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 name="152 CuadroTexto">
          <a:extLst>
            <a:ext uri="{FF2B5EF4-FFF2-40B4-BE49-F238E27FC236}">
              <a16:creationId xmlns:a16="http://schemas.microsoft.com/office/drawing/2014/main" id="{00000000-0008-0000-2000-0000D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 name="153 CuadroTexto">
          <a:extLst>
            <a:ext uri="{FF2B5EF4-FFF2-40B4-BE49-F238E27FC236}">
              <a16:creationId xmlns:a16="http://schemas.microsoft.com/office/drawing/2014/main" id="{00000000-0008-0000-2000-0000D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 name="154 CuadroTexto">
          <a:extLst>
            <a:ext uri="{FF2B5EF4-FFF2-40B4-BE49-F238E27FC236}">
              <a16:creationId xmlns:a16="http://schemas.microsoft.com/office/drawing/2014/main" id="{00000000-0008-0000-2000-0000D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 name="155 CuadroTexto">
          <a:extLst>
            <a:ext uri="{FF2B5EF4-FFF2-40B4-BE49-F238E27FC236}">
              <a16:creationId xmlns:a16="http://schemas.microsoft.com/office/drawing/2014/main" id="{00000000-0008-0000-2000-0000D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 name="156 CuadroTexto">
          <a:extLst>
            <a:ext uri="{FF2B5EF4-FFF2-40B4-BE49-F238E27FC236}">
              <a16:creationId xmlns:a16="http://schemas.microsoft.com/office/drawing/2014/main" id="{00000000-0008-0000-2000-0000D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 name="157 CuadroTexto">
          <a:extLst>
            <a:ext uri="{FF2B5EF4-FFF2-40B4-BE49-F238E27FC236}">
              <a16:creationId xmlns:a16="http://schemas.microsoft.com/office/drawing/2014/main" id="{00000000-0008-0000-2000-0000E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 name="158 CuadroTexto">
          <a:extLst>
            <a:ext uri="{FF2B5EF4-FFF2-40B4-BE49-F238E27FC236}">
              <a16:creationId xmlns:a16="http://schemas.microsoft.com/office/drawing/2014/main" id="{00000000-0008-0000-2000-0000E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 name="159 CuadroTexto">
          <a:extLst>
            <a:ext uri="{FF2B5EF4-FFF2-40B4-BE49-F238E27FC236}">
              <a16:creationId xmlns:a16="http://schemas.microsoft.com/office/drawing/2014/main" id="{00000000-0008-0000-2000-0000E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 name="160 CuadroTexto">
          <a:extLst>
            <a:ext uri="{FF2B5EF4-FFF2-40B4-BE49-F238E27FC236}">
              <a16:creationId xmlns:a16="http://schemas.microsoft.com/office/drawing/2014/main" id="{00000000-0008-0000-2000-0000E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 name="161 CuadroTexto">
          <a:extLst>
            <a:ext uri="{FF2B5EF4-FFF2-40B4-BE49-F238E27FC236}">
              <a16:creationId xmlns:a16="http://schemas.microsoft.com/office/drawing/2014/main" id="{00000000-0008-0000-2000-0000E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5" name="162 CuadroTexto">
          <a:extLst>
            <a:ext uri="{FF2B5EF4-FFF2-40B4-BE49-F238E27FC236}">
              <a16:creationId xmlns:a16="http://schemas.microsoft.com/office/drawing/2014/main" id="{00000000-0008-0000-2000-0000E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 name="163 CuadroTexto">
          <a:extLst>
            <a:ext uri="{FF2B5EF4-FFF2-40B4-BE49-F238E27FC236}">
              <a16:creationId xmlns:a16="http://schemas.microsoft.com/office/drawing/2014/main" id="{00000000-0008-0000-2000-0000E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 name="164 CuadroTexto">
          <a:extLst>
            <a:ext uri="{FF2B5EF4-FFF2-40B4-BE49-F238E27FC236}">
              <a16:creationId xmlns:a16="http://schemas.microsoft.com/office/drawing/2014/main" id="{00000000-0008-0000-2000-0000E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 name="165 CuadroTexto">
          <a:extLst>
            <a:ext uri="{FF2B5EF4-FFF2-40B4-BE49-F238E27FC236}">
              <a16:creationId xmlns:a16="http://schemas.microsoft.com/office/drawing/2014/main" id="{00000000-0008-0000-2000-0000E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 name="166 CuadroTexto">
          <a:extLst>
            <a:ext uri="{FF2B5EF4-FFF2-40B4-BE49-F238E27FC236}">
              <a16:creationId xmlns:a16="http://schemas.microsoft.com/office/drawing/2014/main" id="{00000000-0008-0000-2000-0000E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 name="167 CuadroTexto">
          <a:extLst>
            <a:ext uri="{FF2B5EF4-FFF2-40B4-BE49-F238E27FC236}">
              <a16:creationId xmlns:a16="http://schemas.microsoft.com/office/drawing/2014/main" id="{00000000-0008-0000-2000-0000E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 name="168 CuadroTexto">
          <a:extLst>
            <a:ext uri="{FF2B5EF4-FFF2-40B4-BE49-F238E27FC236}">
              <a16:creationId xmlns:a16="http://schemas.microsoft.com/office/drawing/2014/main" id="{00000000-0008-0000-2000-0000E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 name="169 CuadroTexto">
          <a:extLst>
            <a:ext uri="{FF2B5EF4-FFF2-40B4-BE49-F238E27FC236}">
              <a16:creationId xmlns:a16="http://schemas.microsoft.com/office/drawing/2014/main" id="{00000000-0008-0000-2000-0000E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 name="170 CuadroTexto">
          <a:extLst>
            <a:ext uri="{FF2B5EF4-FFF2-40B4-BE49-F238E27FC236}">
              <a16:creationId xmlns:a16="http://schemas.microsoft.com/office/drawing/2014/main" id="{00000000-0008-0000-2000-0000E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 name="171 CuadroTexto">
          <a:extLst>
            <a:ext uri="{FF2B5EF4-FFF2-40B4-BE49-F238E27FC236}">
              <a16:creationId xmlns:a16="http://schemas.microsoft.com/office/drawing/2014/main" id="{00000000-0008-0000-2000-0000E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 name="172 CuadroTexto">
          <a:extLst>
            <a:ext uri="{FF2B5EF4-FFF2-40B4-BE49-F238E27FC236}">
              <a16:creationId xmlns:a16="http://schemas.microsoft.com/office/drawing/2014/main" id="{00000000-0008-0000-2000-0000E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 name="173 CuadroTexto">
          <a:extLst>
            <a:ext uri="{FF2B5EF4-FFF2-40B4-BE49-F238E27FC236}">
              <a16:creationId xmlns:a16="http://schemas.microsoft.com/office/drawing/2014/main" id="{00000000-0008-0000-2000-0000F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 name="174 CuadroTexto">
          <a:extLst>
            <a:ext uri="{FF2B5EF4-FFF2-40B4-BE49-F238E27FC236}">
              <a16:creationId xmlns:a16="http://schemas.microsoft.com/office/drawing/2014/main" id="{00000000-0008-0000-2000-0000F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 name="175 CuadroTexto">
          <a:extLst>
            <a:ext uri="{FF2B5EF4-FFF2-40B4-BE49-F238E27FC236}">
              <a16:creationId xmlns:a16="http://schemas.microsoft.com/office/drawing/2014/main" id="{00000000-0008-0000-2000-0000F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 name="176 CuadroTexto">
          <a:extLst>
            <a:ext uri="{FF2B5EF4-FFF2-40B4-BE49-F238E27FC236}">
              <a16:creationId xmlns:a16="http://schemas.microsoft.com/office/drawing/2014/main" id="{00000000-0008-0000-2000-0000F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0" name="177 CuadroTexto">
          <a:extLst>
            <a:ext uri="{FF2B5EF4-FFF2-40B4-BE49-F238E27FC236}">
              <a16:creationId xmlns:a16="http://schemas.microsoft.com/office/drawing/2014/main" id="{00000000-0008-0000-2000-0000F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1" name="178 CuadroTexto">
          <a:extLst>
            <a:ext uri="{FF2B5EF4-FFF2-40B4-BE49-F238E27FC236}">
              <a16:creationId xmlns:a16="http://schemas.microsoft.com/office/drawing/2014/main" id="{00000000-0008-0000-2000-0000F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2" name="179 CuadroTexto">
          <a:extLst>
            <a:ext uri="{FF2B5EF4-FFF2-40B4-BE49-F238E27FC236}">
              <a16:creationId xmlns:a16="http://schemas.microsoft.com/office/drawing/2014/main" id="{00000000-0008-0000-2000-0000F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3" name="180 CuadroTexto">
          <a:extLst>
            <a:ext uri="{FF2B5EF4-FFF2-40B4-BE49-F238E27FC236}">
              <a16:creationId xmlns:a16="http://schemas.microsoft.com/office/drawing/2014/main" id="{00000000-0008-0000-2000-0000F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4" name="181 CuadroTexto">
          <a:extLst>
            <a:ext uri="{FF2B5EF4-FFF2-40B4-BE49-F238E27FC236}">
              <a16:creationId xmlns:a16="http://schemas.microsoft.com/office/drawing/2014/main" id="{00000000-0008-0000-2000-0000F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5" name="182 CuadroTexto">
          <a:extLst>
            <a:ext uri="{FF2B5EF4-FFF2-40B4-BE49-F238E27FC236}">
              <a16:creationId xmlns:a16="http://schemas.microsoft.com/office/drawing/2014/main" id="{00000000-0008-0000-2000-0000F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6" name="183 CuadroTexto">
          <a:extLst>
            <a:ext uri="{FF2B5EF4-FFF2-40B4-BE49-F238E27FC236}">
              <a16:creationId xmlns:a16="http://schemas.microsoft.com/office/drawing/2014/main" id="{00000000-0008-0000-2000-0000F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7" name="184 CuadroTexto">
          <a:extLst>
            <a:ext uri="{FF2B5EF4-FFF2-40B4-BE49-F238E27FC236}">
              <a16:creationId xmlns:a16="http://schemas.microsoft.com/office/drawing/2014/main" id="{00000000-0008-0000-2000-0000F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8" name="185 CuadroTexto">
          <a:extLst>
            <a:ext uri="{FF2B5EF4-FFF2-40B4-BE49-F238E27FC236}">
              <a16:creationId xmlns:a16="http://schemas.microsoft.com/office/drawing/2014/main" id="{00000000-0008-0000-2000-0000F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9" name="186 CuadroTexto">
          <a:extLst>
            <a:ext uri="{FF2B5EF4-FFF2-40B4-BE49-F238E27FC236}">
              <a16:creationId xmlns:a16="http://schemas.microsoft.com/office/drawing/2014/main" id="{00000000-0008-0000-2000-0000F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0" name="187 CuadroTexto">
          <a:extLst>
            <a:ext uri="{FF2B5EF4-FFF2-40B4-BE49-F238E27FC236}">
              <a16:creationId xmlns:a16="http://schemas.microsoft.com/office/drawing/2014/main" id="{00000000-0008-0000-2000-0000F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1" name="188 CuadroTexto">
          <a:extLst>
            <a:ext uri="{FF2B5EF4-FFF2-40B4-BE49-F238E27FC236}">
              <a16:creationId xmlns:a16="http://schemas.microsoft.com/office/drawing/2014/main" id="{00000000-0008-0000-2000-0000F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 name="189 CuadroTexto">
          <a:extLst>
            <a:ext uri="{FF2B5EF4-FFF2-40B4-BE49-F238E27FC236}">
              <a16:creationId xmlns:a16="http://schemas.microsoft.com/office/drawing/2014/main" id="{00000000-0008-0000-2000-00000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 name="190 CuadroTexto">
          <a:extLst>
            <a:ext uri="{FF2B5EF4-FFF2-40B4-BE49-F238E27FC236}">
              <a16:creationId xmlns:a16="http://schemas.microsoft.com/office/drawing/2014/main" id="{00000000-0008-0000-2000-00000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 name="191 CuadroTexto">
          <a:extLst>
            <a:ext uri="{FF2B5EF4-FFF2-40B4-BE49-F238E27FC236}">
              <a16:creationId xmlns:a16="http://schemas.microsoft.com/office/drawing/2014/main" id="{00000000-0008-0000-2000-00000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 name="192 CuadroTexto">
          <a:extLst>
            <a:ext uri="{FF2B5EF4-FFF2-40B4-BE49-F238E27FC236}">
              <a16:creationId xmlns:a16="http://schemas.microsoft.com/office/drawing/2014/main" id="{00000000-0008-0000-2000-00000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 name="193 CuadroTexto">
          <a:extLst>
            <a:ext uri="{FF2B5EF4-FFF2-40B4-BE49-F238E27FC236}">
              <a16:creationId xmlns:a16="http://schemas.microsoft.com/office/drawing/2014/main" id="{00000000-0008-0000-2000-00000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 name="194 CuadroTexto">
          <a:extLst>
            <a:ext uri="{FF2B5EF4-FFF2-40B4-BE49-F238E27FC236}">
              <a16:creationId xmlns:a16="http://schemas.microsoft.com/office/drawing/2014/main" id="{00000000-0008-0000-2000-00000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 name="195 CuadroTexto">
          <a:extLst>
            <a:ext uri="{FF2B5EF4-FFF2-40B4-BE49-F238E27FC236}">
              <a16:creationId xmlns:a16="http://schemas.microsoft.com/office/drawing/2014/main" id="{00000000-0008-0000-2000-00000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 name="196 CuadroTexto">
          <a:extLst>
            <a:ext uri="{FF2B5EF4-FFF2-40B4-BE49-F238E27FC236}">
              <a16:creationId xmlns:a16="http://schemas.microsoft.com/office/drawing/2014/main" id="{00000000-0008-0000-2000-00000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 name="197 CuadroTexto">
          <a:extLst>
            <a:ext uri="{FF2B5EF4-FFF2-40B4-BE49-F238E27FC236}">
              <a16:creationId xmlns:a16="http://schemas.microsoft.com/office/drawing/2014/main" id="{00000000-0008-0000-2000-00000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 name="198 CuadroTexto">
          <a:extLst>
            <a:ext uri="{FF2B5EF4-FFF2-40B4-BE49-F238E27FC236}">
              <a16:creationId xmlns:a16="http://schemas.microsoft.com/office/drawing/2014/main" id="{00000000-0008-0000-2000-00000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 name="199 CuadroTexto">
          <a:extLst>
            <a:ext uri="{FF2B5EF4-FFF2-40B4-BE49-F238E27FC236}">
              <a16:creationId xmlns:a16="http://schemas.microsoft.com/office/drawing/2014/main" id="{00000000-0008-0000-2000-00000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 name="200 CuadroTexto">
          <a:extLst>
            <a:ext uri="{FF2B5EF4-FFF2-40B4-BE49-F238E27FC236}">
              <a16:creationId xmlns:a16="http://schemas.microsoft.com/office/drawing/2014/main" id="{00000000-0008-0000-2000-00000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 name="201 CuadroTexto">
          <a:extLst>
            <a:ext uri="{FF2B5EF4-FFF2-40B4-BE49-F238E27FC236}">
              <a16:creationId xmlns:a16="http://schemas.microsoft.com/office/drawing/2014/main" id="{00000000-0008-0000-2000-00000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 name="202 CuadroTexto">
          <a:extLst>
            <a:ext uri="{FF2B5EF4-FFF2-40B4-BE49-F238E27FC236}">
              <a16:creationId xmlns:a16="http://schemas.microsoft.com/office/drawing/2014/main" id="{00000000-0008-0000-2000-00000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 name="203 CuadroTexto">
          <a:extLst>
            <a:ext uri="{FF2B5EF4-FFF2-40B4-BE49-F238E27FC236}">
              <a16:creationId xmlns:a16="http://schemas.microsoft.com/office/drawing/2014/main" id="{00000000-0008-0000-2000-00000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 name="204 CuadroTexto">
          <a:extLst>
            <a:ext uri="{FF2B5EF4-FFF2-40B4-BE49-F238E27FC236}">
              <a16:creationId xmlns:a16="http://schemas.microsoft.com/office/drawing/2014/main" id="{00000000-0008-0000-2000-00000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 name="205 CuadroTexto">
          <a:extLst>
            <a:ext uri="{FF2B5EF4-FFF2-40B4-BE49-F238E27FC236}">
              <a16:creationId xmlns:a16="http://schemas.microsoft.com/office/drawing/2014/main" id="{00000000-0008-0000-2000-00001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 name="206 CuadroTexto">
          <a:extLst>
            <a:ext uri="{FF2B5EF4-FFF2-40B4-BE49-F238E27FC236}">
              <a16:creationId xmlns:a16="http://schemas.microsoft.com/office/drawing/2014/main" id="{00000000-0008-0000-2000-00001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 name="207 CuadroTexto">
          <a:extLst>
            <a:ext uri="{FF2B5EF4-FFF2-40B4-BE49-F238E27FC236}">
              <a16:creationId xmlns:a16="http://schemas.microsoft.com/office/drawing/2014/main" id="{00000000-0008-0000-2000-00001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 name="208 CuadroTexto">
          <a:extLst>
            <a:ext uri="{FF2B5EF4-FFF2-40B4-BE49-F238E27FC236}">
              <a16:creationId xmlns:a16="http://schemas.microsoft.com/office/drawing/2014/main" id="{00000000-0008-0000-2000-00001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 name="209 CuadroTexto">
          <a:extLst>
            <a:ext uri="{FF2B5EF4-FFF2-40B4-BE49-F238E27FC236}">
              <a16:creationId xmlns:a16="http://schemas.microsoft.com/office/drawing/2014/main" id="{00000000-0008-0000-2000-00001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 name="210 CuadroTexto">
          <a:extLst>
            <a:ext uri="{FF2B5EF4-FFF2-40B4-BE49-F238E27FC236}">
              <a16:creationId xmlns:a16="http://schemas.microsoft.com/office/drawing/2014/main" id="{00000000-0008-0000-2000-00001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 name="211 CuadroTexto">
          <a:extLst>
            <a:ext uri="{FF2B5EF4-FFF2-40B4-BE49-F238E27FC236}">
              <a16:creationId xmlns:a16="http://schemas.microsoft.com/office/drawing/2014/main" id="{00000000-0008-0000-2000-00001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 name="212 CuadroTexto">
          <a:extLst>
            <a:ext uri="{FF2B5EF4-FFF2-40B4-BE49-F238E27FC236}">
              <a16:creationId xmlns:a16="http://schemas.microsoft.com/office/drawing/2014/main" id="{00000000-0008-0000-2000-00001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 name="213 CuadroTexto">
          <a:extLst>
            <a:ext uri="{FF2B5EF4-FFF2-40B4-BE49-F238E27FC236}">
              <a16:creationId xmlns:a16="http://schemas.microsoft.com/office/drawing/2014/main" id="{00000000-0008-0000-2000-00001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 name="214 CuadroTexto">
          <a:extLst>
            <a:ext uri="{FF2B5EF4-FFF2-40B4-BE49-F238E27FC236}">
              <a16:creationId xmlns:a16="http://schemas.microsoft.com/office/drawing/2014/main" id="{00000000-0008-0000-2000-00001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 name="215 CuadroTexto">
          <a:extLst>
            <a:ext uri="{FF2B5EF4-FFF2-40B4-BE49-F238E27FC236}">
              <a16:creationId xmlns:a16="http://schemas.microsoft.com/office/drawing/2014/main" id="{00000000-0008-0000-2000-00001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 name="216 CuadroTexto">
          <a:extLst>
            <a:ext uri="{FF2B5EF4-FFF2-40B4-BE49-F238E27FC236}">
              <a16:creationId xmlns:a16="http://schemas.microsoft.com/office/drawing/2014/main" id="{00000000-0008-0000-2000-00001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 name="217 CuadroTexto">
          <a:extLst>
            <a:ext uri="{FF2B5EF4-FFF2-40B4-BE49-F238E27FC236}">
              <a16:creationId xmlns:a16="http://schemas.microsoft.com/office/drawing/2014/main" id="{00000000-0008-0000-2000-00001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 name="218 CuadroTexto">
          <a:extLst>
            <a:ext uri="{FF2B5EF4-FFF2-40B4-BE49-F238E27FC236}">
              <a16:creationId xmlns:a16="http://schemas.microsoft.com/office/drawing/2014/main" id="{00000000-0008-0000-2000-00001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 name="219 CuadroTexto">
          <a:extLst>
            <a:ext uri="{FF2B5EF4-FFF2-40B4-BE49-F238E27FC236}">
              <a16:creationId xmlns:a16="http://schemas.microsoft.com/office/drawing/2014/main" id="{00000000-0008-0000-2000-00001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 name="220 CuadroTexto">
          <a:extLst>
            <a:ext uri="{FF2B5EF4-FFF2-40B4-BE49-F238E27FC236}">
              <a16:creationId xmlns:a16="http://schemas.microsoft.com/office/drawing/2014/main" id="{00000000-0008-0000-2000-00001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 name="221 CuadroTexto">
          <a:extLst>
            <a:ext uri="{FF2B5EF4-FFF2-40B4-BE49-F238E27FC236}">
              <a16:creationId xmlns:a16="http://schemas.microsoft.com/office/drawing/2014/main" id="{00000000-0008-0000-2000-00002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5" name="222 CuadroTexto">
          <a:extLst>
            <a:ext uri="{FF2B5EF4-FFF2-40B4-BE49-F238E27FC236}">
              <a16:creationId xmlns:a16="http://schemas.microsoft.com/office/drawing/2014/main" id="{00000000-0008-0000-2000-00002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 name="223 CuadroTexto">
          <a:extLst>
            <a:ext uri="{FF2B5EF4-FFF2-40B4-BE49-F238E27FC236}">
              <a16:creationId xmlns:a16="http://schemas.microsoft.com/office/drawing/2014/main" id="{00000000-0008-0000-2000-00002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 name="224 CuadroTexto">
          <a:extLst>
            <a:ext uri="{FF2B5EF4-FFF2-40B4-BE49-F238E27FC236}">
              <a16:creationId xmlns:a16="http://schemas.microsoft.com/office/drawing/2014/main" id="{00000000-0008-0000-2000-00002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 name="225 CuadroTexto">
          <a:extLst>
            <a:ext uri="{FF2B5EF4-FFF2-40B4-BE49-F238E27FC236}">
              <a16:creationId xmlns:a16="http://schemas.microsoft.com/office/drawing/2014/main" id="{00000000-0008-0000-2000-00002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 name="226 CuadroTexto">
          <a:extLst>
            <a:ext uri="{FF2B5EF4-FFF2-40B4-BE49-F238E27FC236}">
              <a16:creationId xmlns:a16="http://schemas.microsoft.com/office/drawing/2014/main" id="{00000000-0008-0000-2000-00002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 name="227 CuadroTexto">
          <a:extLst>
            <a:ext uri="{FF2B5EF4-FFF2-40B4-BE49-F238E27FC236}">
              <a16:creationId xmlns:a16="http://schemas.microsoft.com/office/drawing/2014/main" id="{00000000-0008-0000-2000-00002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 name="228 CuadroTexto">
          <a:extLst>
            <a:ext uri="{FF2B5EF4-FFF2-40B4-BE49-F238E27FC236}">
              <a16:creationId xmlns:a16="http://schemas.microsoft.com/office/drawing/2014/main" id="{00000000-0008-0000-2000-00002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 name="229 CuadroTexto">
          <a:extLst>
            <a:ext uri="{FF2B5EF4-FFF2-40B4-BE49-F238E27FC236}">
              <a16:creationId xmlns:a16="http://schemas.microsoft.com/office/drawing/2014/main" id="{00000000-0008-0000-2000-00002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 name="230 CuadroTexto">
          <a:extLst>
            <a:ext uri="{FF2B5EF4-FFF2-40B4-BE49-F238E27FC236}">
              <a16:creationId xmlns:a16="http://schemas.microsoft.com/office/drawing/2014/main" id="{00000000-0008-0000-2000-00002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 name="231 CuadroTexto">
          <a:extLst>
            <a:ext uri="{FF2B5EF4-FFF2-40B4-BE49-F238E27FC236}">
              <a16:creationId xmlns:a16="http://schemas.microsoft.com/office/drawing/2014/main" id="{00000000-0008-0000-2000-00002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 name="232 CuadroTexto">
          <a:extLst>
            <a:ext uri="{FF2B5EF4-FFF2-40B4-BE49-F238E27FC236}">
              <a16:creationId xmlns:a16="http://schemas.microsoft.com/office/drawing/2014/main" id="{00000000-0008-0000-2000-00002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 name="233 CuadroTexto">
          <a:extLst>
            <a:ext uri="{FF2B5EF4-FFF2-40B4-BE49-F238E27FC236}">
              <a16:creationId xmlns:a16="http://schemas.microsoft.com/office/drawing/2014/main" id="{00000000-0008-0000-2000-00002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 name="234 CuadroTexto">
          <a:extLst>
            <a:ext uri="{FF2B5EF4-FFF2-40B4-BE49-F238E27FC236}">
              <a16:creationId xmlns:a16="http://schemas.microsoft.com/office/drawing/2014/main" id="{00000000-0008-0000-2000-00002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 name="235 CuadroTexto">
          <a:extLst>
            <a:ext uri="{FF2B5EF4-FFF2-40B4-BE49-F238E27FC236}">
              <a16:creationId xmlns:a16="http://schemas.microsoft.com/office/drawing/2014/main" id="{00000000-0008-0000-2000-00002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 name="236 CuadroTexto">
          <a:extLst>
            <a:ext uri="{FF2B5EF4-FFF2-40B4-BE49-F238E27FC236}">
              <a16:creationId xmlns:a16="http://schemas.microsoft.com/office/drawing/2014/main" id="{00000000-0008-0000-2000-00002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 name="237 CuadroTexto">
          <a:extLst>
            <a:ext uri="{FF2B5EF4-FFF2-40B4-BE49-F238E27FC236}">
              <a16:creationId xmlns:a16="http://schemas.microsoft.com/office/drawing/2014/main" id="{00000000-0008-0000-2000-00003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1" name="238 CuadroTexto">
          <a:extLst>
            <a:ext uri="{FF2B5EF4-FFF2-40B4-BE49-F238E27FC236}">
              <a16:creationId xmlns:a16="http://schemas.microsoft.com/office/drawing/2014/main" id="{00000000-0008-0000-2000-00003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2" name="239 CuadroTexto">
          <a:extLst>
            <a:ext uri="{FF2B5EF4-FFF2-40B4-BE49-F238E27FC236}">
              <a16:creationId xmlns:a16="http://schemas.microsoft.com/office/drawing/2014/main" id="{00000000-0008-0000-2000-00003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3" name="240 CuadroTexto">
          <a:extLst>
            <a:ext uri="{FF2B5EF4-FFF2-40B4-BE49-F238E27FC236}">
              <a16:creationId xmlns:a16="http://schemas.microsoft.com/office/drawing/2014/main" id="{00000000-0008-0000-2000-00003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4" name="241 CuadroTexto">
          <a:extLst>
            <a:ext uri="{FF2B5EF4-FFF2-40B4-BE49-F238E27FC236}">
              <a16:creationId xmlns:a16="http://schemas.microsoft.com/office/drawing/2014/main" id="{00000000-0008-0000-2000-00003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5" name="242 CuadroTexto">
          <a:extLst>
            <a:ext uri="{FF2B5EF4-FFF2-40B4-BE49-F238E27FC236}">
              <a16:creationId xmlns:a16="http://schemas.microsoft.com/office/drawing/2014/main" id="{00000000-0008-0000-2000-00003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6" name="243 CuadroTexto">
          <a:extLst>
            <a:ext uri="{FF2B5EF4-FFF2-40B4-BE49-F238E27FC236}">
              <a16:creationId xmlns:a16="http://schemas.microsoft.com/office/drawing/2014/main" id="{00000000-0008-0000-2000-00003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7" name="244 CuadroTexto">
          <a:extLst>
            <a:ext uri="{FF2B5EF4-FFF2-40B4-BE49-F238E27FC236}">
              <a16:creationId xmlns:a16="http://schemas.microsoft.com/office/drawing/2014/main" id="{00000000-0008-0000-2000-00003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8" name="245 CuadroTexto">
          <a:extLst>
            <a:ext uri="{FF2B5EF4-FFF2-40B4-BE49-F238E27FC236}">
              <a16:creationId xmlns:a16="http://schemas.microsoft.com/office/drawing/2014/main" id="{00000000-0008-0000-2000-00003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9" name="246 CuadroTexto">
          <a:extLst>
            <a:ext uri="{FF2B5EF4-FFF2-40B4-BE49-F238E27FC236}">
              <a16:creationId xmlns:a16="http://schemas.microsoft.com/office/drawing/2014/main" id="{00000000-0008-0000-2000-00003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0" name="247 CuadroTexto">
          <a:extLst>
            <a:ext uri="{FF2B5EF4-FFF2-40B4-BE49-F238E27FC236}">
              <a16:creationId xmlns:a16="http://schemas.microsoft.com/office/drawing/2014/main" id="{00000000-0008-0000-2000-00003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1" name="248 CuadroTexto">
          <a:extLst>
            <a:ext uri="{FF2B5EF4-FFF2-40B4-BE49-F238E27FC236}">
              <a16:creationId xmlns:a16="http://schemas.microsoft.com/office/drawing/2014/main" id="{00000000-0008-0000-2000-00003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2" name="249 CuadroTexto">
          <a:extLst>
            <a:ext uri="{FF2B5EF4-FFF2-40B4-BE49-F238E27FC236}">
              <a16:creationId xmlns:a16="http://schemas.microsoft.com/office/drawing/2014/main" id="{00000000-0008-0000-2000-00003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3" name="250 CuadroTexto">
          <a:extLst>
            <a:ext uri="{FF2B5EF4-FFF2-40B4-BE49-F238E27FC236}">
              <a16:creationId xmlns:a16="http://schemas.microsoft.com/office/drawing/2014/main" id="{00000000-0008-0000-2000-00003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4" name="251 CuadroTexto">
          <a:extLst>
            <a:ext uri="{FF2B5EF4-FFF2-40B4-BE49-F238E27FC236}">
              <a16:creationId xmlns:a16="http://schemas.microsoft.com/office/drawing/2014/main" id="{00000000-0008-0000-2000-00003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5" name="252 CuadroTexto">
          <a:extLst>
            <a:ext uri="{FF2B5EF4-FFF2-40B4-BE49-F238E27FC236}">
              <a16:creationId xmlns:a16="http://schemas.microsoft.com/office/drawing/2014/main" id="{00000000-0008-0000-2000-00003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6" name="253 CuadroTexto">
          <a:extLst>
            <a:ext uri="{FF2B5EF4-FFF2-40B4-BE49-F238E27FC236}">
              <a16:creationId xmlns:a16="http://schemas.microsoft.com/office/drawing/2014/main" id="{00000000-0008-0000-2000-00004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7" name="254 CuadroTexto">
          <a:extLst>
            <a:ext uri="{FF2B5EF4-FFF2-40B4-BE49-F238E27FC236}">
              <a16:creationId xmlns:a16="http://schemas.microsoft.com/office/drawing/2014/main" id="{00000000-0008-0000-2000-00004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8" name="255 CuadroTexto">
          <a:extLst>
            <a:ext uri="{FF2B5EF4-FFF2-40B4-BE49-F238E27FC236}">
              <a16:creationId xmlns:a16="http://schemas.microsoft.com/office/drawing/2014/main" id="{00000000-0008-0000-2000-00004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9" name="256 CuadroTexto">
          <a:extLst>
            <a:ext uri="{FF2B5EF4-FFF2-40B4-BE49-F238E27FC236}">
              <a16:creationId xmlns:a16="http://schemas.microsoft.com/office/drawing/2014/main" id="{00000000-0008-0000-2000-00004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0" name="257 CuadroTexto">
          <a:extLst>
            <a:ext uri="{FF2B5EF4-FFF2-40B4-BE49-F238E27FC236}">
              <a16:creationId xmlns:a16="http://schemas.microsoft.com/office/drawing/2014/main" id="{00000000-0008-0000-2000-00004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1" name="258 CuadroTexto">
          <a:extLst>
            <a:ext uri="{FF2B5EF4-FFF2-40B4-BE49-F238E27FC236}">
              <a16:creationId xmlns:a16="http://schemas.microsoft.com/office/drawing/2014/main" id="{00000000-0008-0000-2000-00004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2" name="259 CuadroTexto">
          <a:extLst>
            <a:ext uri="{FF2B5EF4-FFF2-40B4-BE49-F238E27FC236}">
              <a16:creationId xmlns:a16="http://schemas.microsoft.com/office/drawing/2014/main" id="{00000000-0008-0000-2000-00004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3" name="260 CuadroTexto">
          <a:extLst>
            <a:ext uri="{FF2B5EF4-FFF2-40B4-BE49-F238E27FC236}">
              <a16:creationId xmlns:a16="http://schemas.microsoft.com/office/drawing/2014/main" id="{00000000-0008-0000-2000-00004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4" name="261 CuadroTexto">
          <a:extLst>
            <a:ext uri="{FF2B5EF4-FFF2-40B4-BE49-F238E27FC236}">
              <a16:creationId xmlns:a16="http://schemas.microsoft.com/office/drawing/2014/main" id="{00000000-0008-0000-2000-00004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5" name="262 CuadroTexto">
          <a:extLst>
            <a:ext uri="{FF2B5EF4-FFF2-40B4-BE49-F238E27FC236}">
              <a16:creationId xmlns:a16="http://schemas.microsoft.com/office/drawing/2014/main" id="{00000000-0008-0000-2000-00004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6" name="263 CuadroTexto">
          <a:extLst>
            <a:ext uri="{FF2B5EF4-FFF2-40B4-BE49-F238E27FC236}">
              <a16:creationId xmlns:a16="http://schemas.microsoft.com/office/drawing/2014/main" id="{00000000-0008-0000-2000-00004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7" name="264 CuadroTexto">
          <a:extLst>
            <a:ext uri="{FF2B5EF4-FFF2-40B4-BE49-F238E27FC236}">
              <a16:creationId xmlns:a16="http://schemas.microsoft.com/office/drawing/2014/main" id="{00000000-0008-0000-2000-00004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8" name="265 CuadroTexto">
          <a:extLst>
            <a:ext uri="{FF2B5EF4-FFF2-40B4-BE49-F238E27FC236}">
              <a16:creationId xmlns:a16="http://schemas.microsoft.com/office/drawing/2014/main" id="{00000000-0008-0000-2000-00004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9" name="266 CuadroTexto">
          <a:extLst>
            <a:ext uri="{FF2B5EF4-FFF2-40B4-BE49-F238E27FC236}">
              <a16:creationId xmlns:a16="http://schemas.microsoft.com/office/drawing/2014/main" id="{00000000-0008-0000-2000-00004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0" name="267 CuadroTexto">
          <a:extLst>
            <a:ext uri="{FF2B5EF4-FFF2-40B4-BE49-F238E27FC236}">
              <a16:creationId xmlns:a16="http://schemas.microsoft.com/office/drawing/2014/main" id="{00000000-0008-0000-2000-00004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591" name="268 CuadroTexto">
          <a:extLst>
            <a:ext uri="{FF2B5EF4-FFF2-40B4-BE49-F238E27FC236}">
              <a16:creationId xmlns:a16="http://schemas.microsoft.com/office/drawing/2014/main" id="{00000000-0008-0000-2000-00004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2" name="269 CuadroTexto">
          <a:extLst>
            <a:ext uri="{FF2B5EF4-FFF2-40B4-BE49-F238E27FC236}">
              <a16:creationId xmlns:a16="http://schemas.microsoft.com/office/drawing/2014/main" id="{00000000-0008-0000-2000-000050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3" name="270 CuadroTexto">
          <a:extLst>
            <a:ext uri="{FF2B5EF4-FFF2-40B4-BE49-F238E27FC236}">
              <a16:creationId xmlns:a16="http://schemas.microsoft.com/office/drawing/2014/main" id="{00000000-0008-0000-2000-000051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4" name="271 CuadroTexto">
          <a:extLst>
            <a:ext uri="{FF2B5EF4-FFF2-40B4-BE49-F238E27FC236}">
              <a16:creationId xmlns:a16="http://schemas.microsoft.com/office/drawing/2014/main" id="{00000000-0008-0000-2000-000052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5" name="272 CuadroTexto">
          <a:extLst>
            <a:ext uri="{FF2B5EF4-FFF2-40B4-BE49-F238E27FC236}">
              <a16:creationId xmlns:a16="http://schemas.microsoft.com/office/drawing/2014/main" id="{00000000-0008-0000-2000-000053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6" name="273 CuadroTexto">
          <a:extLst>
            <a:ext uri="{FF2B5EF4-FFF2-40B4-BE49-F238E27FC236}">
              <a16:creationId xmlns:a16="http://schemas.microsoft.com/office/drawing/2014/main" id="{00000000-0008-0000-2000-000054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7" name="274 CuadroTexto">
          <a:extLst>
            <a:ext uri="{FF2B5EF4-FFF2-40B4-BE49-F238E27FC236}">
              <a16:creationId xmlns:a16="http://schemas.microsoft.com/office/drawing/2014/main" id="{00000000-0008-0000-2000-000055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8" name="275 CuadroTexto">
          <a:extLst>
            <a:ext uri="{FF2B5EF4-FFF2-40B4-BE49-F238E27FC236}">
              <a16:creationId xmlns:a16="http://schemas.microsoft.com/office/drawing/2014/main" id="{00000000-0008-0000-2000-000056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9" name="276 CuadroTexto">
          <a:extLst>
            <a:ext uri="{FF2B5EF4-FFF2-40B4-BE49-F238E27FC236}">
              <a16:creationId xmlns:a16="http://schemas.microsoft.com/office/drawing/2014/main" id="{00000000-0008-0000-2000-000057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0" name="277 CuadroTexto">
          <a:extLst>
            <a:ext uri="{FF2B5EF4-FFF2-40B4-BE49-F238E27FC236}">
              <a16:creationId xmlns:a16="http://schemas.microsoft.com/office/drawing/2014/main" id="{00000000-0008-0000-2000-000058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1" name="278 CuadroTexto">
          <a:extLst>
            <a:ext uri="{FF2B5EF4-FFF2-40B4-BE49-F238E27FC236}">
              <a16:creationId xmlns:a16="http://schemas.microsoft.com/office/drawing/2014/main" id="{00000000-0008-0000-2000-000059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2" name="279 CuadroTexto">
          <a:extLst>
            <a:ext uri="{FF2B5EF4-FFF2-40B4-BE49-F238E27FC236}">
              <a16:creationId xmlns:a16="http://schemas.microsoft.com/office/drawing/2014/main" id="{00000000-0008-0000-2000-00005A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3" name="280 CuadroTexto">
          <a:extLst>
            <a:ext uri="{FF2B5EF4-FFF2-40B4-BE49-F238E27FC236}">
              <a16:creationId xmlns:a16="http://schemas.microsoft.com/office/drawing/2014/main" id="{00000000-0008-0000-2000-00005B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4" name="281 CuadroTexto">
          <a:extLst>
            <a:ext uri="{FF2B5EF4-FFF2-40B4-BE49-F238E27FC236}">
              <a16:creationId xmlns:a16="http://schemas.microsoft.com/office/drawing/2014/main" id="{00000000-0008-0000-2000-00005C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5" name="282 CuadroTexto">
          <a:extLst>
            <a:ext uri="{FF2B5EF4-FFF2-40B4-BE49-F238E27FC236}">
              <a16:creationId xmlns:a16="http://schemas.microsoft.com/office/drawing/2014/main" id="{00000000-0008-0000-2000-00005D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6" name="283 CuadroTexto">
          <a:extLst>
            <a:ext uri="{FF2B5EF4-FFF2-40B4-BE49-F238E27FC236}">
              <a16:creationId xmlns:a16="http://schemas.microsoft.com/office/drawing/2014/main" id="{00000000-0008-0000-2000-00005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7" name="284 CuadroTexto">
          <a:extLst>
            <a:ext uri="{FF2B5EF4-FFF2-40B4-BE49-F238E27FC236}">
              <a16:creationId xmlns:a16="http://schemas.microsoft.com/office/drawing/2014/main" id="{00000000-0008-0000-2000-00005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08" name="285 CuadroTexto">
          <a:extLst>
            <a:ext uri="{FF2B5EF4-FFF2-40B4-BE49-F238E27FC236}">
              <a16:creationId xmlns:a16="http://schemas.microsoft.com/office/drawing/2014/main" id="{00000000-0008-0000-2000-00006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9" name="286 CuadroTexto">
          <a:extLst>
            <a:ext uri="{FF2B5EF4-FFF2-40B4-BE49-F238E27FC236}">
              <a16:creationId xmlns:a16="http://schemas.microsoft.com/office/drawing/2014/main" id="{00000000-0008-0000-2000-00006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0" name="287 CuadroTexto">
          <a:extLst>
            <a:ext uri="{FF2B5EF4-FFF2-40B4-BE49-F238E27FC236}">
              <a16:creationId xmlns:a16="http://schemas.microsoft.com/office/drawing/2014/main" id="{00000000-0008-0000-2000-00006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1" name="288 CuadroTexto">
          <a:extLst>
            <a:ext uri="{FF2B5EF4-FFF2-40B4-BE49-F238E27FC236}">
              <a16:creationId xmlns:a16="http://schemas.microsoft.com/office/drawing/2014/main" id="{00000000-0008-0000-2000-00006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2" name="289 CuadroTexto">
          <a:extLst>
            <a:ext uri="{FF2B5EF4-FFF2-40B4-BE49-F238E27FC236}">
              <a16:creationId xmlns:a16="http://schemas.microsoft.com/office/drawing/2014/main" id="{00000000-0008-0000-2000-00006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3" name="290 CuadroTexto">
          <a:extLst>
            <a:ext uri="{FF2B5EF4-FFF2-40B4-BE49-F238E27FC236}">
              <a16:creationId xmlns:a16="http://schemas.microsoft.com/office/drawing/2014/main" id="{00000000-0008-0000-2000-00006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4" name="291 CuadroTexto">
          <a:extLst>
            <a:ext uri="{FF2B5EF4-FFF2-40B4-BE49-F238E27FC236}">
              <a16:creationId xmlns:a16="http://schemas.microsoft.com/office/drawing/2014/main" id="{00000000-0008-0000-2000-00006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5" name="292 CuadroTexto">
          <a:extLst>
            <a:ext uri="{FF2B5EF4-FFF2-40B4-BE49-F238E27FC236}">
              <a16:creationId xmlns:a16="http://schemas.microsoft.com/office/drawing/2014/main" id="{00000000-0008-0000-2000-00006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6" name="293 CuadroTexto">
          <a:extLst>
            <a:ext uri="{FF2B5EF4-FFF2-40B4-BE49-F238E27FC236}">
              <a16:creationId xmlns:a16="http://schemas.microsoft.com/office/drawing/2014/main" id="{00000000-0008-0000-2000-00006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7" name="294 CuadroTexto">
          <a:extLst>
            <a:ext uri="{FF2B5EF4-FFF2-40B4-BE49-F238E27FC236}">
              <a16:creationId xmlns:a16="http://schemas.microsoft.com/office/drawing/2014/main" id="{00000000-0008-0000-2000-00006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8" name="295 CuadroTexto">
          <a:extLst>
            <a:ext uri="{FF2B5EF4-FFF2-40B4-BE49-F238E27FC236}">
              <a16:creationId xmlns:a16="http://schemas.microsoft.com/office/drawing/2014/main" id="{00000000-0008-0000-2000-00006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9" name="296 CuadroTexto">
          <a:extLst>
            <a:ext uri="{FF2B5EF4-FFF2-40B4-BE49-F238E27FC236}">
              <a16:creationId xmlns:a16="http://schemas.microsoft.com/office/drawing/2014/main" id="{00000000-0008-0000-2000-00006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0" name="17 CuadroTexto">
          <a:extLst>
            <a:ext uri="{FF2B5EF4-FFF2-40B4-BE49-F238E27FC236}">
              <a16:creationId xmlns:a16="http://schemas.microsoft.com/office/drawing/2014/main" id="{00000000-0008-0000-2000-00006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621" name="90 CuadroTexto">
          <a:extLst>
            <a:ext uri="{FF2B5EF4-FFF2-40B4-BE49-F238E27FC236}">
              <a16:creationId xmlns:a16="http://schemas.microsoft.com/office/drawing/2014/main" id="{00000000-0008-0000-2000-00006D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2" name="91 CuadroTexto">
          <a:extLst>
            <a:ext uri="{FF2B5EF4-FFF2-40B4-BE49-F238E27FC236}">
              <a16:creationId xmlns:a16="http://schemas.microsoft.com/office/drawing/2014/main" id="{00000000-0008-0000-2000-00006E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3" name="92 CuadroTexto">
          <a:extLst>
            <a:ext uri="{FF2B5EF4-FFF2-40B4-BE49-F238E27FC236}">
              <a16:creationId xmlns:a16="http://schemas.microsoft.com/office/drawing/2014/main" id="{00000000-0008-0000-2000-00006F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4" name="93 CuadroTexto">
          <a:extLst>
            <a:ext uri="{FF2B5EF4-FFF2-40B4-BE49-F238E27FC236}">
              <a16:creationId xmlns:a16="http://schemas.microsoft.com/office/drawing/2014/main" id="{00000000-0008-0000-2000-000070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5" name="94 CuadroTexto">
          <a:extLst>
            <a:ext uri="{FF2B5EF4-FFF2-40B4-BE49-F238E27FC236}">
              <a16:creationId xmlns:a16="http://schemas.microsoft.com/office/drawing/2014/main" id="{00000000-0008-0000-2000-000071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6" name="95 CuadroTexto">
          <a:extLst>
            <a:ext uri="{FF2B5EF4-FFF2-40B4-BE49-F238E27FC236}">
              <a16:creationId xmlns:a16="http://schemas.microsoft.com/office/drawing/2014/main" id="{00000000-0008-0000-2000-000072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7" name="96 CuadroTexto">
          <a:extLst>
            <a:ext uri="{FF2B5EF4-FFF2-40B4-BE49-F238E27FC236}">
              <a16:creationId xmlns:a16="http://schemas.microsoft.com/office/drawing/2014/main" id="{00000000-0008-0000-2000-000073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8" name="97 CuadroTexto">
          <a:extLst>
            <a:ext uri="{FF2B5EF4-FFF2-40B4-BE49-F238E27FC236}">
              <a16:creationId xmlns:a16="http://schemas.microsoft.com/office/drawing/2014/main" id="{00000000-0008-0000-2000-000074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9" name="98 CuadroTexto">
          <a:extLst>
            <a:ext uri="{FF2B5EF4-FFF2-40B4-BE49-F238E27FC236}">
              <a16:creationId xmlns:a16="http://schemas.microsoft.com/office/drawing/2014/main" id="{00000000-0008-0000-2000-000075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0" name="99 CuadroTexto">
          <a:extLst>
            <a:ext uri="{FF2B5EF4-FFF2-40B4-BE49-F238E27FC236}">
              <a16:creationId xmlns:a16="http://schemas.microsoft.com/office/drawing/2014/main" id="{00000000-0008-0000-2000-000076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1" name="100 CuadroTexto">
          <a:extLst>
            <a:ext uri="{FF2B5EF4-FFF2-40B4-BE49-F238E27FC236}">
              <a16:creationId xmlns:a16="http://schemas.microsoft.com/office/drawing/2014/main" id="{00000000-0008-0000-2000-000077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2" name="101 CuadroTexto">
          <a:extLst>
            <a:ext uri="{FF2B5EF4-FFF2-40B4-BE49-F238E27FC236}">
              <a16:creationId xmlns:a16="http://schemas.microsoft.com/office/drawing/2014/main" id="{00000000-0008-0000-2000-000078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33" name="118 CuadroTexto">
          <a:extLst>
            <a:ext uri="{FF2B5EF4-FFF2-40B4-BE49-F238E27FC236}">
              <a16:creationId xmlns:a16="http://schemas.microsoft.com/office/drawing/2014/main" id="{00000000-0008-0000-2000-00007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4" name="119 CuadroTexto">
          <a:extLst>
            <a:ext uri="{FF2B5EF4-FFF2-40B4-BE49-F238E27FC236}">
              <a16:creationId xmlns:a16="http://schemas.microsoft.com/office/drawing/2014/main" id="{00000000-0008-0000-2000-00007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5" name="120 CuadroTexto">
          <a:extLst>
            <a:ext uri="{FF2B5EF4-FFF2-40B4-BE49-F238E27FC236}">
              <a16:creationId xmlns:a16="http://schemas.microsoft.com/office/drawing/2014/main" id="{00000000-0008-0000-2000-00007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6" name="121 CuadroTexto">
          <a:extLst>
            <a:ext uri="{FF2B5EF4-FFF2-40B4-BE49-F238E27FC236}">
              <a16:creationId xmlns:a16="http://schemas.microsoft.com/office/drawing/2014/main" id="{00000000-0008-0000-2000-00007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7" name="122 CuadroTexto">
          <a:extLst>
            <a:ext uri="{FF2B5EF4-FFF2-40B4-BE49-F238E27FC236}">
              <a16:creationId xmlns:a16="http://schemas.microsoft.com/office/drawing/2014/main" id="{00000000-0008-0000-2000-00007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8" name="123 CuadroTexto">
          <a:extLst>
            <a:ext uri="{FF2B5EF4-FFF2-40B4-BE49-F238E27FC236}">
              <a16:creationId xmlns:a16="http://schemas.microsoft.com/office/drawing/2014/main" id="{00000000-0008-0000-2000-00007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9" name="124 CuadroTexto">
          <a:extLst>
            <a:ext uri="{FF2B5EF4-FFF2-40B4-BE49-F238E27FC236}">
              <a16:creationId xmlns:a16="http://schemas.microsoft.com/office/drawing/2014/main" id="{00000000-0008-0000-2000-00007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0" name="125 CuadroTexto">
          <a:extLst>
            <a:ext uri="{FF2B5EF4-FFF2-40B4-BE49-F238E27FC236}">
              <a16:creationId xmlns:a16="http://schemas.microsoft.com/office/drawing/2014/main" id="{00000000-0008-0000-2000-00008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1" name="143 CuadroTexto">
          <a:extLst>
            <a:ext uri="{FF2B5EF4-FFF2-40B4-BE49-F238E27FC236}">
              <a16:creationId xmlns:a16="http://schemas.microsoft.com/office/drawing/2014/main" id="{00000000-0008-0000-2000-00008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2" name="144 CuadroTexto">
          <a:extLst>
            <a:ext uri="{FF2B5EF4-FFF2-40B4-BE49-F238E27FC236}">
              <a16:creationId xmlns:a16="http://schemas.microsoft.com/office/drawing/2014/main" id="{00000000-0008-0000-2000-00008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3" name="145 CuadroTexto">
          <a:extLst>
            <a:ext uri="{FF2B5EF4-FFF2-40B4-BE49-F238E27FC236}">
              <a16:creationId xmlns:a16="http://schemas.microsoft.com/office/drawing/2014/main" id="{00000000-0008-0000-2000-00008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4" name="146 CuadroTexto">
          <a:extLst>
            <a:ext uri="{FF2B5EF4-FFF2-40B4-BE49-F238E27FC236}">
              <a16:creationId xmlns:a16="http://schemas.microsoft.com/office/drawing/2014/main" id="{00000000-0008-0000-2000-00008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5" name="147 CuadroTexto">
          <a:extLst>
            <a:ext uri="{FF2B5EF4-FFF2-40B4-BE49-F238E27FC236}">
              <a16:creationId xmlns:a16="http://schemas.microsoft.com/office/drawing/2014/main" id="{00000000-0008-0000-2000-00008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6" name="148 CuadroTexto">
          <a:extLst>
            <a:ext uri="{FF2B5EF4-FFF2-40B4-BE49-F238E27FC236}">
              <a16:creationId xmlns:a16="http://schemas.microsoft.com/office/drawing/2014/main" id="{00000000-0008-0000-2000-00008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7" name="149 CuadroTexto">
          <a:extLst>
            <a:ext uri="{FF2B5EF4-FFF2-40B4-BE49-F238E27FC236}">
              <a16:creationId xmlns:a16="http://schemas.microsoft.com/office/drawing/2014/main" id="{00000000-0008-0000-2000-00008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8" name="150 CuadroTexto">
          <a:extLst>
            <a:ext uri="{FF2B5EF4-FFF2-40B4-BE49-F238E27FC236}">
              <a16:creationId xmlns:a16="http://schemas.microsoft.com/office/drawing/2014/main" id="{00000000-0008-0000-2000-00008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9" name="151 CuadroTexto">
          <a:extLst>
            <a:ext uri="{FF2B5EF4-FFF2-40B4-BE49-F238E27FC236}">
              <a16:creationId xmlns:a16="http://schemas.microsoft.com/office/drawing/2014/main" id="{00000000-0008-0000-2000-00008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0" name="152 CuadroTexto">
          <a:extLst>
            <a:ext uri="{FF2B5EF4-FFF2-40B4-BE49-F238E27FC236}">
              <a16:creationId xmlns:a16="http://schemas.microsoft.com/office/drawing/2014/main" id="{00000000-0008-0000-2000-00008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1" name="153 CuadroTexto">
          <a:extLst>
            <a:ext uri="{FF2B5EF4-FFF2-40B4-BE49-F238E27FC236}">
              <a16:creationId xmlns:a16="http://schemas.microsoft.com/office/drawing/2014/main" id="{00000000-0008-0000-2000-00008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2" name="154 CuadroTexto">
          <a:extLst>
            <a:ext uri="{FF2B5EF4-FFF2-40B4-BE49-F238E27FC236}">
              <a16:creationId xmlns:a16="http://schemas.microsoft.com/office/drawing/2014/main" id="{00000000-0008-0000-2000-00008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3" name="155 CuadroTexto">
          <a:extLst>
            <a:ext uri="{FF2B5EF4-FFF2-40B4-BE49-F238E27FC236}">
              <a16:creationId xmlns:a16="http://schemas.microsoft.com/office/drawing/2014/main" id="{00000000-0008-0000-2000-00008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4" name="156 CuadroTexto">
          <a:extLst>
            <a:ext uri="{FF2B5EF4-FFF2-40B4-BE49-F238E27FC236}">
              <a16:creationId xmlns:a16="http://schemas.microsoft.com/office/drawing/2014/main" id="{00000000-0008-0000-2000-00008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5" name="157 CuadroTexto">
          <a:extLst>
            <a:ext uri="{FF2B5EF4-FFF2-40B4-BE49-F238E27FC236}">
              <a16:creationId xmlns:a16="http://schemas.microsoft.com/office/drawing/2014/main" id="{00000000-0008-0000-2000-00008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6" name="158 CuadroTexto">
          <a:extLst>
            <a:ext uri="{FF2B5EF4-FFF2-40B4-BE49-F238E27FC236}">
              <a16:creationId xmlns:a16="http://schemas.microsoft.com/office/drawing/2014/main" id="{00000000-0008-0000-2000-00009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7" name="159 CuadroTexto">
          <a:extLst>
            <a:ext uri="{FF2B5EF4-FFF2-40B4-BE49-F238E27FC236}">
              <a16:creationId xmlns:a16="http://schemas.microsoft.com/office/drawing/2014/main" id="{00000000-0008-0000-2000-00009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8" name="160 CuadroTexto">
          <a:extLst>
            <a:ext uri="{FF2B5EF4-FFF2-40B4-BE49-F238E27FC236}">
              <a16:creationId xmlns:a16="http://schemas.microsoft.com/office/drawing/2014/main" id="{00000000-0008-0000-2000-00009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9" name="161 CuadroTexto">
          <a:extLst>
            <a:ext uri="{FF2B5EF4-FFF2-40B4-BE49-F238E27FC236}">
              <a16:creationId xmlns:a16="http://schemas.microsoft.com/office/drawing/2014/main" id="{00000000-0008-0000-2000-00009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0" name="162 CuadroTexto">
          <a:extLst>
            <a:ext uri="{FF2B5EF4-FFF2-40B4-BE49-F238E27FC236}">
              <a16:creationId xmlns:a16="http://schemas.microsoft.com/office/drawing/2014/main" id="{00000000-0008-0000-2000-00009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1" name="163 CuadroTexto">
          <a:extLst>
            <a:ext uri="{FF2B5EF4-FFF2-40B4-BE49-F238E27FC236}">
              <a16:creationId xmlns:a16="http://schemas.microsoft.com/office/drawing/2014/main" id="{00000000-0008-0000-2000-00009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2" name="164 CuadroTexto">
          <a:extLst>
            <a:ext uri="{FF2B5EF4-FFF2-40B4-BE49-F238E27FC236}">
              <a16:creationId xmlns:a16="http://schemas.microsoft.com/office/drawing/2014/main" id="{00000000-0008-0000-2000-00009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3" name="165 CuadroTexto">
          <a:extLst>
            <a:ext uri="{FF2B5EF4-FFF2-40B4-BE49-F238E27FC236}">
              <a16:creationId xmlns:a16="http://schemas.microsoft.com/office/drawing/2014/main" id="{00000000-0008-0000-2000-00009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4" name="166 CuadroTexto">
          <a:extLst>
            <a:ext uri="{FF2B5EF4-FFF2-40B4-BE49-F238E27FC236}">
              <a16:creationId xmlns:a16="http://schemas.microsoft.com/office/drawing/2014/main" id="{00000000-0008-0000-2000-00009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5" name="167 CuadroTexto">
          <a:extLst>
            <a:ext uri="{FF2B5EF4-FFF2-40B4-BE49-F238E27FC236}">
              <a16:creationId xmlns:a16="http://schemas.microsoft.com/office/drawing/2014/main" id="{00000000-0008-0000-2000-00009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6" name="168 CuadroTexto">
          <a:extLst>
            <a:ext uri="{FF2B5EF4-FFF2-40B4-BE49-F238E27FC236}">
              <a16:creationId xmlns:a16="http://schemas.microsoft.com/office/drawing/2014/main" id="{00000000-0008-0000-2000-00009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7" name="169 CuadroTexto">
          <a:extLst>
            <a:ext uri="{FF2B5EF4-FFF2-40B4-BE49-F238E27FC236}">
              <a16:creationId xmlns:a16="http://schemas.microsoft.com/office/drawing/2014/main" id="{00000000-0008-0000-2000-00009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8" name="170 CuadroTexto">
          <a:extLst>
            <a:ext uri="{FF2B5EF4-FFF2-40B4-BE49-F238E27FC236}">
              <a16:creationId xmlns:a16="http://schemas.microsoft.com/office/drawing/2014/main" id="{00000000-0008-0000-2000-00009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9" name="171 CuadroTexto">
          <a:extLst>
            <a:ext uri="{FF2B5EF4-FFF2-40B4-BE49-F238E27FC236}">
              <a16:creationId xmlns:a16="http://schemas.microsoft.com/office/drawing/2014/main" id="{00000000-0008-0000-2000-00009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0" name="172 CuadroTexto">
          <a:extLst>
            <a:ext uri="{FF2B5EF4-FFF2-40B4-BE49-F238E27FC236}">
              <a16:creationId xmlns:a16="http://schemas.microsoft.com/office/drawing/2014/main" id="{00000000-0008-0000-2000-00009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1" name="173 CuadroTexto">
          <a:extLst>
            <a:ext uri="{FF2B5EF4-FFF2-40B4-BE49-F238E27FC236}">
              <a16:creationId xmlns:a16="http://schemas.microsoft.com/office/drawing/2014/main" id="{00000000-0008-0000-2000-00009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2" name="174 CuadroTexto">
          <a:extLst>
            <a:ext uri="{FF2B5EF4-FFF2-40B4-BE49-F238E27FC236}">
              <a16:creationId xmlns:a16="http://schemas.microsoft.com/office/drawing/2014/main" id="{00000000-0008-0000-2000-0000A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3" name="175 CuadroTexto">
          <a:extLst>
            <a:ext uri="{FF2B5EF4-FFF2-40B4-BE49-F238E27FC236}">
              <a16:creationId xmlns:a16="http://schemas.microsoft.com/office/drawing/2014/main" id="{00000000-0008-0000-2000-0000A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4" name="176 CuadroTexto">
          <a:extLst>
            <a:ext uri="{FF2B5EF4-FFF2-40B4-BE49-F238E27FC236}">
              <a16:creationId xmlns:a16="http://schemas.microsoft.com/office/drawing/2014/main" id="{00000000-0008-0000-2000-0000A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5" name="177 CuadroTexto">
          <a:extLst>
            <a:ext uri="{FF2B5EF4-FFF2-40B4-BE49-F238E27FC236}">
              <a16:creationId xmlns:a16="http://schemas.microsoft.com/office/drawing/2014/main" id="{00000000-0008-0000-2000-0000A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6" name="178 CuadroTexto">
          <a:extLst>
            <a:ext uri="{FF2B5EF4-FFF2-40B4-BE49-F238E27FC236}">
              <a16:creationId xmlns:a16="http://schemas.microsoft.com/office/drawing/2014/main" id="{00000000-0008-0000-2000-0000A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7" name="179 CuadroTexto">
          <a:extLst>
            <a:ext uri="{FF2B5EF4-FFF2-40B4-BE49-F238E27FC236}">
              <a16:creationId xmlns:a16="http://schemas.microsoft.com/office/drawing/2014/main" id="{00000000-0008-0000-2000-0000A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8" name="180 CuadroTexto">
          <a:extLst>
            <a:ext uri="{FF2B5EF4-FFF2-40B4-BE49-F238E27FC236}">
              <a16:creationId xmlns:a16="http://schemas.microsoft.com/office/drawing/2014/main" id="{00000000-0008-0000-2000-0000A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9" name="181 CuadroTexto">
          <a:extLst>
            <a:ext uri="{FF2B5EF4-FFF2-40B4-BE49-F238E27FC236}">
              <a16:creationId xmlns:a16="http://schemas.microsoft.com/office/drawing/2014/main" id="{00000000-0008-0000-2000-0000A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0" name="182 CuadroTexto">
          <a:extLst>
            <a:ext uri="{FF2B5EF4-FFF2-40B4-BE49-F238E27FC236}">
              <a16:creationId xmlns:a16="http://schemas.microsoft.com/office/drawing/2014/main" id="{00000000-0008-0000-2000-0000A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1" name="183 CuadroTexto">
          <a:extLst>
            <a:ext uri="{FF2B5EF4-FFF2-40B4-BE49-F238E27FC236}">
              <a16:creationId xmlns:a16="http://schemas.microsoft.com/office/drawing/2014/main" id="{00000000-0008-0000-2000-0000A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2" name="184 CuadroTexto">
          <a:extLst>
            <a:ext uri="{FF2B5EF4-FFF2-40B4-BE49-F238E27FC236}">
              <a16:creationId xmlns:a16="http://schemas.microsoft.com/office/drawing/2014/main" id="{00000000-0008-0000-2000-0000A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3" name="185 CuadroTexto">
          <a:extLst>
            <a:ext uri="{FF2B5EF4-FFF2-40B4-BE49-F238E27FC236}">
              <a16:creationId xmlns:a16="http://schemas.microsoft.com/office/drawing/2014/main" id="{00000000-0008-0000-2000-0000A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4" name="186 CuadroTexto">
          <a:extLst>
            <a:ext uri="{FF2B5EF4-FFF2-40B4-BE49-F238E27FC236}">
              <a16:creationId xmlns:a16="http://schemas.microsoft.com/office/drawing/2014/main" id="{00000000-0008-0000-2000-0000A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5" name="187 CuadroTexto">
          <a:extLst>
            <a:ext uri="{FF2B5EF4-FFF2-40B4-BE49-F238E27FC236}">
              <a16:creationId xmlns:a16="http://schemas.microsoft.com/office/drawing/2014/main" id="{00000000-0008-0000-2000-0000A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6" name="188 CuadroTexto">
          <a:extLst>
            <a:ext uri="{FF2B5EF4-FFF2-40B4-BE49-F238E27FC236}">
              <a16:creationId xmlns:a16="http://schemas.microsoft.com/office/drawing/2014/main" id="{00000000-0008-0000-2000-0000A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7" name="189 CuadroTexto">
          <a:extLst>
            <a:ext uri="{FF2B5EF4-FFF2-40B4-BE49-F238E27FC236}">
              <a16:creationId xmlns:a16="http://schemas.microsoft.com/office/drawing/2014/main" id="{00000000-0008-0000-2000-0000A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8" name="190 CuadroTexto">
          <a:extLst>
            <a:ext uri="{FF2B5EF4-FFF2-40B4-BE49-F238E27FC236}">
              <a16:creationId xmlns:a16="http://schemas.microsoft.com/office/drawing/2014/main" id="{00000000-0008-0000-2000-0000B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9" name="191 CuadroTexto">
          <a:extLst>
            <a:ext uri="{FF2B5EF4-FFF2-40B4-BE49-F238E27FC236}">
              <a16:creationId xmlns:a16="http://schemas.microsoft.com/office/drawing/2014/main" id="{00000000-0008-0000-2000-0000B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0" name="192 CuadroTexto">
          <a:extLst>
            <a:ext uri="{FF2B5EF4-FFF2-40B4-BE49-F238E27FC236}">
              <a16:creationId xmlns:a16="http://schemas.microsoft.com/office/drawing/2014/main" id="{00000000-0008-0000-2000-0000B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1" name="193 CuadroTexto">
          <a:extLst>
            <a:ext uri="{FF2B5EF4-FFF2-40B4-BE49-F238E27FC236}">
              <a16:creationId xmlns:a16="http://schemas.microsoft.com/office/drawing/2014/main" id="{00000000-0008-0000-2000-0000B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2" name="194 CuadroTexto">
          <a:extLst>
            <a:ext uri="{FF2B5EF4-FFF2-40B4-BE49-F238E27FC236}">
              <a16:creationId xmlns:a16="http://schemas.microsoft.com/office/drawing/2014/main" id="{00000000-0008-0000-2000-0000B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3" name="195 CuadroTexto">
          <a:extLst>
            <a:ext uri="{FF2B5EF4-FFF2-40B4-BE49-F238E27FC236}">
              <a16:creationId xmlns:a16="http://schemas.microsoft.com/office/drawing/2014/main" id="{00000000-0008-0000-2000-0000B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4" name="196 CuadroTexto">
          <a:extLst>
            <a:ext uri="{FF2B5EF4-FFF2-40B4-BE49-F238E27FC236}">
              <a16:creationId xmlns:a16="http://schemas.microsoft.com/office/drawing/2014/main" id="{00000000-0008-0000-2000-0000B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5" name="197 CuadroTexto">
          <a:extLst>
            <a:ext uri="{FF2B5EF4-FFF2-40B4-BE49-F238E27FC236}">
              <a16:creationId xmlns:a16="http://schemas.microsoft.com/office/drawing/2014/main" id="{00000000-0008-0000-2000-0000B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6" name="198 CuadroTexto">
          <a:extLst>
            <a:ext uri="{FF2B5EF4-FFF2-40B4-BE49-F238E27FC236}">
              <a16:creationId xmlns:a16="http://schemas.microsoft.com/office/drawing/2014/main" id="{00000000-0008-0000-2000-0000B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7" name="199 CuadroTexto">
          <a:extLst>
            <a:ext uri="{FF2B5EF4-FFF2-40B4-BE49-F238E27FC236}">
              <a16:creationId xmlns:a16="http://schemas.microsoft.com/office/drawing/2014/main" id="{00000000-0008-0000-2000-0000B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8" name="200 CuadroTexto">
          <a:extLst>
            <a:ext uri="{FF2B5EF4-FFF2-40B4-BE49-F238E27FC236}">
              <a16:creationId xmlns:a16="http://schemas.microsoft.com/office/drawing/2014/main" id="{00000000-0008-0000-2000-0000B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9" name="201 CuadroTexto">
          <a:extLst>
            <a:ext uri="{FF2B5EF4-FFF2-40B4-BE49-F238E27FC236}">
              <a16:creationId xmlns:a16="http://schemas.microsoft.com/office/drawing/2014/main" id="{00000000-0008-0000-2000-0000B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0" name="202 CuadroTexto">
          <a:extLst>
            <a:ext uri="{FF2B5EF4-FFF2-40B4-BE49-F238E27FC236}">
              <a16:creationId xmlns:a16="http://schemas.microsoft.com/office/drawing/2014/main" id="{00000000-0008-0000-2000-0000B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1" name="203 CuadroTexto">
          <a:extLst>
            <a:ext uri="{FF2B5EF4-FFF2-40B4-BE49-F238E27FC236}">
              <a16:creationId xmlns:a16="http://schemas.microsoft.com/office/drawing/2014/main" id="{00000000-0008-0000-2000-0000B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2" name="204 CuadroTexto">
          <a:extLst>
            <a:ext uri="{FF2B5EF4-FFF2-40B4-BE49-F238E27FC236}">
              <a16:creationId xmlns:a16="http://schemas.microsoft.com/office/drawing/2014/main" id="{00000000-0008-0000-2000-0000B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3" name="205 CuadroTexto">
          <a:extLst>
            <a:ext uri="{FF2B5EF4-FFF2-40B4-BE49-F238E27FC236}">
              <a16:creationId xmlns:a16="http://schemas.microsoft.com/office/drawing/2014/main" id="{00000000-0008-0000-2000-0000B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4" name="206 CuadroTexto">
          <a:extLst>
            <a:ext uri="{FF2B5EF4-FFF2-40B4-BE49-F238E27FC236}">
              <a16:creationId xmlns:a16="http://schemas.microsoft.com/office/drawing/2014/main" id="{00000000-0008-0000-2000-0000C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5" name="207 CuadroTexto">
          <a:extLst>
            <a:ext uri="{FF2B5EF4-FFF2-40B4-BE49-F238E27FC236}">
              <a16:creationId xmlns:a16="http://schemas.microsoft.com/office/drawing/2014/main" id="{00000000-0008-0000-2000-0000C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6" name="208 CuadroTexto">
          <a:extLst>
            <a:ext uri="{FF2B5EF4-FFF2-40B4-BE49-F238E27FC236}">
              <a16:creationId xmlns:a16="http://schemas.microsoft.com/office/drawing/2014/main" id="{00000000-0008-0000-2000-0000C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7" name="209 CuadroTexto">
          <a:extLst>
            <a:ext uri="{FF2B5EF4-FFF2-40B4-BE49-F238E27FC236}">
              <a16:creationId xmlns:a16="http://schemas.microsoft.com/office/drawing/2014/main" id="{00000000-0008-0000-2000-0000C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8" name="210 CuadroTexto">
          <a:extLst>
            <a:ext uri="{FF2B5EF4-FFF2-40B4-BE49-F238E27FC236}">
              <a16:creationId xmlns:a16="http://schemas.microsoft.com/office/drawing/2014/main" id="{00000000-0008-0000-2000-0000C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9" name="211 CuadroTexto">
          <a:extLst>
            <a:ext uri="{FF2B5EF4-FFF2-40B4-BE49-F238E27FC236}">
              <a16:creationId xmlns:a16="http://schemas.microsoft.com/office/drawing/2014/main" id="{00000000-0008-0000-2000-0000C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0" name="212 CuadroTexto">
          <a:extLst>
            <a:ext uri="{FF2B5EF4-FFF2-40B4-BE49-F238E27FC236}">
              <a16:creationId xmlns:a16="http://schemas.microsoft.com/office/drawing/2014/main" id="{00000000-0008-0000-2000-0000C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1" name="213 CuadroTexto">
          <a:extLst>
            <a:ext uri="{FF2B5EF4-FFF2-40B4-BE49-F238E27FC236}">
              <a16:creationId xmlns:a16="http://schemas.microsoft.com/office/drawing/2014/main" id="{00000000-0008-0000-2000-0000C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2" name="214 CuadroTexto">
          <a:extLst>
            <a:ext uri="{FF2B5EF4-FFF2-40B4-BE49-F238E27FC236}">
              <a16:creationId xmlns:a16="http://schemas.microsoft.com/office/drawing/2014/main" id="{00000000-0008-0000-2000-0000C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3" name="215 CuadroTexto">
          <a:extLst>
            <a:ext uri="{FF2B5EF4-FFF2-40B4-BE49-F238E27FC236}">
              <a16:creationId xmlns:a16="http://schemas.microsoft.com/office/drawing/2014/main" id="{00000000-0008-0000-2000-0000C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4" name="216 CuadroTexto">
          <a:extLst>
            <a:ext uri="{FF2B5EF4-FFF2-40B4-BE49-F238E27FC236}">
              <a16:creationId xmlns:a16="http://schemas.microsoft.com/office/drawing/2014/main" id="{00000000-0008-0000-2000-0000C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5" name="217 CuadroTexto">
          <a:extLst>
            <a:ext uri="{FF2B5EF4-FFF2-40B4-BE49-F238E27FC236}">
              <a16:creationId xmlns:a16="http://schemas.microsoft.com/office/drawing/2014/main" id="{00000000-0008-0000-2000-0000C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6" name="218 CuadroTexto">
          <a:extLst>
            <a:ext uri="{FF2B5EF4-FFF2-40B4-BE49-F238E27FC236}">
              <a16:creationId xmlns:a16="http://schemas.microsoft.com/office/drawing/2014/main" id="{00000000-0008-0000-2000-0000C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7" name="219 CuadroTexto">
          <a:extLst>
            <a:ext uri="{FF2B5EF4-FFF2-40B4-BE49-F238E27FC236}">
              <a16:creationId xmlns:a16="http://schemas.microsoft.com/office/drawing/2014/main" id="{00000000-0008-0000-2000-0000C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8" name="220 CuadroTexto">
          <a:extLst>
            <a:ext uri="{FF2B5EF4-FFF2-40B4-BE49-F238E27FC236}">
              <a16:creationId xmlns:a16="http://schemas.microsoft.com/office/drawing/2014/main" id="{00000000-0008-0000-2000-0000C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9" name="221 CuadroTexto">
          <a:extLst>
            <a:ext uri="{FF2B5EF4-FFF2-40B4-BE49-F238E27FC236}">
              <a16:creationId xmlns:a16="http://schemas.microsoft.com/office/drawing/2014/main" id="{00000000-0008-0000-2000-0000C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0" name="222 CuadroTexto">
          <a:extLst>
            <a:ext uri="{FF2B5EF4-FFF2-40B4-BE49-F238E27FC236}">
              <a16:creationId xmlns:a16="http://schemas.microsoft.com/office/drawing/2014/main" id="{00000000-0008-0000-2000-0000D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1" name="223 CuadroTexto">
          <a:extLst>
            <a:ext uri="{FF2B5EF4-FFF2-40B4-BE49-F238E27FC236}">
              <a16:creationId xmlns:a16="http://schemas.microsoft.com/office/drawing/2014/main" id="{00000000-0008-0000-2000-0000D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2" name="224 CuadroTexto">
          <a:extLst>
            <a:ext uri="{FF2B5EF4-FFF2-40B4-BE49-F238E27FC236}">
              <a16:creationId xmlns:a16="http://schemas.microsoft.com/office/drawing/2014/main" id="{00000000-0008-0000-2000-0000D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3" name="225 CuadroTexto">
          <a:extLst>
            <a:ext uri="{FF2B5EF4-FFF2-40B4-BE49-F238E27FC236}">
              <a16:creationId xmlns:a16="http://schemas.microsoft.com/office/drawing/2014/main" id="{00000000-0008-0000-2000-0000D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4" name="226 CuadroTexto">
          <a:extLst>
            <a:ext uri="{FF2B5EF4-FFF2-40B4-BE49-F238E27FC236}">
              <a16:creationId xmlns:a16="http://schemas.microsoft.com/office/drawing/2014/main" id="{00000000-0008-0000-2000-0000D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5" name="227 CuadroTexto">
          <a:extLst>
            <a:ext uri="{FF2B5EF4-FFF2-40B4-BE49-F238E27FC236}">
              <a16:creationId xmlns:a16="http://schemas.microsoft.com/office/drawing/2014/main" id="{00000000-0008-0000-2000-0000D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6" name="228 CuadroTexto">
          <a:extLst>
            <a:ext uri="{FF2B5EF4-FFF2-40B4-BE49-F238E27FC236}">
              <a16:creationId xmlns:a16="http://schemas.microsoft.com/office/drawing/2014/main" id="{00000000-0008-0000-2000-0000D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7" name="229 CuadroTexto">
          <a:extLst>
            <a:ext uri="{FF2B5EF4-FFF2-40B4-BE49-F238E27FC236}">
              <a16:creationId xmlns:a16="http://schemas.microsoft.com/office/drawing/2014/main" id="{00000000-0008-0000-2000-0000D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8" name="230 CuadroTexto">
          <a:extLst>
            <a:ext uri="{FF2B5EF4-FFF2-40B4-BE49-F238E27FC236}">
              <a16:creationId xmlns:a16="http://schemas.microsoft.com/office/drawing/2014/main" id="{00000000-0008-0000-2000-0000D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9" name="231 CuadroTexto">
          <a:extLst>
            <a:ext uri="{FF2B5EF4-FFF2-40B4-BE49-F238E27FC236}">
              <a16:creationId xmlns:a16="http://schemas.microsoft.com/office/drawing/2014/main" id="{00000000-0008-0000-2000-0000D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0" name="232 CuadroTexto">
          <a:extLst>
            <a:ext uri="{FF2B5EF4-FFF2-40B4-BE49-F238E27FC236}">
              <a16:creationId xmlns:a16="http://schemas.microsoft.com/office/drawing/2014/main" id="{00000000-0008-0000-2000-0000D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1" name="233 CuadroTexto">
          <a:extLst>
            <a:ext uri="{FF2B5EF4-FFF2-40B4-BE49-F238E27FC236}">
              <a16:creationId xmlns:a16="http://schemas.microsoft.com/office/drawing/2014/main" id="{00000000-0008-0000-2000-0000D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2" name="234 CuadroTexto">
          <a:extLst>
            <a:ext uri="{FF2B5EF4-FFF2-40B4-BE49-F238E27FC236}">
              <a16:creationId xmlns:a16="http://schemas.microsoft.com/office/drawing/2014/main" id="{00000000-0008-0000-2000-0000D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3" name="235 CuadroTexto">
          <a:extLst>
            <a:ext uri="{FF2B5EF4-FFF2-40B4-BE49-F238E27FC236}">
              <a16:creationId xmlns:a16="http://schemas.microsoft.com/office/drawing/2014/main" id="{00000000-0008-0000-2000-0000D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4" name="236 CuadroTexto">
          <a:extLst>
            <a:ext uri="{FF2B5EF4-FFF2-40B4-BE49-F238E27FC236}">
              <a16:creationId xmlns:a16="http://schemas.microsoft.com/office/drawing/2014/main" id="{00000000-0008-0000-2000-0000D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5" name="237 CuadroTexto">
          <a:extLst>
            <a:ext uri="{FF2B5EF4-FFF2-40B4-BE49-F238E27FC236}">
              <a16:creationId xmlns:a16="http://schemas.microsoft.com/office/drawing/2014/main" id="{00000000-0008-0000-2000-0000D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6" name="238 CuadroTexto">
          <a:extLst>
            <a:ext uri="{FF2B5EF4-FFF2-40B4-BE49-F238E27FC236}">
              <a16:creationId xmlns:a16="http://schemas.microsoft.com/office/drawing/2014/main" id="{00000000-0008-0000-2000-0000E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7" name="239 CuadroTexto">
          <a:extLst>
            <a:ext uri="{FF2B5EF4-FFF2-40B4-BE49-F238E27FC236}">
              <a16:creationId xmlns:a16="http://schemas.microsoft.com/office/drawing/2014/main" id="{00000000-0008-0000-2000-0000E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8" name="240 CuadroTexto">
          <a:extLst>
            <a:ext uri="{FF2B5EF4-FFF2-40B4-BE49-F238E27FC236}">
              <a16:creationId xmlns:a16="http://schemas.microsoft.com/office/drawing/2014/main" id="{00000000-0008-0000-2000-0000E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9" name="241 CuadroTexto">
          <a:extLst>
            <a:ext uri="{FF2B5EF4-FFF2-40B4-BE49-F238E27FC236}">
              <a16:creationId xmlns:a16="http://schemas.microsoft.com/office/drawing/2014/main" id="{00000000-0008-0000-2000-0000E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0" name="242 CuadroTexto">
          <a:extLst>
            <a:ext uri="{FF2B5EF4-FFF2-40B4-BE49-F238E27FC236}">
              <a16:creationId xmlns:a16="http://schemas.microsoft.com/office/drawing/2014/main" id="{00000000-0008-0000-2000-0000E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1" name="243 CuadroTexto">
          <a:extLst>
            <a:ext uri="{FF2B5EF4-FFF2-40B4-BE49-F238E27FC236}">
              <a16:creationId xmlns:a16="http://schemas.microsoft.com/office/drawing/2014/main" id="{00000000-0008-0000-2000-0000E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2" name="244 CuadroTexto">
          <a:extLst>
            <a:ext uri="{FF2B5EF4-FFF2-40B4-BE49-F238E27FC236}">
              <a16:creationId xmlns:a16="http://schemas.microsoft.com/office/drawing/2014/main" id="{00000000-0008-0000-2000-0000E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3" name="245 CuadroTexto">
          <a:extLst>
            <a:ext uri="{FF2B5EF4-FFF2-40B4-BE49-F238E27FC236}">
              <a16:creationId xmlns:a16="http://schemas.microsoft.com/office/drawing/2014/main" id="{00000000-0008-0000-2000-0000E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4" name="246 CuadroTexto">
          <a:extLst>
            <a:ext uri="{FF2B5EF4-FFF2-40B4-BE49-F238E27FC236}">
              <a16:creationId xmlns:a16="http://schemas.microsoft.com/office/drawing/2014/main" id="{00000000-0008-0000-2000-0000E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5" name="247 CuadroTexto">
          <a:extLst>
            <a:ext uri="{FF2B5EF4-FFF2-40B4-BE49-F238E27FC236}">
              <a16:creationId xmlns:a16="http://schemas.microsoft.com/office/drawing/2014/main" id="{00000000-0008-0000-2000-0000E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6" name="248 CuadroTexto">
          <a:extLst>
            <a:ext uri="{FF2B5EF4-FFF2-40B4-BE49-F238E27FC236}">
              <a16:creationId xmlns:a16="http://schemas.microsoft.com/office/drawing/2014/main" id="{00000000-0008-0000-2000-0000E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7" name="249 CuadroTexto">
          <a:extLst>
            <a:ext uri="{FF2B5EF4-FFF2-40B4-BE49-F238E27FC236}">
              <a16:creationId xmlns:a16="http://schemas.microsoft.com/office/drawing/2014/main" id="{00000000-0008-0000-2000-0000E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8" name="250 CuadroTexto">
          <a:extLst>
            <a:ext uri="{FF2B5EF4-FFF2-40B4-BE49-F238E27FC236}">
              <a16:creationId xmlns:a16="http://schemas.microsoft.com/office/drawing/2014/main" id="{00000000-0008-0000-2000-0000E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9" name="251 CuadroTexto">
          <a:extLst>
            <a:ext uri="{FF2B5EF4-FFF2-40B4-BE49-F238E27FC236}">
              <a16:creationId xmlns:a16="http://schemas.microsoft.com/office/drawing/2014/main" id="{00000000-0008-0000-2000-0000E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0" name="252 CuadroTexto">
          <a:extLst>
            <a:ext uri="{FF2B5EF4-FFF2-40B4-BE49-F238E27FC236}">
              <a16:creationId xmlns:a16="http://schemas.microsoft.com/office/drawing/2014/main" id="{00000000-0008-0000-2000-0000E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1" name="253 CuadroTexto">
          <a:extLst>
            <a:ext uri="{FF2B5EF4-FFF2-40B4-BE49-F238E27FC236}">
              <a16:creationId xmlns:a16="http://schemas.microsoft.com/office/drawing/2014/main" id="{00000000-0008-0000-2000-0000E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2" name="254 CuadroTexto">
          <a:extLst>
            <a:ext uri="{FF2B5EF4-FFF2-40B4-BE49-F238E27FC236}">
              <a16:creationId xmlns:a16="http://schemas.microsoft.com/office/drawing/2014/main" id="{00000000-0008-0000-2000-0000F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3" name="255 CuadroTexto">
          <a:extLst>
            <a:ext uri="{FF2B5EF4-FFF2-40B4-BE49-F238E27FC236}">
              <a16:creationId xmlns:a16="http://schemas.microsoft.com/office/drawing/2014/main" id="{00000000-0008-0000-2000-0000F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4" name="256 CuadroTexto">
          <a:extLst>
            <a:ext uri="{FF2B5EF4-FFF2-40B4-BE49-F238E27FC236}">
              <a16:creationId xmlns:a16="http://schemas.microsoft.com/office/drawing/2014/main" id="{00000000-0008-0000-2000-0000F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5" name="257 CuadroTexto">
          <a:extLst>
            <a:ext uri="{FF2B5EF4-FFF2-40B4-BE49-F238E27FC236}">
              <a16:creationId xmlns:a16="http://schemas.microsoft.com/office/drawing/2014/main" id="{00000000-0008-0000-2000-0000F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6" name="258 CuadroTexto">
          <a:extLst>
            <a:ext uri="{FF2B5EF4-FFF2-40B4-BE49-F238E27FC236}">
              <a16:creationId xmlns:a16="http://schemas.microsoft.com/office/drawing/2014/main" id="{00000000-0008-0000-2000-0000F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7" name="259 CuadroTexto">
          <a:extLst>
            <a:ext uri="{FF2B5EF4-FFF2-40B4-BE49-F238E27FC236}">
              <a16:creationId xmlns:a16="http://schemas.microsoft.com/office/drawing/2014/main" id="{00000000-0008-0000-2000-0000F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8" name="260 CuadroTexto">
          <a:extLst>
            <a:ext uri="{FF2B5EF4-FFF2-40B4-BE49-F238E27FC236}">
              <a16:creationId xmlns:a16="http://schemas.microsoft.com/office/drawing/2014/main" id="{00000000-0008-0000-2000-0000F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9" name="261 CuadroTexto">
          <a:extLst>
            <a:ext uri="{FF2B5EF4-FFF2-40B4-BE49-F238E27FC236}">
              <a16:creationId xmlns:a16="http://schemas.microsoft.com/office/drawing/2014/main" id="{00000000-0008-0000-2000-0000F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0" name="262 CuadroTexto">
          <a:extLst>
            <a:ext uri="{FF2B5EF4-FFF2-40B4-BE49-F238E27FC236}">
              <a16:creationId xmlns:a16="http://schemas.microsoft.com/office/drawing/2014/main" id="{00000000-0008-0000-2000-0000F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1" name="263 CuadroTexto">
          <a:extLst>
            <a:ext uri="{FF2B5EF4-FFF2-40B4-BE49-F238E27FC236}">
              <a16:creationId xmlns:a16="http://schemas.microsoft.com/office/drawing/2014/main" id="{00000000-0008-0000-2000-0000F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2" name="264 CuadroTexto">
          <a:extLst>
            <a:ext uri="{FF2B5EF4-FFF2-40B4-BE49-F238E27FC236}">
              <a16:creationId xmlns:a16="http://schemas.microsoft.com/office/drawing/2014/main" id="{00000000-0008-0000-2000-0000F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3" name="265 CuadroTexto">
          <a:extLst>
            <a:ext uri="{FF2B5EF4-FFF2-40B4-BE49-F238E27FC236}">
              <a16:creationId xmlns:a16="http://schemas.microsoft.com/office/drawing/2014/main" id="{00000000-0008-0000-2000-0000F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4" name="266 CuadroTexto">
          <a:extLst>
            <a:ext uri="{FF2B5EF4-FFF2-40B4-BE49-F238E27FC236}">
              <a16:creationId xmlns:a16="http://schemas.microsoft.com/office/drawing/2014/main" id="{00000000-0008-0000-2000-0000F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5" name="267 CuadroTexto">
          <a:extLst>
            <a:ext uri="{FF2B5EF4-FFF2-40B4-BE49-F238E27FC236}">
              <a16:creationId xmlns:a16="http://schemas.microsoft.com/office/drawing/2014/main" id="{00000000-0008-0000-2000-0000F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766" name="268 CuadroTexto">
          <a:extLst>
            <a:ext uri="{FF2B5EF4-FFF2-40B4-BE49-F238E27FC236}">
              <a16:creationId xmlns:a16="http://schemas.microsoft.com/office/drawing/2014/main" id="{00000000-0008-0000-2000-0000F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7" name="269 CuadroTexto">
          <a:extLst>
            <a:ext uri="{FF2B5EF4-FFF2-40B4-BE49-F238E27FC236}">
              <a16:creationId xmlns:a16="http://schemas.microsoft.com/office/drawing/2014/main" id="{00000000-0008-0000-2000-0000F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8" name="270 CuadroTexto">
          <a:extLst>
            <a:ext uri="{FF2B5EF4-FFF2-40B4-BE49-F238E27FC236}">
              <a16:creationId xmlns:a16="http://schemas.microsoft.com/office/drawing/2014/main" id="{00000000-0008-0000-2000-00000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9" name="271 CuadroTexto">
          <a:extLst>
            <a:ext uri="{FF2B5EF4-FFF2-40B4-BE49-F238E27FC236}">
              <a16:creationId xmlns:a16="http://schemas.microsoft.com/office/drawing/2014/main" id="{00000000-0008-0000-2000-00000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0" name="272 CuadroTexto">
          <a:extLst>
            <a:ext uri="{FF2B5EF4-FFF2-40B4-BE49-F238E27FC236}">
              <a16:creationId xmlns:a16="http://schemas.microsoft.com/office/drawing/2014/main" id="{00000000-0008-0000-2000-00000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1" name="273 CuadroTexto">
          <a:extLst>
            <a:ext uri="{FF2B5EF4-FFF2-40B4-BE49-F238E27FC236}">
              <a16:creationId xmlns:a16="http://schemas.microsoft.com/office/drawing/2014/main" id="{00000000-0008-0000-2000-00000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2" name="274 CuadroTexto">
          <a:extLst>
            <a:ext uri="{FF2B5EF4-FFF2-40B4-BE49-F238E27FC236}">
              <a16:creationId xmlns:a16="http://schemas.microsoft.com/office/drawing/2014/main" id="{00000000-0008-0000-2000-00000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3" name="275 CuadroTexto">
          <a:extLst>
            <a:ext uri="{FF2B5EF4-FFF2-40B4-BE49-F238E27FC236}">
              <a16:creationId xmlns:a16="http://schemas.microsoft.com/office/drawing/2014/main" id="{00000000-0008-0000-2000-00000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4" name="276 CuadroTexto">
          <a:extLst>
            <a:ext uri="{FF2B5EF4-FFF2-40B4-BE49-F238E27FC236}">
              <a16:creationId xmlns:a16="http://schemas.microsoft.com/office/drawing/2014/main" id="{00000000-0008-0000-2000-00000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5" name="277 CuadroTexto">
          <a:extLst>
            <a:ext uri="{FF2B5EF4-FFF2-40B4-BE49-F238E27FC236}">
              <a16:creationId xmlns:a16="http://schemas.microsoft.com/office/drawing/2014/main" id="{00000000-0008-0000-2000-00000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6" name="278 CuadroTexto">
          <a:extLst>
            <a:ext uri="{FF2B5EF4-FFF2-40B4-BE49-F238E27FC236}">
              <a16:creationId xmlns:a16="http://schemas.microsoft.com/office/drawing/2014/main" id="{00000000-0008-0000-2000-00000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7" name="279 CuadroTexto">
          <a:extLst>
            <a:ext uri="{FF2B5EF4-FFF2-40B4-BE49-F238E27FC236}">
              <a16:creationId xmlns:a16="http://schemas.microsoft.com/office/drawing/2014/main" id="{00000000-0008-0000-2000-00000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8" name="280 CuadroTexto">
          <a:extLst>
            <a:ext uri="{FF2B5EF4-FFF2-40B4-BE49-F238E27FC236}">
              <a16:creationId xmlns:a16="http://schemas.microsoft.com/office/drawing/2014/main" id="{00000000-0008-0000-2000-00000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9" name="281 CuadroTexto">
          <a:extLst>
            <a:ext uri="{FF2B5EF4-FFF2-40B4-BE49-F238E27FC236}">
              <a16:creationId xmlns:a16="http://schemas.microsoft.com/office/drawing/2014/main" id="{00000000-0008-0000-2000-00000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0" name="282 CuadroTexto">
          <a:extLst>
            <a:ext uri="{FF2B5EF4-FFF2-40B4-BE49-F238E27FC236}">
              <a16:creationId xmlns:a16="http://schemas.microsoft.com/office/drawing/2014/main" id="{00000000-0008-0000-2000-00000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1" name="283 CuadroTexto">
          <a:extLst>
            <a:ext uri="{FF2B5EF4-FFF2-40B4-BE49-F238E27FC236}">
              <a16:creationId xmlns:a16="http://schemas.microsoft.com/office/drawing/2014/main" id="{00000000-0008-0000-2000-00000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2" name="284 CuadroTexto">
          <a:extLst>
            <a:ext uri="{FF2B5EF4-FFF2-40B4-BE49-F238E27FC236}">
              <a16:creationId xmlns:a16="http://schemas.microsoft.com/office/drawing/2014/main" id="{00000000-0008-0000-2000-00000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783" name="285 CuadroTexto">
          <a:extLst>
            <a:ext uri="{FF2B5EF4-FFF2-40B4-BE49-F238E27FC236}">
              <a16:creationId xmlns:a16="http://schemas.microsoft.com/office/drawing/2014/main" id="{00000000-0008-0000-2000-00000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4" name="286 CuadroTexto">
          <a:extLst>
            <a:ext uri="{FF2B5EF4-FFF2-40B4-BE49-F238E27FC236}">
              <a16:creationId xmlns:a16="http://schemas.microsoft.com/office/drawing/2014/main" id="{00000000-0008-0000-2000-00001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5" name="287 CuadroTexto">
          <a:extLst>
            <a:ext uri="{FF2B5EF4-FFF2-40B4-BE49-F238E27FC236}">
              <a16:creationId xmlns:a16="http://schemas.microsoft.com/office/drawing/2014/main" id="{00000000-0008-0000-2000-00001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6" name="288 CuadroTexto">
          <a:extLst>
            <a:ext uri="{FF2B5EF4-FFF2-40B4-BE49-F238E27FC236}">
              <a16:creationId xmlns:a16="http://schemas.microsoft.com/office/drawing/2014/main" id="{00000000-0008-0000-2000-00001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7" name="289 CuadroTexto">
          <a:extLst>
            <a:ext uri="{FF2B5EF4-FFF2-40B4-BE49-F238E27FC236}">
              <a16:creationId xmlns:a16="http://schemas.microsoft.com/office/drawing/2014/main" id="{00000000-0008-0000-2000-00001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8" name="290 CuadroTexto">
          <a:extLst>
            <a:ext uri="{FF2B5EF4-FFF2-40B4-BE49-F238E27FC236}">
              <a16:creationId xmlns:a16="http://schemas.microsoft.com/office/drawing/2014/main" id="{00000000-0008-0000-2000-00001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9" name="291 CuadroTexto">
          <a:extLst>
            <a:ext uri="{FF2B5EF4-FFF2-40B4-BE49-F238E27FC236}">
              <a16:creationId xmlns:a16="http://schemas.microsoft.com/office/drawing/2014/main" id="{00000000-0008-0000-2000-00001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0" name="292 CuadroTexto">
          <a:extLst>
            <a:ext uri="{FF2B5EF4-FFF2-40B4-BE49-F238E27FC236}">
              <a16:creationId xmlns:a16="http://schemas.microsoft.com/office/drawing/2014/main" id="{00000000-0008-0000-2000-00001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1" name="293 CuadroTexto">
          <a:extLst>
            <a:ext uri="{FF2B5EF4-FFF2-40B4-BE49-F238E27FC236}">
              <a16:creationId xmlns:a16="http://schemas.microsoft.com/office/drawing/2014/main" id="{00000000-0008-0000-2000-00001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2" name="294 CuadroTexto">
          <a:extLst>
            <a:ext uri="{FF2B5EF4-FFF2-40B4-BE49-F238E27FC236}">
              <a16:creationId xmlns:a16="http://schemas.microsoft.com/office/drawing/2014/main" id="{00000000-0008-0000-2000-00001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3" name="295 CuadroTexto">
          <a:extLst>
            <a:ext uri="{FF2B5EF4-FFF2-40B4-BE49-F238E27FC236}">
              <a16:creationId xmlns:a16="http://schemas.microsoft.com/office/drawing/2014/main" id="{00000000-0008-0000-2000-00001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4" name="296 CuadroTexto">
          <a:extLst>
            <a:ext uri="{FF2B5EF4-FFF2-40B4-BE49-F238E27FC236}">
              <a16:creationId xmlns:a16="http://schemas.microsoft.com/office/drawing/2014/main" id="{00000000-0008-0000-2000-00001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5" name="17 CuadroTexto">
          <a:extLst>
            <a:ext uri="{FF2B5EF4-FFF2-40B4-BE49-F238E27FC236}">
              <a16:creationId xmlns:a16="http://schemas.microsoft.com/office/drawing/2014/main" id="{00000000-0008-0000-2000-00001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796" name="90 CuadroTexto">
          <a:extLst>
            <a:ext uri="{FF2B5EF4-FFF2-40B4-BE49-F238E27FC236}">
              <a16:creationId xmlns:a16="http://schemas.microsoft.com/office/drawing/2014/main" id="{00000000-0008-0000-2000-00001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7" name="91 CuadroTexto">
          <a:extLst>
            <a:ext uri="{FF2B5EF4-FFF2-40B4-BE49-F238E27FC236}">
              <a16:creationId xmlns:a16="http://schemas.microsoft.com/office/drawing/2014/main" id="{00000000-0008-0000-2000-00001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8" name="92 CuadroTexto">
          <a:extLst>
            <a:ext uri="{FF2B5EF4-FFF2-40B4-BE49-F238E27FC236}">
              <a16:creationId xmlns:a16="http://schemas.microsoft.com/office/drawing/2014/main" id="{00000000-0008-0000-2000-00001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9" name="93 CuadroTexto">
          <a:extLst>
            <a:ext uri="{FF2B5EF4-FFF2-40B4-BE49-F238E27FC236}">
              <a16:creationId xmlns:a16="http://schemas.microsoft.com/office/drawing/2014/main" id="{00000000-0008-0000-2000-00001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0" name="94 CuadroTexto">
          <a:extLst>
            <a:ext uri="{FF2B5EF4-FFF2-40B4-BE49-F238E27FC236}">
              <a16:creationId xmlns:a16="http://schemas.microsoft.com/office/drawing/2014/main" id="{00000000-0008-0000-2000-000020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1" name="95 CuadroTexto">
          <a:extLst>
            <a:ext uri="{FF2B5EF4-FFF2-40B4-BE49-F238E27FC236}">
              <a16:creationId xmlns:a16="http://schemas.microsoft.com/office/drawing/2014/main" id="{00000000-0008-0000-2000-000021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2" name="96 CuadroTexto">
          <a:extLst>
            <a:ext uri="{FF2B5EF4-FFF2-40B4-BE49-F238E27FC236}">
              <a16:creationId xmlns:a16="http://schemas.microsoft.com/office/drawing/2014/main" id="{00000000-0008-0000-2000-000022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3" name="97 CuadroTexto">
          <a:extLst>
            <a:ext uri="{FF2B5EF4-FFF2-40B4-BE49-F238E27FC236}">
              <a16:creationId xmlns:a16="http://schemas.microsoft.com/office/drawing/2014/main" id="{00000000-0008-0000-2000-000023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4" name="98 CuadroTexto">
          <a:extLst>
            <a:ext uri="{FF2B5EF4-FFF2-40B4-BE49-F238E27FC236}">
              <a16:creationId xmlns:a16="http://schemas.microsoft.com/office/drawing/2014/main" id="{00000000-0008-0000-2000-00002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5" name="99 CuadroTexto">
          <a:extLst>
            <a:ext uri="{FF2B5EF4-FFF2-40B4-BE49-F238E27FC236}">
              <a16:creationId xmlns:a16="http://schemas.microsoft.com/office/drawing/2014/main" id="{00000000-0008-0000-2000-00002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6" name="100 CuadroTexto">
          <a:extLst>
            <a:ext uri="{FF2B5EF4-FFF2-40B4-BE49-F238E27FC236}">
              <a16:creationId xmlns:a16="http://schemas.microsoft.com/office/drawing/2014/main" id="{00000000-0008-0000-2000-00002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7" name="101 CuadroTexto">
          <a:extLst>
            <a:ext uri="{FF2B5EF4-FFF2-40B4-BE49-F238E27FC236}">
              <a16:creationId xmlns:a16="http://schemas.microsoft.com/office/drawing/2014/main" id="{00000000-0008-0000-2000-00002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808" name="118 CuadroTexto">
          <a:extLst>
            <a:ext uri="{FF2B5EF4-FFF2-40B4-BE49-F238E27FC236}">
              <a16:creationId xmlns:a16="http://schemas.microsoft.com/office/drawing/2014/main" id="{00000000-0008-0000-2000-00002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9" name="119 CuadroTexto">
          <a:extLst>
            <a:ext uri="{FF2B5EF4-FFF2-40B4-BE49-F238E27FC236}">
              <a16:creationId xmlns:a16="http://schemas.microsoft.com/office/drawing/2014/main" id="{00000000-0008-0000-2000-00002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0" name="120 CuadroTexto">
          <a:extLst>
            <a:ext uri="{FF2B5EF4-FFF2-40B4-BE49-F238E27FC236}">
              <a16:creationId xmlns:a16="http://schemas.microsoft.com/office/drawing/2014/main" id="{00000000-0008-0000-2000-00002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1" name="121 CuadroTexto">
          <a:extLst>
            <a:ext uri="{FF2B5EF4-FFF2-40B4-BE49-F238E27FC236}">
              <a16:creationId xmlns:a16="http://schemas.microsoft.com/office/drawing/2014/main" id="{00000000-0008-0000-2000-00002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2" name="122 CuadroTexto">
          <a:extLst>
            <a:ext uri="{FF2B5EF4-FFF2-40B4-BE49-F238E27FC236}">
              <a16:creationId xmlns:a16="http://schemas.microsoft.com/office/drawing/2014/main" id="{00000000-0008-0000-2000-00002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3" name="123 CuadroTexto">
          <a:extLst>
            <a:ext uri="{FF2B5EF4-FFF2-40B4-BE49-F238E27FC236}">
              <a16:creationId xmlns:a16="http://schemas.microsoft.com/office/drawing/2014/main" id="{00000000-0008-0000-2000-00002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4" name="124 CuadroTexto">
          <a:extLst>
            <a:ext uri="{FF2B5EF4-FFF2-40B4-BE49-F238E27FC236}">
              <a16:creationId xmlns:a16="http://schemas.microsoft.com/office/drawing/2014/main" id="{00000000-0008-0000-2000-00002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5" name="125 CuadroTexto">
          <a:extLst>
            <a:ext uri="{FF2B5EF4-FFF2-40B4-BE49-F238E27FC236}">
              <a16:creationId xmlns:a16="http://schemas.microsoft.com/office/drawing/2014/main" id="{00000000-0008-0000-2000-00002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6" name="143 CuadroTexto">
          <a:extLst>
            <a:ext uri="{FF2B5EF4-FFF2-40B4-BE49-F238E27FC236}">
              <a16:creationId xmlns:a16="http://schemas.microsoft.com/office/drawing/2014/main" id="{00000000-0008-0000-2000-00003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7" name="144 CuadroTexto">
          <a:extLst>
            <a:ext uri="{FF2B5EF4-FFF2-40B4-BE49-F238E27FC236}">
              <a16:creationId xmlns:a16="http://schemas.microsoft.com/office/drawing/2014/main" id="{00000000-0008-0000-2000-00003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8" name="145 CuadroTexto">
          <a:extLst>
            <a:ext uri="{FF2B5EF4-FFF2-40B4-BE49-F238E27FC236}">
              <a16:creationId xmlns:a16="http://schemas.microsoft.com/office/drawing/2014/main" id="{00000000-0008-0000-2000-00003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9" name="146 CuadroTexto">
          <a:extLst>
            <a:ext uri="{FF2B5EF4-FFF2-40B4-BE49-F238E27FC236}">
              <a16:creationId xmlns:a16="http://schemas.microsoft.com/office/drawing/2014/main" id="{00000000-0008-0000-2000-00003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0" name="147 CuadroTexto">
          <a:extLst>
            <a:ext uri="{FF2B5EF4-FFF2-40B4-BE49-F238E27FC236}">
              <a16:creationId xmlns:a16="http://schemas.microsoft.com/office/drawing/2014/main" id="{00000000-0008-0000-2000-00003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1" name="148 CuadroTexto">
          <a:extLst>
            <a:ext uri="{FF2B5EF4-FFF2-40B4-BE49-F238E27FC236}">
              <a16:creationId xmlns:a16="http://schemas.microsoft.com/office/drawing/2014/main" id="{00000000-0008-0000-2000-00003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2" name="149 CuadroTexto">
          <a:extLst>
            <a:ext uri="{FF2B5EF4-FFF2-40B4-BE49-F238E27FC236}">
              <a16:creationId xmlns:a16="http://schemas.microsoft.com/office/drawing/2014/main" id="{00000000-0008-0000-2000-00003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3" name="150 CuadroTexto">
          <a:extLst>
            <a:ext uri="{FF2B5EF4-FFF2-40B4-BE49-F238E27FC236}">
              <a16:creationId xmlns:a16="http://schemas.microsoft.com/office/drawing/2014/main" id="{00000000-0008-0000-2000-00003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4" name="151 CuadroTexto">
          <a:extLst>
            <a:ext uri="{FF2B5EF4-FFF2-40B4-BE49-F238E27FC236}">
              <a16:creationId xmlns:a16="http://schemas.microsoft.com/office/drawing/2014/main" id="{00000000-0008-0000-2000-00003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5" name="152 CuadroTexto">
          <a:extLst>
            <a:ext uri="{FF2B5EF4-FFF2-40B4-BE49-F238E27FC236}">
              <a16:creationId xmlns:a16="http://schemas.microsoft.com/office/drawing/2014/main" id="{00000000-0008-0000-2000-00003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6" name="153 CuadroTexto">
          <a:extLst>
            <a:ext uri="{FF2B5EF4-FFF2-40B4-BE49-F238E27FC236}">
              <a16:creationId xmlns:a16="http://schemas.microsoft.com/office/drawing/2014/main" id="{00000000-0008-0000-2000-00003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7" name="154 CuadroTexto">
          <a:extLst>
            <a:ext uri="{FF2B5EF4-FFF2-40B4-BE49-F238E27FC236}">
              <a16:creationId xmlns:a16="http://schemas.microsoft.com/office/drawing/2014/main" id="{00000000-0008-0000-2000-00003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8" name="155 CuadroTexto">
          <a:extLst>
            <a:ext uri="{FF2B5EF4-FFF2-40B4-BE49-F238E27FC236}">
              <a16:creationId xmlns:a16="http://schemas.microsoft.com/office/drawing/2014/main" id="{00000000-0008-0000-2000-00003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9" name="156 CuadroTexto">
          <a:extLst>
            <a:ext uri="{FF2B5EF4-FFF2-40B4-BE49-F238E27FC236}">
              <a16:creationId xmlns:a16="http://schemas.microsoft.com/office/drawing/2014/main" id="{00000000-0008-0000-2000-00003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0" name="157 CuadroTexto">
          <a:extLst>
            <a:ext uri="{FF2B5EF4-FFF2-40B4-BE49-F238E27FC236}">
              <a16:creationId xmlns:a16="http://schemas.microsoft.com/office/drawing/2014/main" id="{00000000-0008-0000-2000-00003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1" name="158 CuadroTexto">
          <a:extLst>
            <a:ext uri="{FF2B5EF4-FFF2-40B4-BE49-F238E27FC236}">
              <a16:creationId xmlns:a16="http://schemas.microsoft.com/office/drawing/2014/main" id="{00000000-0008-0000-2000-00003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2" name="159 CuadroTexto">
          <a:extLst>
            <a:ext uri="{FF2B5EF4-FFF2-40B4-BE49-F238E27FC236}">
              <a16:creationId xmlns:a16="http://schemas.microsoft.com/office/drawing/2014/main" id="{00000000-0008-0000-2000-00004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3" name="160 CuadroTexto">
          <a:extLst>
            <a:ext uri="{FF2B5EF4-FFF2-40B4-BE49-F238E27FC236}">
              <a16:creationId xmlns:a16="http://schemas.microsoft.com/office/drawing/2014/main" id="{00000000-0008-0000-2000-00004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4" name="161 CuadroTexto">
          <a:extLst>
            <a:ext uri="{FF2B5EF4-FFF2-40B4-BE49-F238E27FC236}">
              <a16:creationId xmlns:a16="http://schemas.microsoft.com/office/drawing/2014/main" id="{00000000-0008-0000-2000-00004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5" name="162 CuadroTexto">
          <a:extLst>
            <a:ext uri="{FF2B5EF4-FFF2-40B4-BE49-F238E27FC236}">
              <a16:creationId xmlns:a16="http://schemas.microsoft.com/office/drawing/2014/main" id="{00000000-0008-0000-2000-00004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6" name="163 CuadroTexto">
          <a:extLst>
            <a:ext uri="{FF2B5EF4-FFF2-40B4-BE49-F238E27FC236}">
              <a16:creationId xmlns:a16="http://schemas.microsoft.com/office/drawing/2014/main" id="{00000000-0008-0000-2000-00004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7" name="164 CuadroTexto">
          <a:extLst>
            <a:ext uri="{FF2B5EF4-FFF2-40B4-BE49-F238E27FC236}">
              <a16:creationId xmlns:a16="http://schemas.microsoft.com/office/drawing/2014/main" id="{00000000-0008-0000-2000-00004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8" name="165 CuadroTexto">
          <a:extLst>
            <a:ext uri="{FF2B5EF4-FFF2-40B4-BE49-F238E27FC236}">
              <a16:creationId xmlns:a16="http://schemas.microsoft.com/office/drawing/2014/main" id="{00000000-0008-0000-2000-00004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9" name="166 CuadroTexto">
          <a:extLst>
            <a:ext uri="{FF2B5EF4-FFF2-40B4-BE49-F238E27FC236}">
              <a16:creationId xmlns:a16="http://schemas.microsoft.com/office/drawing/2014/main" id="{00000000-0008-0000-2000-00004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0" name="167 CuadroTexto">
          <a:extLst>
            <a:ext uri="{FF2B5EF4-FFF2-40B4-BE49-F238E27FC236}">
              <a16:creationId xmlns:a16="http://schemas.microsoft.com/office/drawing/2014/main" id="{00000000-0008-0000-2000-00004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1" name="168 CuadroTexto">
          <a:extLst>
            <a:ext uri="{FF2B5EF4-FFF2-40B4-BE49-F238E27FC236}">
              <a16:creationId xmlns:a16="http://schemas.microsoft.com/office/drawing/2014/main" id="{00000000-0008-0000-2000-00004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2" name="169 CuadroTexto">
          <a:extLst>
            <a:ext uri="{FF2B5EF4-FFF2-40B4-BE49-F238E27FC236}">
              <a16:creationId xmlns:a16="http://schemas.microsoft.com/office/drawing/2014/main" id="{00000000-0008-0000-2000-00004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3" name="170 CuadroTexto">
          <a:extLst>
            <a:ext uri="{FF2B5EF4-FFF2-40B4-BE49-F238E27FC236}">
              <a16:creationId xmlns:a16="http://schemas.microsoft.com/office/drawing/2014/main" id="{00000000-0008-0000-2000-00004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4" name="171 CuadroTexto">
          <a:extLst>
            <a:ext uri="{FF2B5EF4-FFF2-40B4-BE49-F238E27FC236}">
              <a16:creationId xmlns:a16="http://schemas.microsoft.com/office/drawing/2014/main" id="{00000000-0008-0000-2000-00004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5" name="172 CuadroTexto">
          <a:extLst>
            <a:ext uri="{FF2B5EF4-FFF2-40B4-BE49-F238E27FC236}">
              <a16:creationId xmlns:a16="http://schemas.microsoft.com/office/drawing/2014/main" id="{00000000-0008-0000-2000-00004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6" name="173 CuadroTexto">
          <a:extLst>
            <a:ext uri="{FF2B5EF4-FFF2-40B4-BE49-F238E27FC236}">
              <a16:creationId xmlns:a16="http://schemas.microsoft.com/office/drawing/2014/main" id="{00000000-0008-0000-2000-00004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7" name="174 CuadroTexto">
          <a:extLst>
            <a:ext uri="{FF2B5EF4-FFF2-40B4-BE49-F238E27FC236}">
              <a16:creationId xmlns:a16="http://schemas.microsoft.com/office/drawing/2014/main" id="{00000000-0008-0000-2000-00004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8" name="175 CuadroTexto">
          <a:extLst>
            <a:ext uri="{FF2B5EF4-FFF2-40B4-BE49-F238E27FC236}">
              <a16:creationId xmlns:a16="http://schemas.microsoft.com/office/drawing/2014/main" id="{00000000-0008-0000-2000-00005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9" name="176 CuadroTexto">
          <a:extLst>
            <a:ext uri="{FF2B5EF4-FFF2-40B4-BE49-F238E27FC236}">
              <a16:creationId xmlns:a16="http://schemas.microsoft.com/office/drawing/2014/main" id="{00000000-0008-0000-2000-00005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0" name="177 CuadroTexto">
          <a:extLst>
            <a:ext uri="{FF2B5EF4-FFF2-40B4-BE49-F238E27FC236}">
              <a16:creationId xmlns:a16="http://schemas.microsoft.com/office/drawing/2014/main" id="{00000000-0008-0000-2000-00005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1" name="178 CuadroTexto">
          <a:extLst>
            <a:ext uri="{FF2B5EF4-FFF2-40B4-BE49-F238E27FC236}">
              <a16:creationId xmlns:a16="http://schemas.microsoft.com/office/drawing/2014/main" id="{00000000-0008-0000-2000-00005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2" name="179 CuadroTexto">
          <a:extLst>
            <a:ext uri="{FF2B5EF4-FFF2-40B4-BE49-F238E27FC236}">
              <a16:creationId xmlns:a16="http://schemas.microsoft.com/office/drawing/2014/main" id="{00000000-0008-0000-2000-00005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3" name="180 CuadroTexto">
          <a:extLst>
            <a:ext uri="{FF2B5EF4-FFF2-40B4-BE49-F238E27FC236}">
              <a16:creationId xmlns:a16="http://schemas.microsoft.com/office/drawing/2014/main" id="{00000000-0008-0000-2000-00005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4" name="181 CuadroTexto">
          <a:extLst>
            <a:ext uri="{FF2B5EF4-FFF2-40B4-BE49-F238E27FC236}">
              <a16:creationId xmlns:a16="http://schemas.microsoft.com/office/drawing/2014/main" id="{00000000-0008-0000-2000-00005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5" name="182 CuadroTexto">
          <a:extLst>
            <a:ext uri="{FF2B5EF4-FFF2-40B4-BE49-F238E27FC236}">
              <a16:creationId xmlns:a16="http://schemas.microsoft.com/office/drawing/2014/main" id="{00000000-0008-0000-2000-00005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6" name="183 CuadroTexto">
          <a:extLst>
            <a:ext uri="{FF2B5EF4-FFF2-40B4-BE49-F238E27FC236}">
              <a16:creationId xmlns:a16="http://schemas.microsoft.com/office/drawing/2014/main" id="{00000000-0008-0000-2000-00005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7" name="184 CuadroTexto">
          <a:extLst>
            <a:ext uri="{FF2B5EF4-FFF2-40B4-BE49-F238E27FC236}">
              <a16:creationId xmlns:a16="http://schemas.microsoft.com/office/drawing/2014/main" id="{00000000-0008-0000-2000-00005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8" name="185 CuadroTexto">
          <a:extLst>
            <a:ext uri="{FF2B5EF4-FFF2-40B4-BE49-F238E27FC236}">
              <a16:creationId xmlns:a16="http://schemas.microsoft.com/office/drawing/2014/main" id="{00000000-0008-0000-2000-00005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9" name="186 CuadroTexto">
          <a:extLst>
            <a:ext uri="{FF2B5EF4-FFF2-40B4-BE49-F238E27FC236}">
              <a16:creationId xmlns:a16="http://schemas.microsoft.com/office/drawing/2014/main" id="{00000000-0008-0000-2000-00005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0" name="187 CuadroTexto">
          <a:extLst>
            <a:ext uri="{FF2B5EF4-FFF2-40B4-BE49-F238E27FC236}">
              <a16:creationId xmlns:a16="http://schemas.microsoft.com/office/drawing/2014/main" id="{00000000-0008-0000-2000-00005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1" name="188 CuadroTexto">
          <a:extLst>
            <a:ext uri="{FF2B5EF4-FFF2-40B4-BE49-F238E27FC236}">
              <a16:creationId xmlns:a16="http://schemas.microsoft.com/office/drawing/2014/main" id="{00000000-0008-0000-2000-00005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2" name="189 CuadroTexto">
          <a:extLst>
            <a:ext uri="{FF2B5EF4-FFF2-40B4-BE49-F238E27FC236}">
              <a16:creationId xmlns:a16="http://schemas.microsoft.com/office/drawing/2014/main" id="{00000000-0008-0000-2000-00005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3" name="190 CuadroTexto">
          <a:extLst>
            <a:ext uri="{FF2B5EF4-FFF2-40B4-BE49-F238E27FC236}">
              <a16:creationId xmlns:a16="http://schemas.microsoft.com/office/drawing/2014/main" id="{00000000-0008-0000-2000-00005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4" name="191 CuadroTexto">
          <a:extLst>
            <a:ext uri="{FF2B5EF4-FFF2-40B4-BE49-F238E27FC236}">
              <a16:creationId xmlns:a16="http://schemas.microsoft.com/office/drawing/2014/main" id="{00000000-0008-0000-2000-00006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5" name="192 CuadroTexto">
          <a:extLst>
            <a:ext uri="{FF2B5EF4-FFF2-40B4-BE49-F238E27FC236}">
              <a16:creationId xmlns:a16="http://schemas.microsoft.com/office/drawing/2014/main" id="{00000000-0008-0000-2000-00006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6" name="193 CuadroTexto">
          <a:extLst>
            <a:ext uri="{FF2B5EF4-FFF2-40B4-BE49-F238E27FC236}">
              <a16:creationId xmlns:a16="http://schemas.microsoft.com/office/drawing/2014/main" id="{00000000-0008-0000-2000-00006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7" name="194 CuadroTexto">
          <a:extLst>
            <a:ext uri="{FF2B5EF4-FFF2-40B4-BE49-F238E27FC236}">
              <a16:creationId xmlns:a16="http://schemas.microsoft.com/office/drawing/2014/main" id="{00000000-0008-0000-2000-00006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8" name="195 CuadroTexto">
          <a:extLst>
            <a:ext uri="{FF2B5EF4-FFF2-40B4-BE49-F238E27FC236}">
              <a16:creationId xmlns:a16="http://schemas.microsoft.com/office/drawing/2014/main" id="{00000000-0008-0000-2000-00006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9" name="196 CuadroTexto">
          <a:extLst>
            <a:ext uri="{FF2B5EF4-FFF2-40B4-BE49-F238E27FC236}">
              <a16:creationId xmlns:a16="http://schemas.microsoft.com/office/drawing/2014/main" id="{00000000-0008-0000-2000-00006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0" name="197 CuadroTexto">
          <a:extLst>
            <a:ext uri="{FF2B5EF4-FFF2-40B4-BE49-F238E27FC236}">
              <a16:creationId xmlns:a16="http://schemas.microsoft.com/office/drawing/2014/main" id="{00000000-0008-0000-2000-00006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1" name="198 CuadroTexto">
          <a:extLst>
            <a:ext uri="{FF2B5EF4-FFF2-40B4-BE49-F238E27FC236}">
              <a16:creationId xmlns:a16="http://schemas.microsoft.com/office/drawing/2014/main" id="{00000000-0008-0000-2000-00006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2" name="199 CuadroTexto">
          <a:extLst>
            <a:ext uri="{FF2B5EF4-FFF2-40B4-BE49-F238E27FC236}">
              <a16:creationId xmlns:a16="http://schemas.microsoft.com/office/drawing/2014/main" id="{00000000-0008-0000-2000-00006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3" name="200 CuadroTexto">
          <a:extLst>
            <a:ext uri="{FF2B5EF4-FFF2-40B4-BE49-F238E27FC236}">
              <a16:creationId xmlns:a16="http://schemas.microsoft.com/office/drawing/2014/main" id="{00000000-0008-0000-2000-00006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4" name="201 CuadroTexto">
          <a:extLst>
            <a:ext uri="{FF2B5EF4-FFF2-40B4-BE49-F238E27FC236}">
              <a16:creationId xmlns:a16="http://schemas.microsoft.com/office/drawing/2014/main" id="{00000000-0008-0000-2000-00006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5" name="202 CuadroTexto">
          <a:extLst>
            <a:ext uri="{FF2B5EF4-FFF2-40B4-BE49-F238E27FC236}">
              <a16:creationId xmlns:a16="http://schemas.microsoft.com/office/drawing/2014/main" id="{00000000-0008-0000-2000-00006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6" name="203 CuadroTexto">
          <a:extLst>
            <a:ext uri="{FF2B5EF4-FFF2-40B4-BE49-F238E27FC236}">
              <a16:creationId xmlns:a16="http://schemas.microsoft.com/office/drawing/2014/main" id="{00000000-0008-0000-2000-00006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7" name="204 CuadroTexto">
          <a:extLst>
            <a:ext uri="{FF2B5EF4-FFF2-40B4-BE49-F238E27FC236}">
              <a16:creationId xmlns:a16="http://schemas.microsoft.com/office/drawing/2014/main" id="{00000000-0008-0000-2000-00006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8" name="205 CuadroTexto">
          <a:extLst>
            <a:ext uri="{FF2B5EF4-FFF2-40B4-BE49-F238E27FC236}">
              <a16:creationId xmlns:a16="http://schemas.microsoft.com/office/drawing/2014/main" id="{00000000-0008-0000-2000-00006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9" name="206 CuadroTexto">
          <a:extLst>
            <a:ext uri="{FF2B5EF4-FFF2-40B4-BE49-F238E27FC236}">
              <a16:creationId xmlns:a16="http://schemas.microsoft.com/office/drawing/2014/main" id="{00000000-0008-0000-2000-00006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0" name="207 CuadroTexto">
          <a:extLst>
            <a:ext uri="{FF2B5EF4-FFF2-40B4-BE49-F238E27FC236}">
              <a16:creationId xmlns:a16="http://schemas.microsoft.com/office/drawing/2014/main" id="{00000000-0008-0000-2000-00007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1" name="208 CuadroTexto">
          <a:extLst>
            <a:ext uri="{FF2B5EF4-FFF2-40B4-BE49-F238E27FC236}">
              <a16:creationId xmlns:a16="http://schemas.microsoft.com/office/drawing/2014/main" id="{00000000-0008-0000-2000-00007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2" name="209 CuadroTexto">
          <a:extLst>
            <a:ext uri="{FF2B5EF4-FFF2-40B4-BE49-F238E27FC236}">
              <a16:creationId xmlns:a16="http://schemas.microsoft.com/office/drawing/2014/main" id="{00000000-0008-0000-2000-00007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3" name="210 CuadroTexto">
          <a:extLst>
            <a:ext uri="{FF2B5EF4-FFF2-40B4-BE49-F238E27FC236}">
              <a16:creationId xmlns:a16="http://schemas.microsoft.com/office/drawing/2014/main" id="{00000000-0008-0000-2000-00007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4" name="211 CuadroTexto">
          <a:extLst>
            <a:ext uri="{FF2B5EF4-FFF2-40B4-BE49-F238E27FC236}">
              <a16:creationId xmlns:a16="http://schemas.microsoft.com/office/drawing/2014/main" id="{00000000-0008-0000-2000-00007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5" name="212 CuadroTexto">
          <a:extLst>
            <a:ext uri="{FF2B5EF4-FFF2-40B4-BE49-F238E27FC236}">
              <a16:creationId xmlns:a16="http://schemas.microsoft.com/office/drawing/2014/main" id="{00000000-0008-0000-2000-00007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6" name="213 CuadroTexto">
          <a:extLst>
            <a:ext uri="{FF2B5EF4-FFF2-40B4-BE49-F238E27FC236}">
              <a16:creationId xmlns:a16="http://schemas.microsoft.com/office/drawing/2014/main" id="{00000000-0008-0000-2000-00007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7" name="214 CuadroTexto">
          <a:extLst>
            <a:ext uri="{FF2B5EF4-FFF2-40B4-BE49-F238E27FC236}">
              <a16:creationId xmlns:a16="http://schemas.microsoft.com/office/drawing/2014/main" id="{00000000-0008-0000-2000-00007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8" name="215 CuadroTexto">
          <a:extLst>
            <a:ext uri="{FF2B5EF4-FFF2-40B4-BE49-F238E27FC236}">
              <a16:creationId xmlns:a16="http://schemas.microsoft.com/office/drawing/2014/main" id="{00000000-0008-0000-2000-00007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9" name="216 CuadroTexto">
          <a:extLst>
            <a:ext uri="{FF2B5EF4-FFF2-40B4-BE49-F238E27FC236}">
              <a16:creationId xmlns:a16="http://schemas.microsoft.com/office/drawing/2014/main" id="{00000000-0008-0000-2000-00007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0" name="217 CuadroTexto">
          <a:extLst>
            <a:ext uri="{FF2B5EF4-FFF2-40B4-BE49-F238E27FC236}">
              <a16:creationId xmlns:a16="http://schemas.microsoft.com/office/drawing/2014/main" id="{00000000-0008-0000-2000-00007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1" name="218 CuadroTexto">
          <a:extLst>
            <a:ext uri="{FF2B5EF4-FFF2-40B4-BE49-F238E27FC236}">
              <a16:creationId xmlns:a16="http://schemas.microsoft.com/office/drawing/2014/main" id="{00000000-0008-0000-2000-00007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2" name="219 CuadroTexto">
          <a:extLst>
            <a:ext uri="{FF2B5EF4-FFF2-40B4-BE49-F238E27FC236}">
              <a16:creationId xmlns:a16="http://schemas.microsoft.com/office/drawing/2014/main" id="{00000000-0008-0000-2000-00007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3" name="220 CuadroTexto">
          <a:extLst>
            <a:ext uri="{FF2B5EF4-FFF2-40B4-BE49-F238E27FC236}">
              <a16:creationId xmlns:a16="http://schemas.microsoft.com/office/drawing/2014/main" id="{00000000-0008-0000-2000-00007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4" name="221 CuadroTexto">
          <a:extLst>
            <a:ext uri="{FF2B5EF4-FFF2-40B4-BE49-F238E27FC236}">
              <a16:creationId xmlns:a16="http://schemas.microsoft.com/office/drawing/2014/main" id="{00000000-0008-0000-2000-00007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5" name="222 CuadroTexto">
          <a:extLst>
            <a:ext uri="{FF2B5EF4-FFF2-40B4-BE49-F238E27FC236}">
              <a16:creationId xmlns:a16="http://schemas.microsoft.com/office/drawing/2014/main" id="{00000000-0008-0000-2000-00007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6" name="223 CuadroTexto">
          <a:extLst>
            <a:ext uri="{FF2B5EF4-FFF2-40B4-BE49-F238E27FC236}">
              <a16:creationId xmlns:a16="http://schemas.microsoft.com/office/drawing/2014/main" id="{00000000-0008-0000-2000-00008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7" name="224 CuadroTexto">
          <a:extLst>
            <a:ext uri="{FF2B5EF4-FFF2-40B4-BE49-F238E27FC236}">
              <a16:creationId xmlns:a16="http://schemas.microsoft.com/office/drawing/2014/main" id="{00000000-0008-0000-2000-00008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8" name="225 CuadroTexto">
          <a:extLst>
            <a:ext uri="{FF2B5EF4-FFF2-40B4-BE49-F238E27FC236}">
              <a16:creationId xmlns:a16="http://schemas.microsoft.com/office/drawing/2014/main" id="{00000000-0008-0000-2000-00008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9" name="226 CuadroTexto">
          <a:extLst>
            <a:ext uri="{FF2B5EF4-FFF2-40B4-BE49-F238E27FC236}">
              <a16:creationId xmlns:a16="http://schemas.microsoft.com/office/drawing/2014/main" id="{00000000-0008-0000-2000-00008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0" name="227 CuadroTexto">
          <a:extLst>
            <a:ext uri="{FF2B5EF4-FFF2-40B4-BE49-F238E27FC236}">
              <a16:creationId xmlns:a16="http://schemas.microsoft.com/office/drawing/2014/main" id="{00000000-0008-0000-2000-00008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1" name="228 CuadroTexto">
          <a:extLst>
            <a:ext uri="{FF2B5EF4-FFF2-40B4-BE49-F238E27FC236}">
              <a16:creationId xmlns:a16="http://schemas.microsoft.com/office/drawing/2014/main" id="{00000000-0008-0000-2000-00008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2" name="229 CuadroTexto">
          <a:extLst>
            <a:ext uri="{FF2B5EF4-FFF2-40B4-BE49-F238E27FC236}">
              <a16:creationId xmlns:a16="http://schemas.microsoft.com/office/drawing/2014/main" id="{00000000-0008-0000-2000-00008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3" name="230 CuadroTexto">
          <a:extLst>
            <a:ext uri="{FF2B5EF4-FFF2-40B4-BE49-F238E27FC236}">
              <a16:creationId xmlns:a16="http://schemas.microsoft.com/office/drawing/2014/main" id="{00000000-0008-0000-2000-00008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4" name="231 CuadroTexto">
          <a:extLst>
            <a:ext uri="{FF2B5EF4-FFF2-40B4-BE49-F238E27FC236}">
              <a16:creationId xmlns:a16="http://schemas.microsoft.com/office/drawing/2014/main" id="{00000000-0008-0000-2000-00008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5" name="232 CuadroTexto">
          <a:extLst>
            <a:ext uri="{FF2B5EF4-FFF2-40B4-BE49-F238E27FC236}">
              <a16:creationId xmlns:a16="http://schemas.microsoft.com/office/drawing/2014/main" id="{00000000-0008-0000-2000-00008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6" name="233 CuadroTexto">
          <a:extLst>
            <a:ext uri="{FF2B5EF4-FFF2-40B4-BE49-F238E27FC236}">
              <a16:creationId xmlns:a16="http://schemas.microsoft.com/office/drawing/2014/main" id="{00000000-0008-0000-2000-00008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7" name="234 CuadroTexto">
          <a:extLst>
            <a:ext uri="{FF2B5EF4-FFF2-40B4-BE49-F238E27FC236}">
              <a16:creationId xmlns:a16="http://schemas.microsoft.com/office/drawing/2014/main" id="{00000000-0008-0000-2000-00008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8" name="235 CuadroTexto">
          <a:extLst>
            <a:ext uri="{FF2B5EF4-FFF2-40B4-BE49-F238E27FC236}">
              <a16:creationId xmlns:a16="http://schemas.microsoft.com/office/drawing/2014/main" id="{00000000-0008-0000-2000-00008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9" name="236 CuadroTexto">
          <a:extLst>
            <a:ext uri="{FF2B5EF4-FFF2-40B4-BE49-F238E27FC236}">
              <a16:creationId xmlns:a16="http://schemas.microsoft.com/office/drawing/2014/main" id="{00000000-0008-0000-2000-00008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0" name="237 CuadroTexto">
          <a:extLst>
            <a:ext uri="{FF2B5EF4-FFF2-40B4-BE49-F238E27FC236}">
              <a16:creationId xmlns:a16="http://schemas.microsoft.com/office/drawing/2014/main" id="{00000000-0008-0000-2000-00008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1" name="238 CuadroTexto">
          <a:extLst>
            <a:ext uri="{FF2B5EF4-FFF2-40B4-BE49-F238E27FC236}">
              <a16:creationId xmlns:a16="http://schemas.microsoft.com/office/drawing/2014/main" id="{00000000-0008-0000-2000-00008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2" name="239 CuadroTexto">
          <a:extLst>
            <a:ext uri="{FF2B5EF4-FFF2-40B4-BE49-F238E27FC236}">
              <a16:creationId xmlns:a16="http://schemas.microsoft.com/office/drawing/2014/main" id="{00000000-0008-0000-2000-00009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3" name="240 CuadroTexto">
          <a:extLst>
            <a:ext uri="{FF2B5EF4-FFF2-40B4-BE49-F238E27FC236}">
              <a16:creationId xmlns:a16="http://schemas.microsoft.com/office/drawing/2014/main" id="{00000000-0008-0000-2000-00009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4" name="241 CuadroTexto">
          <a:extLst>
            <a:ext uri="{FF2B5EF4-FFF2-40B4-BE49-F238E27FC236}">
              <a16:creationId xmlns:a16="http://schemas.microsoft.com/office/drawing/2014/main" id="{00000000-0008-0000-2000-00009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5" name="242 CuadroTexto">
          <a:extLst>
            <a:ext uri="{FF2B5EF4-FFF2-40B4-BE49-F238E27FC236}">
              <a16:creationId xmlns:a16="http://schemas.microsoft.com/office/drawing/2014/main" id="{00000000-0008-0000-2000-00009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6" name="243 CuadroTexto">
          <a:extLst>
            <a:ext uri="{FF2B5EF4-FFF2-40B4-BE49-F238E27FC236}">
              <a16:creationId xmlns:a16="http://schemas.microsoft.com/office/drawing/2014/main" id="{00000000-0008-0000-2000-00009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7" name="244 CuadroTexto">
          <a:extLst>
            <a:ext uri="{FF2B5EF4-FFF2-40B4-BE49-F238E27FC236}">
              <a16:creationId xmlns:a16="http://schemas.microsoft.com/office/drawing/2014/main" id="{00000000-0008-0000-2000-00009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8" name="245 CuadroTexto">
          <a:extLst>
            <a:ext uri="{FF2B5EF4-FFF2-40B4-BE49-F238E27FC236}">
              <a16:creationId xmlns:a16="http://schemas.microsoft.com/office/drawing/2014/main" id="{00000000-0008-0000-2000-00009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9" name="246 CuadroTexto">
          <a:extLst>
            <a:ext uri="{FF2B5EF4-FFF2-40B4-BE49-F238E27FC236}">
              <a16:creationId xmlns:a16="http://schemas.microsoft.com/office/drawing/2014/main" id="{00000000-0008-0000-2000-00009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0" name="247 CuadroTexto">
          <a:extLst>
            <a:ext uri="{FF2B5EF4-FFF2-40B4-BE49-F238E27FC236}">
              <a16:creationId xmlns:a16="http://schemas.microsoft.com/office/drawing/2014/main" id="{00000000-0008-0000-2000-00009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1" name="248 CuadroTexto">
          <a:extLst>
            <a:ext uri="{FF2B5EF4-FFF2-40B4-BE49-F238E27FC236}">
              <a16:creationId xmlns:a16="http://schemas.microsoft.com/office/drawing/2014/main" id="{00000000-0008-0000-2000-00009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2" name="249 CuadroTexto">
          <a:extLst>
            <a:ext uri="{FF2B5EF4-FFF2-40B4-BE49-F238E27FC236}">
              <a16:creationId xmlns:a16="http://schemas.microsoft.com/office/drawing/2014/main" id="{00000000-0008-0000-2000-00009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3" name="250 CuadroTexto">
          <a:extLst>
            <a:ext uri="{FF2B5EF4-FFF2-40B4-BE49-F238E27FC236}">
              <a16:creationId xmlns:a16="http://schemas.microsoft.com/office/drawing/2014/main" id="{00000000-0008-0000-2000-00009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4" name="251 CuadroTexto">
          <a:extLst>
            <a:ext uri="{FF2B5EF4-FFF2-40B4-BE49-F238E27FC236}">
              <a16:creationId xmlns:a16="http://schemas.microsoft.com/office/drawing/2014/main" id="{00000000-0008-0000-2000-00009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5" name="252 CuadroTexto">
          <a:extLst>
            <a:ext uri="{FF2B5EF4-FFF2-40B4-BE49-F238E27FC236}">
              <a16:creationId xmlns:a16="http://schemas.microsoft.com/office/drawing/2014/main" id="{00000000-0008-0000-2000-00009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6" name="253 CuadroTexto">
          <a:extLst>
            <a:ext uri="{FF2B5EF4-FFF2-40B4-BE49-F238E27FC236}">
              <a16:creationId xmlns:a16="http://schemas.microsoft.com/office/drawing/2014/main" id="{00000000-0008-0000-2000-00009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7" name="254 CuadroTexto">
          <a:extLst>
            <a:ext uri="{FF2B5EF4-FFF2-40B4-BE49-F238E27FC236}">
              <a16:creationId xmlns:a16="http://schemas.microsoft.com/office/drawing/2014/main" id="{00000000-0008-0000-2000-00009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8" name="255 CuadroTexto">
          <a:extLst>
            <a:ext uri="{FF2B5EF4-FFF2-40B4-BE49-F238E27FC236}">
              <a16:creationId xmlns:a16="http://schemas.microsoft.com/office/drawing/2014/main" id="{00000000-0008-0000-2000-0000A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9" name="256 CuadroTexto">
          <a:extLst>
            <a:ext uri="{FF2B5EF4-FFF2-40B4-BE49-F238E27FC236}">
              <a16:creationId xmlns:a16="http://schemas.microsoft.com/office/drawing/2014/main" id="{00000000-0008-0000-2000-0000A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0" name="257 CuadroTexto">
          <a:extLst>
            <a:ext uri="{FF2B5EF4-FFF2-40B4-BE49-F238E27FC236}">
              <a16:creationId xmlns:a16="http://schemas.microsoft.com/office/drawing/2014/main" id="{00000000-0008-0000-2000-0000A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1" name="258 CuadroTexto">
          <a:extLst>
            <a:ext uri="{FF2B5EF4-FFF2-40B4-BE49-F238E27FC236}">
              <a16:creationId xmlns:a16="http://schemas.microsoft.com/office/drawing/2014/main" id="{00000000-0008-0000-2000-0000A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2" name="259 CuadroTexto">
          <a:extLst>
            <a:ext uri="{FF2B5EF4-FFF2-40B4-BE49-F238E27FC236}">
              <a16:creationId xmlns:a16="http://schemas.microsoft.com/office/drawing/2014/main" id="{00000000-0008-0000-2000-0000A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3" name="260 CuadroTexto">
          <a:extLst>
            <a:ext uri="{FF2B5EF4-FFF2-40B4-BE49-F238E27FC236}">
              <a16:creationId xmlns:a16="http://schemas.microsoft.com/office/drawing/2014/main" id="{00000000-0008-0000-2000-0000A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4" name="261 CuadroTexto">
          <a:extLst>
            <a:ext uri="{FF2B5EF4-FFF2-40B4-BE49-F238E27FC236}">
              <a16:creationId xmlns:a16="http://schemas.microsoft.com/office/drawing/2014/main" id="{00000000-0008-0000-2000-0000A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5" name="262 CuadroTexto">
          <a:extLst>
            <a:ext uri="{FF2B5EF4-FFF2-40B4-BE49-F238E27FC236}">
              <a16:creationId xmlns:a16="http://schemas.microsoft.com/office/drawing/2014/main" id="{00000000-0008-0000-2000-0000A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6" name="263 CuadroTexto">
          <a:extLst>
            <a:ext uri="{FF2B5EF4-FFF2-40B4-BE49-F238E27FC236}">
              <a16:creationId xmlns:a16="http://schemas.microsoft.com/office/drawing/2014/main" id="{00000000-0008-0000-2000-0000A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7" name="264 CuadroTexto">
          <a:extLst>
            <a:ext uri="{FF2B5EF4-FFF2-40B4-BE49-F238E27FC236}">
              <a16:creationId xmlns:a16="http://schemas.microsoft.com/office/drawing/2014/main" id="{00000000-0008-0000-2000-0000A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8" name="265 CuadroTexto">
          <a:extLst>
            <a:ext uri="{FF2B5EF4-FFF2-40B4-BE49-F238E27FC236}">
              <a16:creationId xmlns:a16="http://schemas.microsoft.com/office/drawing/2014/main" id="{00000000-0008-0000-2000-0000A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9" name="266 CuadroTexto">
          <a:extLst>
            <a:ext uri="{FF2B5EF4-FFF2-40B4-BE49-F238E27FC236}">
              <a16:creationId xmlns:a16="http://schemas.microsoft.com/office/drawing/2014/main" id="{00000000-0008-0000-2000-0000A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40" name="267 CuadroTexto">
          <a:extLst>
            <a:ext uri="{FF2B5EF4-FFF2-40B4-BE49-F238E27FC236}">
              <a16:creationId xmlns:a16="http://schemas.microsoft.com/office/drawing/2014/main" id="{00000000-0008-0000-2000-0000A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941" name="268 CuadroTexto">
          <a:extLst>
            <a:ext uri="{FF2B5EF4-FFF2-40B4-BE49-F238E27FC236}">
              <a16:creationId xmlns:a16="http://schemas.microsoft.com/office/drawing/2014/main" id="{00000000-0008-0000-2000-0000A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2" name="269 CuadroTexto">
          <a:extLst>
            <a:ext uri="{FF2B5EF4-FFF2-40B4-BE49-F238E27FC236}">
              <a16:creationId xmlns:a16="http://schemas.microsoft.com/office/drawing/2014/main" id="{00000000-0008-0000-2000-0000A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3" name="270 CuadroTexto">
          <a:extLst>
            <a:ext uri="{FF2B5EF4-FFF2-40B4-BE49-F238E27FC236}">
              <a16:creationId xmlns:a16="http://schemas.microsoft.com/office/drawing/2014/main" id="{00000000-0008-0000-2000-0000AF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4" name="271 CuadroTexto">
          <a:extLst>
            <a:ext uri="{FF2B5EF4-FFF2-40B4-BE49-F238E27FC236}">
              <a16:creationId xmlns:a16="http://schemas.microsoft.com/office/drawing/2014/main" id="{00000000-0008-0000-2000-0000B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5" name="272 CuadroTexto">
          <a:extLst>
            <a:ext uri="{FF2B5EF4-FFF2-40B4-BE49-F238E27FC236}">
              <a16:creationId xmlns:a16="http://schemas.microsoft.com/office/drawing/2014/main" id="{00000000-0008-0000-2000-0000B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6" name="273 CuadroTexto">
          <a:extLst>
            <a:ext uri="{FF2B5EF4-FFF2-40B4-BE49-F238E27FC236}">
              <a16:creationId xmlns:a16="http://schemas.microsoft.com/office/drawing/2014/main" id="{00000000-0008-0000-2000-0000B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7" name="274 CuadroTexto">
          <a:extLst>
            <a:ext uri="{FF2B5EF4-FFF2-40B4-BE49-F238E27FC236}">
              <a16:creationId xmlns:a16="http://schemas.microsoft.com/office/drawing/2014/main" id="{00000000-0008-0000-2000-0000B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8" name="275 CuadroTexto">
          <a:extLst>
            <a:ext uri="{FF2B5EF4-FFF2-40B4-BE49-F238E27FC236}">
              <a16:creationId xmlns:a16="http://schemas.microsoft.com/office/drawing/2014/main" id="{00000000-0008-0000-2000-0000B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9" name="276 CuadroTexto">
          <a:extLst>
            <a:ext uri="{FF2B5EF4-FFF2-40B4-BE49-F238E27FC236}">
              <a16:creationId xmlns:a16="http://schemas.microsoft.com/office/drawing/2014/main" id="{00000000-0008-0000-2000-0000B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0" name="277 CuadroTexto">
          <a:extLst>
            <a:ext uri="{FF2B5EF4-FFF2-40B4-BE49-F238E27FC236}">
              <a16:creationId xmlns:a16="http://schemas.microsoft.com/office/drawing/2014/main" id="{00000000-0008-0000-2000-0000B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1" name="278 CuadroTexto">
          <a:extLst>
            <a:ext uri="{FF2B5EF4-FFF2-40B4-BE49-F238E27FC236}">
              <a16:creationId xmlns:a16="http://schemas.microsoft.com/office/drawing/2014/main" id="{00000000-0008-0000-2000-0000B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2" name="279 CuadroTexto">
          <a:extLst>
            <a:ext uri="{FF2B5EF4-FFF2-40B4-BE49-F238E27FC236}">
              <a16:creationId xmlns:a16="http://schemas.microsoft.com/office/drawing/2014/main" id="{00000000-0008-0000-2000-0000B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3" name="280 CuadroTexto">
          <a:extLst>
            <a:ext uri="{FF2B5EF4-FFF2-40B4-BE49-F238E27FC236}">
              <a16:creationId xmlns:a16="http://schemas.microsoft.com/office/drawing/2014/main" id="{00000000-0008-0000-2000-0000B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4" name="281 CuadroTexto">
          <a:extLst>
            <a:ext uri="{FF2B5EF4-FFF2-40B4-BE49-F238E27FC236}">
              <a16:creationId xmlns:a16="http://schemas.microsoft.com/office/drawing/2014/main" id="{00000000-0008-0000-2000-0000B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5" name="282 CuadroTexto">
          <a:extLst>
            <a:ext uri="{FF2B5EF4-FFF2-40B4-BE49-F238E27FC236}">
              <a16:creationId xmlns:a16="http://schemas.microsoft.com/office/drawing/2014/main" id="{00000000-0008-0000-2000-0000B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6" name="283 CuadroTexto">
          <a:extLst>
            <a:ext uri="{FF2B5EF4-FFF2-40B4-BE49-F238E27FC236}">
              <a16:creationId xmlns:a16="http://schemas.microsoft.com/office/drawing/2014/main" id="{00000000-0008-0000-2000-0000B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7" name="284 CuadroTexto">
          <a:extLst>
            <a:ext uri="{FF2B5EF4-FFF2-40B4-BE49-F238E27FC236}">
              <a16:creationId xmlns:a16="http://schemas.microsoft.com/office/drawing/2014/main" id="{00000000-0008-0000-2000-0000B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58" name="285 CuadroTexto">
          <a:extLst>
            <a:ext uri="{FF2B5EF4-FFF2-40B4-BE49-F238E27FC236}">
              <a16:creationId xmlns:a16="http://schemas.microsoft.com/office/drawing/2014/main" id="{00000000-0008-0000-2000-0000B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59" name="286 CuadroTexto">
          <a:extLst>
            <a:ext uri="{FF2B5EF4-FFF2-40B4-BE49-F238E27FC236}">
              <a16:creationId xmlns:a16="http://schemas.microsoft.com/office/drawing/2014/main" id="{00000000-0008-0000-2000-0000B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0" name="287 CuadroTexto">
          <a:extLst>
            <a:ext uri="{FF2B5EF4-FFF2-40B4-BE49-F238E27FC236}">
              <a16:creationId xmlns:a16="http://schemas.microsoft.com/office/drawing/2014/main" id="{00000000-0008-0000-2000-0000C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1" name="288 CuadroTexto">
          <a:extLst>
            <a:ext uri="{FF2B5EF4-FFF2-40B4-BE49-F238E27FC236}">
              <a16:creationId xmlns:a16="http://schemas.microsoft.com/office/drawing/2014/main" id="{00000000-0008-0000-2000-0000C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2" name="289 CuadroTexto">
          <a:extLst>
            <a:ext uri="{FF2B5EF4-FFF2-40B4-BE49-F238E27FC236}">
              <a16:creationId xmlns:a16="http://schemas.microsoft.com/office/drawing/2014/main" id="{00000000-0008-0000-2000-0000C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3" name="290 CuadroTexto">
          <a:extLst>
            <a:ext uri="{FF2B5EF4-FFF2-40B4-BE49-F238E27FC236}">
              <a16:creationId xmlns:a16="http://schemas.microsoft.com/office/drawing/2014/main" id="{00000000-0008-0000-2000-0000C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4" name="291 CuadroTexto">
          <a:extLst>
            <a:ext uri="{FF2B5EF4-FFF2-40B4-BE49-F238E27FC236}">
              <a16:creationId xmlns:a16="http://schemas.microsoft.com/office/drawing/2014/main" id="{00000000-0008-0000-2000-0000C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5" name="292 CuadroTexto">
          <a:extLst>
            <a:ext uri="{FF2B5EF4-FFF2-40B4-BE49-F238E27FC236}">
              <a16:creationId xmlns:a16="http://schemas.microsoft.com/office/drawing/2014/main" id="{00000000-0008-0000-2000-0000C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6" name="293 CuadroTexto">
          <a:extLst>
            <a:ext uri="{FF2B5EF4-FFF2-40B4-BE49-F238E27FC236}">
              <a16:creationId xmlns:a16="http://schemas.microsoft.com/office/drawing/2014/main" id="{00000000-0008-0000-2000-0000C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7" name="294 CuadroTexto">
          <a:extLst>
            <a:ext uri="{FF2B5EF4-FFF2-40B4-BE49-F238E27FC236}">
              <a16:creationId xmlns:a16="http://schemas.microsoft.com/office/drawing/2014/main" id="{00000000-0008-0000-2000-0000C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8" name="295 CuadroTexto">
          <a:extLst>
            <a:ext uri="{FF2B5EF4-FFF2-40B4-BE49-F238E27FC236}">
              <a16:creationId xmlns:a16="http://schemas.microsoft.com/office/drawing/2014/main" id="{00000000-0008-0000-2000-0000C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9" name="296 CuadroTexto">
          <a:extLst>
            <a:ext uri="{FF2B5EF4-FFF2-40B4-BE49-F238E27FC236}">
              <a16:creationId xmlns:a16="http://schemas.microsoft.com/office/drawing/2014/main" id="{00000000-0008-0000-2000-0000C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0" name="298 CuadroTexto">
          <a:extLst>
            <a:ext uri="{FF2B5EF4-FFF2-40B4-BE49-F238E27FC236}">
              <a16:creationId xmlns:a16="http://schemas.microsoft.com/office/drawing/2014/main" id="{00000000-0008-0000-2000-0000CA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1" name="299 CuadroTexto">
          <a:extLst>
            <a:ext uri="{FF2B5EF4-FFF2-40B4-BE49-F238E27FC236}">
              <a16:creationId xmlns:a16="http://schemas.microsoft.com/office/drawing/2014/main" id="{00000000-0008-0000-2000-0000CB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2" name="300 CuadroTexto">
          <a:extLst>
            <a:ext uri="{FF2B5EF4-FFF2-40B4-BE49-F238E27FC236}">
              <a16:creationId xmlns:a16="http://schemas.microsoft.com/office/drawing/2014/main" id="{00000000-0008-0000-2000-0000CC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3" name="301 CuadroTexto">
          <a:extLst>
            <a:ext uri="{FF2B5EF4-FFF2-40B4-BE49-F238E27FC236}">
              <a16:creationId xmlns:a16="http://schemas.microsoft.com/office/drawing/2014/main" id="{00000000-0008-0000-2000-0000CD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4" name="302 CuadroTexto">
          <a:extLst>
            <a:ext uri="{FF2B5EF4-FFF2-40B4-BE49-F238E27FC236}">
              <a16:creationId xmlns:a16="http://schemas.microsoft.com/office/drawing/2014/main" id="{00000000-0008-0000-2000-0000CE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5" name="303 CuadroTexto">
          <a:extLst>
            <a:ext uri="{FF2B5EF4-FFF2-40B4-BE49-F238E27FC236}">
              <a16:creationId xmlns:a16="http://schemas.microsoft.com/office/drawing/2014/main" id="{00000000-0008-0000-2000-0000CF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6" name="304 CuadroTexto">
          <a:extLst>
            <a:ext uri="{FF2B5EF4-FFF2-40B4-BE49-F238E27FC236}">
              <a16:creationId xmlns:a16="http://schemas.microsoft.com/office/drawing/2014/main" id="{00000000-0008-0000-2000-0000D0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7" name="305 CuadroTexto">
          <a:extLst>
            <a:ext uri="{FF2B5EF4-FFF2-40B4-BE49-F238E27FC236}">
              <a16:creationId xmlns:a16="http://schemas.microsoft.com/office/drawing/2014/main" id="{00000000-0008-0000-2000-0000D1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8" name="452 CuadroTexto">
          <a:extLst>
            <a:ext uri="{FF2B5EF4-FFF2-40B4-BE49-F238E27FC236}">
              <a16:creationId xmlns:a16="http://schemas.microsoft.com/office/drawing/2014/main" id="{00000000-0008-0000-2000-0000D20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79" name="17 CuadroTexto">
          <a:extLst>
            <a:ext uri="{FF2B5EF4-FFF2-40B4-BE49-F238E27FC236}">
              <a16:creationId xmlns:a16="http://schemas.microsoft.com/office/drawing/2014/main" id="{00000000-0008-0000-2000-0000D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80" name="90 CuadroTexto">
          <a:extLst>
            <a:ext uri="{FF2B5EF4-FFF2-40B4-BE49-F238E27FC236}">
              <a16:creationId xmlns:a16="http://schemas.microsoft.com/office/drawing/2014/main" id="{00000000-0008-0000-2000-0000D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1" name="91 CuadroTexto">
          <a:extLst>
            <a:ext uri="{FF2B5EF4-FFF2-40B4-BE49-F238E27FC236}">
              <a16:creationId xmlns:a16="http://schemas.microsoft.com/office/drawing/2014/main" id="{00000000-0008-0000-2000-0000D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2" name="92 CuadroTexto">
          <a:extLst>
            <a:ext uri="{FF2B5EF4-FFF2-40B4-BE49-F238E27FC236}">
              <a16:creationId xmlns:a16="http://schemas.microsoft.com/office/drawing/2014/main" id="{00000000-0008-0000-2000-0000D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3" name="93 CuadroTexto">
          <a:extLst>
            <a:ext uri="{FF2B5EF4-FFF2-40B4-BE49-F238E27FC236}">
              <a16:creationId xmlns:a16="http://schemas.microsoft.com/office/drawing/2014/main" id="{00000000-0008-0000-2000-0000D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4" name="94 CuadroTexto">
          <a:extLst>
            <a:ext uri="{FF2B5EF4-FFF2-40B4-BE49-F238E27FC236}">
              <a16:creationId xmlns:a16="http://schemas.microsoft.com/office/drawing/2014/main" id="{00000000-0008-0000-2000-0000D8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5" name="95 CuadroTexto">
          <a:extLst>
            <a:ext uri="{FF2B5EF4-FFF2-40B4-BE49-F238E27FC236}">
              <a16:creationId xmlns:a16="http://schemas.microsoft.com/office/drawing/2014/main" id="{00000000-0008-0000-2000-0000D9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6" name="96 CuadroTexto">
          <a:extLst>
            <a:ext uri="{FF2B5EF4-FFF2-40B4-BE49-F238E27FC236}">
              <a16:creationId xmlns:a16="http://schemas.microsoft.com/office/drawing/2014/main" id="{00000000-0008-0000-2000-0000DA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7" name="97 CuadroTexto">
          <a:extLst>
            <a:ext uri="{FF2B5EF4-FFF2-40B4-BE49-F238E27FC236}">
              <a16:creationId xmlns:a16="http://schemas.microsoft.com/office/drawing/2014/main" id="{00000000-0008-0000-2000-0000DB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8" name="98 CuadroTexto">
          <a:extLst>
            <a:ext uri="{FF2B5EF4-FFF2-40B4-BE49-F238E27FC236}">
              <a16:creationId xmlns:a16="http://schemas.microsoft.com/office/drawing/2014/main" id="{00000000-0008-0000-2000-0000D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9" name="99 CuadroTexto">
          <a:extLst>
            <a:ext uri="{FF2B5EF4-FFF2-40B4-BE49-F238E27FC236}">
              <a16:creationId xmlns:a16="http://schemas.microsoft.com/office/drawing/2014/main" id="{00000000-0008-0000-2000-0000D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0" name="100 CuadroTexto">
          <a:extLst>
            <a:ext uri="{FF2B5EF4-FFF2-40B4-BE49-F238E27FC236}">
              <a16:creationId xmlns:a16="http://schemas.microsoft.com/office/drawing/2014/main" id="{00000000-0008-0000-2000-0000D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1" name="101 CuadroTexto">
          <a:extLst>
            <a:ext uri="{FF2B5EF4-FFF2-40B4-BE49-F238E27FC236}">
              <a16:creationId xmlns:a16="http://schemas.microsoft.com/office/drawing/2014/main" id="{00000000-0008-0000-2000-0000D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92" name="118 CuadroTexto">
          <a:extLst>
            <a:ext uri="{FF2B5EF4-FFF2-40B4-BE49-F238E27FC236}">
              <a16:creationId xmlns:a16="http://schemas.microsoft.com/office/drawing/2014/main" id="{00000000-0008-0000-2000-0000E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3" name="119 CuadroTexto">
          <a:extLst>
            <a:ext uri="{FF2B5EF4-FFF2-40B4-BE49-F238E27FC236}">
              <a16:creationId xmlns:a16="http://schemas.microsoft.com/office/drawing/2014/main" id="{00000000-0008-0000-2000-0000E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4" name="120 CuadroTexto">
          <a:extLst>
            <a:ext uri="{FF2B5EF4-FFF2-40B4-BE49-F238E27FC236}">
              <a16:creationId xmlns:a16="http://schemas.microsoft.com/office/drawing/2014/main" id="{00000000-0008-0000-2000-0000E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5" name="121 CuadroTexto">
          <a:extLst>
            <a:ext uri="{FF2B5EF4-FFF2-40B4-BE49-F238E27FC236}">
              <a16:creationId xmlns:a16="http://schemas.microsoft.com/office/drawing/2014/main" id="{00000000-0008-0000-2000-0000E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6" name="122 CuadroTexto">
          <a:extLst>
            <a:ext uri="{FF2B5EF4-FFF2-40B4-BE49-F238E27FC236}">
              <a16:creationId xmlns:a16="http://schemas.microsoft.com/office/drawing/2014/main" id="{00000000-0008-0000-2000-0000E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7" name="123 CuadroTexto">
          <a:extLst>
            <a:ext uri="{FF2B5EF4-FFF2-40B4-BE49-F238E27FC236}">
              <a16:creationId xmlns:a16="http://schemas.microsoft.com/office/drawing/2014/main" id="{00000000-0008-0000-2000-0000E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8" name="124 CuadroTexto">
          <a:extLst>
            <a:ext uri="{FF2B5EF4-FFF2-40B4-BE49-F238E27FC236}">
              <a16:creationId xmlns:a16="http://schemas.microsoft.com/office/drawing/2014/main" id="{00000000-0008-0000-2000-0000E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9" name="125 CuadroTexto">
          <a:extLst>
            <a:ext uri="{FF2B5EF4-FFF2-40B4-BE49-F238E27FC236}">
              <a16:creationId xmlns:a16="http://schemas.microsoft.com/office/drawing/2014/main" id="{00000000-0008-0000-2000-0000E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0" name="143 CuadroTexto">
          <a:extLst>
            <a:ext uri="{FF2B5EF4-FFF2-40B4-BE49-F238E27FC236}">
              <a16:creationId xmlns:a16="http://schemas.microsoft.com/office/drawing/2014/main" id="{00000000-0008-0000-2000-0000E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1" name="144 CuadroTexto">
          <a:extLst>
            <a:ext uri="{FF2B5EF4-FFF2-40B4-BE49-F238E27FC236}">
              <a16:creationId xmlns:a16="http://schemas.microsoft.com/office/drawing/2014/main" id="{00000000-0008-0000-2000-0000E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2" name="145 CuadroTexto">
          <a:extLst>
            <a:ext uri="{FF2B5EF4-FFF2-40B4-BE49-F238E27FC236}">
              <a16:creationId xmlns:a16="http://schemas.microsoft.com/office/drawing/2014/main" id="{00000000-0008-0000-2000-0000E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3" name="146 CuadroTexto">
          <a:extLst>
            <a:ext uri="{FF2B5EF4-FFF2-40B4-BE49-F238E27FC236}">
              <a16:creationId xmlns:a16="http://schemas.microsoft.com/office/drawing/2014/main" id="{00000000-0008-0000-2000-0000E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4" name="147 CuadroTexto">
          <a:extLst>
            <a:ext uri="{FF2B5EF4-FFF2-40B4-BE49-F238E27FC236}">
              <a16:creationId xmlns:a16="http://schemas.microsoft.com/office/drawing/2014/main" id="{00000000-0008-0000-2000-0000E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5" name="148 CuadroTexto">
          <a:extLst>
            <a:ext uri="{FF2B5EF4-FFF2-40B4-BE49-F238E27FC236}">
              <a16:creationId xmlns:a16="http://schemas.microsoft.com/office/drawing/2014/main" id="{00000000-0008-0000-2000-0000E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6" name="149 CuadroTexto">
          <a:extLst>
            <a:ext uri="{FF2B5EF4-FFF2-40B4-BE49-F238E27FC236}">
              <a16:creationId xmlns:a16="http://schemas.microsoft.com/office/drawing/2014/main" id="{00000000-0008-0000-2000-0000E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7" name="150 CuadroTexto">
          <a:extLst>
            <a:ext uri="{FF2B5EF4-FFF2-40B4-BE49-F238E27FC236}">
              <a16:creationId xmlns:a16="http://schemas.microsoft.com/office/drawing/2014/main" id="{00000000-0008-0000-2000-0000E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8" name="151 CuadroTexto">
          <a:extLst>
            <a:ext uri="{FF2B5EF4-FFF2-40B4-BE49-F238E27FC236}">
              <a16:creationId xmlns:a16="http://schemas.microsoft.com/office/drawing/2014/main" id="{00000000-0008-0000-2000-0000F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9" name="152 CuadroTexto">
          <a:extLst>
            <a:ext uri="{FF2B5EF4-FFF2-40B4-BE49-F238E27FC236}">
              <a16:creationId xmlns:a16="http://schemas.microsoft.com/office/drawing/2014/main" id="{00000000-0008-0000-2000-0000F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0" name="153 CuadroTexto">
          <a:extLst>
            <a:ext uri="{FF2B5EF4-FFF2-40B4-BE49-F238E27FC236}">
              <a16:creationId xmlns:a16="http://schemas.microsoft.com/office/drawing/2014/main" id="{00000000-0008-0000-2000-0000F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1" name="154 CuadroTexto">
          <a:extLst>
            <a:ext uri="{FF2B5EF4-FFF2-40B4-BE49-F238E27FC236}">
              <a16:creationId xmlns:a16="http://schemas.microsoft.com/office/drawing/2014/main" id="{00000000-0008-0000-2000-0000F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2" name="155 CuadroTexto">
          <a:extLst>
            <a:ext uri="{FF2B5EF4-FFF2-40B4-BE49-F238E27FC236}">
              <a16:creationId xmlns:a16="http://schemas.microsoft.com/office/drawing/2014/main" id="{00000000-0008-0000-2000-0000F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3" name="156 CuadroTexto">
          <a:extLst>
            <a:ext uri="{FF2B5EF4-FFF2-40B4-BE49-F238E27FC236}">
              <a16:creationId xmlns:a16="http://schemas.microsoft.com/office/drawing/2014/main" id="{00000000-0008-0000-2000-0000F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4" name="157 CuadroTexto">
          <a:extLst>
            <a:ext uri="{FF2B5EF4-FFF2-40B4-BE49-F238E27FC236}">
              <a16:creationId xmlns:a16="http://schemas.microsoft.com/office/drawing/2014/main" id="{00000000-0008-0000-2000-0000F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5" name="158 CuadroTexto">
          <a:extLst>
            <a:ext uri="{FF2B5EF4-FFF2-40B4-BE49-F238E27FC236}">
              <a16:creationId xmlns:a16="http://schemas.microsoft.com/office/drawing/2014/main" id="{00000000-0008-0000-2000-0000F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6" name="159 CuadroTexto">
          <a:extLst>
            <a:ext uri="{FF2B5EF4-FFF2-40B4-BE49-F238E27FC236}">
              <a16:creationId xmlns:a16="http://schemas.microsoft.com/office/drawing/2014/main" id="{00000000-0008-0000-2000-0000F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7" name="160 CuadroTexto">
          <a:extLst>
            <a:ext uri="{FF2B5EF4-FFF2-40B4-BE49-F238E27FC236}">
              <a16:creationId xmlns:a16="http://schemas.microsoft.com/office/drawing/2014/main" id="{00000000-0008-0000-2000-0000F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8" name="161 CuadroTexto">
          <a:extLst>
            <a:ext uri="{FF2B5EF4-FFF2-40B4-BE49-F238E27FC236}">
              <a16:creationId xmlns:a16="http://schemas.microsoft.com/office/drawing/2014/main" id="{00000000-0008-0000-2000-0000F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9" name="162 CuadroTexto">
          <a:extLst>
            <a:ext uri="{FF2B5EF4-FFF2-40B4-BE49-F238E27FC236}">
              <a16:creationId xmlns:a16="http://schemas.microsoft.com/office/drawing/2014/main" id="{00000000-0008-0000-2000-0000F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0" name="163 CuadroTexto">
          <a:extLst>
            <a:ext uri="{FF2B5EF4-FFF2-40B4-BE49-F238E27FC236}">
              <a16:creationId xmlns:a16="http://schemas.microsoft.com/office/drawing/2014/main" id="{00000000-0008-0000-2000-0000F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1" name="164 CuadroTexto">
          <a:extLst>
            <a:ext uri="{FF2B5EF4-FFF2-40B4-BE49-F238E27FC236}">
              <a16:creationId xmlns:a16="http://schemas.microsoft.com/office/drawing/2014/main" id="{00000000-0008-0000-2000-0000F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2" name="165 CuadroTexto">
          <a:extLst>
            <a:ext uri="{FF2B5EF4-FFF2-40B4-BE49-F238E27FC236}">
              <a16:creationId xmlns:a16="http://schemas.microsoft.com/office/drawing/2014/main" id="{00000000-0008-0000-2000-0000F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3" name="166 CuadroTexto">
          <a:extLst>
            <a:ext uri="{FF2B5EF4-FFF2-40B4-BE49-F238E27FC236}">
              <a16:creationId xmlns:a16="http://schemas.microsoft.com/office/drawing/2014/main" id="{00000000-0008-0000-2000-0000F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4" name="167 CuadroTexto">
          <a:extLst>
            <a:ext uri="{FF2B5EF4-FFF2-40B4-BE49-F238E27FC236}">
              <a16:creationId xmlns:a16="http://schemas.microsoft.com/office/drawing/2014/main" id="{00000000-0008-0000-2000-00000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5" name="168 CuadroTexto">
          <a:extLst>
            <a:ext uri="{FF2B5EF4-FFF2-40B4-BE49-F238E27FC236}">
              <a16:creationId xmlns:a16="http://schemas.microsoft.com/office/drawing/2014/main" id="{00000000-0008-0000-2000-00000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6" name="169 CuadroTexto">
          <a:extLst>
            <a:ext uri="{FF2B5EF4-FFF2-40B4-BE49-F238E27FC236}">
              <a16:creationId xmlns:a16="http://schemas.microsoft.com/office/drawing/2014/main" id="{00000000-0008-0000-2000-00000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7" name="170 CuadroTexto">
          <a:extLst>
            <a:ext uri="{FF2B5EF4-FFF2-40B4-BE49-F238E27FC236}">
              <a16:creationId xmlns:a16="http://schemas.microsoft.com/office/drawing/2014/main" id="{00000000-0008-0000-2000-00000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8" name="171 CuadroTexto">
          <a:extLst>
            <a:ext uri="{FF2B5EF4-FFF2-40B4-BE49-F238E27FC236}">
              <a16:creationId xmlns:a16="http://schemas.microsoft.com/office/drawing/2014/main" id="{00000000-0008-0000-2000-00000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9" name="172 CuadroTexto">
          <a:extLst>
            <a:ext uri="{FF2B5EF4-FFF2-40B4-BE49-F238E27FC236}">
              <a16:creationId xmlns:a16="http://schemas.microsoft.com/office/drawing/2014/main" id="{00000000-0008-0000-2000-00000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0" name="173 CuadroTexto">
          <a:extLst>
            <a:ext uri="{FF2B5EF4-FFF2-40B4-BE49-F238E27FC236}">
              <a16:creationId xmlns:a16="http://schemas.microsoft.com/office/drawing/2014/main" id="{00000000-0008-0000-2000-00000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1" name="174 CuadroTexto">
          <a:extLst>
            <a:ext uri="{FF2B5EF4-FFF2-40B4-BE49-F238E27FC236}">
              <a16:creationId xmlns:a16="http://schemas.microsoft.com/office/drawing/2014/main" id="{00000000-0008-0000-2000-00000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2" name="175 CuadroTexto">
          <a:extLst>
            <a:ext uri="{FF2B5EF4-FFF2-40B4-BE49-F238E27FC236}">
              <a16:creationId xmlns:a16="http://schemas.microsoft.com/office/drawing/2014/main" id="{00000000-0008-0000-2000-00000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3" name="176 CuadroTexto">
          <a:extLst>
            <a:ext uri="{FF2B5EF4-FFF2-40B4-BE49-F238E27FC236}">
              <a16:creationId xmlns:a16="http://schemas.microsoft.com/office/drawing/2014/main" id="{00000000-0008-0000-2000-00000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4" name="177 CuadroTexto">
          <a:extLst>
            <a:ext uri="{FF2B5EF4-FFF2-40B4-BE49-F238E27FC236}">
              <a16:creationId xmlns:a16="http://schemas.microsoft.com/office/drawing/2014/main" id="{00000000-0008-0000-2000-00000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5" name="178 CuadroTexto">
          <a:extLst>
            <a:ext uri="{FF2B5EF4-FFF2-40B4-BE49-F238E27FC236}">
              <a16:creationId xmlns:a16="http://schemas.microsoft.com/office/drawing/2014/main" id="{00000000-0008-0000-2000-00000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6" name="179 CuadroTexto">
          <a:extLst>
            <a:ext uri="{FF2B5EF4-FFF2-40B4-BE49-F238E27FC236}">
              <a16:creationId xmlns:a16="http://schemas.microsoft.com/office/drawing/2014/main" id="{00000000-0008-0000-2000-00000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7" name="180 CuadroTexto">
          <a:extLst>
            <a:ext uri="{FF2B5EF4-FFF2-40B4-BE49-F238E27FC236}">
              <a16:creationId xmlns:a16="http://schemas.microsoft.com/office/drawing/2014/main" id="{00000000-0008-0000-2000-00000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8" name="181 CuadroTexto">
          <a:extLst>
            <a:ext uri="{FF2B5EF4-FFF2-40B4-BE49-F238E27FC236}">
              <a16:creationId xmlns:a16="http://schemas.microsoft.com/office/drawing/2014/main" id="{00000000-0008-0000-2000-00000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9" name="182 CuadroTexto">
          <a:extLst>
            <a:ext uri="{FF2B5EF4-FFF2-40B4-BE49-F238E27FC236}">
              <a16:creationId xmlns:a16="http://schemas.microsoft.com/office/drawing/2014/main" id="{00000000-0008-0000-2000-00000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0" name="183 CuadroTexto">
          <a:extLst>
            <a:ext uri="{FF2B5EF4-FFF2-40B4-BE49-F238E27FC236}">
              <a16:creationId xmlns:a16="http://schemas.microsoft.com/office/drawing/2014/main" id="{00000000-0008-0000-2000-00001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1" name="184 CuadroTexto">
          <a:extLst>
            <a:ext uri="{FF2B5EF4-FFF2-40B4-BE49-F238E27FC236}">
              <a16:creationId xmlns:a16="http://schemas.microsoft.com/office/drawing/2014/main" id="{00000000-0008-0000-2000-00001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2" name="185 CuadroTexto">
          <a:extLst>
            <a:ext uri="{FF2B5EF4-FFF2-40B4-BE49-F238E27FC236}">
              <a16:creationId xmlns:a16="http://schemas.microsoft.com/office/drawing/2014/main" id="{00000000-0008-0000-2000-00001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3" name="186 CuadroTexto">
          <a:extLst>
            <a:ext uri="{FF2B5EF4-FFF2-40B4-BE49-F238E27FC236}">
              <a16:creationId xmlns:a16="http://schemas.microsoft.com/office/drawing/2014/main" id="{00000000-0008-0000-2000-00001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4" name="187 CuadroTexto">
          <a:extLst>
            <a:ext uri="{FF2B5EF4-FFF2-40B4-BE49-F238E27FC236}">
              <a16:creationId xmlns:a16="http://schemas.microsoft.com/office/drawing/2014/main" id="{00000000-0008-0000-2000-00001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5" name="188 CuadroTexto">
          <a:extLst>
            <a:ext uri="{FF2B5EF4-FFF2-40B4-BE49-F238E27FC236}">
              <a16:creationId xmlns:a16="http://schemas.microsoft.com/office/drawing/2014/main" id="{00000000-0008-0000-2000-00001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6" name="189 CuadroTexto">
          <a:extLst>
            <a:ext uri="{FF2B5EF4-FFF2-40B4-BE49-F238E27FC236}">
              <a16:creationId xmlns:a16="http://schemas.microsoft.com/office/drawing/2014/main" id="{00000000-0008-0000-2000-00001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7" name="190 CuadroTexto">
          <a:extLst>
            <a:ext uri="{FF2B5EF4-FFF2-40B4-BE49-F238E27FC236}">
              <a16:creationId xmlns:a16="http://schemas.microsoft.com/office/drawing/2014/main" id="{00000000-0008-0000-2000-00001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8" name="191 CuadroTexto">
          <a:extLst>
            <a:ext uri="{FF2B5EF4-FFF2-40B4-BE49-F238E27FC236}">
              <a16:creationId xmlns:a16="http://schemas.microsoft.com/office/drawing/2014/main" id="{00000000-0008-0000-2000-00001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9" name="192 CuadroTexto">
          <a:extLst>
            <a:ext uri="{FF2B5EF4-FFF2-40B4-BE49-F238E27FC236}">
              <a16:creationId xmlns:a16="http://schemas.microsoft.com/office/drawing/2014/main" id="{00000000-0008-0000-2000-00001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0" name="193 CuadroTexto">
          <a:extLst>
            <a:ext uri="{FF2B5EF4-FFF2-40B4-BE49-F238E27FC236}">
              <a16:creationId xmlns:a16="http://schemas.microsoft.com/office/drawing/2014/main" id="{00000000-0008-0000-2000-00001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1" name="194 CuadroTexto">
          <a:extLst>
            <a:ext uri="{FF2B5EF4-FFF2-40B4-BE49-F238E27FC236}">
              <a16:creationId xmlns:a16="http://schemas.microsoft.com/office/drawing/2014/main" id="{00000000-0008-0000-2000-00001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2" name="195 CuadroTexto">
          <a:extLst>
            <a:ext uri="{FF2B5EF4-FFF2-40B4-BE49-F238E27FC236}">
              <a16:creationId xmlns:a16="http://schemas.microsoft.com/office/drawing/2014/main" id="{00000000-0008-0000-2000-00001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3" name="196 CuadroTexto">
          <a:extLst>
            <a:ext uri="{FF2B5EF4-FFF2-40B4-BE49-F238E27FC236}">
              <a16:creationId xmlns:a16="http://schemas.microsoft.com/office/drawing/2014/main" id="{00000000-0008-0000-2000-00001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4" name="197 CuadroTexto">
          <a:extLst>
            <a:ext uri="{FF2B5EF4-FFF2-40B4-BE49-F238E27FC236}">
              <a16:creationId xmlns:a16="http://schemas.microsoft.com/office/drawing/2014/main" id="{00000000-0008-0000-2000-00001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5" name="198 CuadroTexto">
          <a:extLst>
            <a:ext uri="{FF2B5EF4-FFF2-40B4-BE49-F238E27FC236}">
              <a16:creationId xmlns:a16="http://schemas.microsoft.com/office/drawing/2014/main" id="{00000000-0008-0000-2000-00001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6" name="199 CuadroTexto">
          <a:extLst>
            <a:ext uri="{FF2B5EF4-FFF2-40B4-BE49-F238E27FC236}">
              <a16:creationId xmlns:a16="http://schemas.microsoft.com/office/drawing/2014/main" id="{00000000-0008-0000-2000-00002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7" name="200 CuadroTexto">
          <a:extLst>
            <a:ext uri="{FF2B5EF4-FFF2-40B4-BE49-F238E27FC236}">
              <a16:creationId xmlns:a16="http://schemas.microsoft.com/office/drawing/2014/main" id="{00000000-0008-0000-2000-00002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8" name="201 CuadroTexto">
          <a:extLst>
            <a:ext uri="{FF2B5EF4-FFF2-40B4-BE49-F238E27FC236}">
              <a16:creationId xmlns:a16="http://schemas.microsoft.com/office/drawing/2014/main" id="{00000000-0008-0000-2000-00002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9" name="202 CuadroTexto">
          <a:extLst>
            <a:ext uri="{FF2B5EF4-FFF2-40B4-BE49-F238E27FC236}">
              <a16:creationId xmlns:a16="http://schemas.microsoft.com/office/drawing/2014/main" id="{00000000-0008-0000-2000-00002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0" name="203 CuadroTexto">
          <a:extLst>
            <a:ext uri="{FF2B5EF4-FFF2-40B4-BE49-F238E27FC236}">
              <a16:creationId xmlns:a16="http://schemas.microsoft.com/office/drawing/2014/main" id="{00000000-0008-0000-2000-00002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1" name="204 CuadroTexto">
          <a:extLst>
            <a:ext uri="{FF2B5EF4-FFF2-40B4-BE49-F238E27FC236}">
              <a16:creationId xmlns:a16="http://schemas.microsoft.com/office/drawing/2014/main" id="{00000000-0008-0000-2000-00002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2" name="205 CuadroTexto">
          <a:extLst>
            <a:ext uri="{FF2B5EF4-FFF2-40B4-BE49-F238E27FC236}">
              <a16:creationId xmlns:a16="http://schemas.microsoft.com/office/drawing/2014/main" id="{00000000-0008-0000-2000-00002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3" name="206 CuadroTexto">
          <a:extLst>
            <a:ext uri="{FF2B5EF4-FFF2-40B4-BE49-F238E27FC236}">
              <a16:creationId xmlns:a16="http://schemas.microsoft.com/office/drawing/2014/main" id="{00000000-0008-0000-2000-00002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4" name="207 CuadroTexto">
          <a:extLst>
            <a:ext uri="{FF2B5EF4-FFF2-40B4-BE49-F238E27FC236}">
              <a16:creationId xmlns:a16="http://schemas.microsoft.com/office/drawing/2014/main" id="{00000000-0008-0000-2000-00002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5" name="208 CuadroTexto">
          <a:extLst>
            <a:ext uri="{FF2B5EF4-FFF2-40B4-BE49-F238E27FC236}">
              <a16:creationId xmlns:a16="http://schemas.microsoft.com/office/drawing/2014/main" id="{00000000-0008-0000-2000-00002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6" name="209 CuadroTexto">
          <a:extLst>
            <a:ext uri="{FF2B5EF4-FFF2-40B4-BE49-F238E27FC236}">
              <a16:creationId xmlns:a16="http://schemas.microsoft.com/office/drawing/2014/main" id="{00000000-0008-0000-2000-00002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7" name="210 CuadroTexto">
          <a:extLst>
            <a:ext uri="{FF2B5EF4-FFF2-40B4-BE49-F238E27FC236}">
              <a16:creationId xmlns:a16="http://schemas.microsoft.com/office/drawing/2014/main" id="{00000000-0008-0000-2000-00002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8" name="211 CuadroTexto">
          <a:extLst>
            <a:ext uri="{FF2B5EF4-FFF2-40B4-BE49-F238E27FC236}">
              <a16:creationId xmlns:a16="http://schemas.microsoft.com/office/drawing/2014/main" id="{00000000-0008-0000-2000-00002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9" name="212 CuadroTexto">
          <a:extLst>
            <a:ext uri="{FF2B5EF4-FFF2-40B4-BE49-F238E27FC236}">
              <a16:creationId xmlns:a16="http://schemas.microsoft.com/office/drawing/2014/main" id="{00000000-0008-0000-2000-00002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0" name="213 CuadroTexto">
          <a:extLst>
            <a:ext uri="{FF2B5EF4-FFF2-40B4-BE49-F238E27FC236}">
              <a16:creationId xmlns:a16="http://schemas.microsoft.com/office/drawing/2014/main" id="{00000000-0008-0000-2000-00002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1" name="214 CuadroTexto">
          <a:extLst>
            <a:ext uri="{FF2B5EF4-FFF2-40B4-BE49-F238E27FC236}">
              <a16:creationId xmlns:a16="http://schemas.microsoft.com/office/drawing/2014/main" id="{00000000-0008-0000-2000-00002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2" name="215 CuadroTexto">
          <a:extLst>
            <a:ext uri="{FF2B5EF4-FFF2-40B4-BE49-F238E27FC236}">
              <a16:creationId xmlns:a16="http://schemas.microsoft.com/office/drawing/2014/main" id="{00000000-0008-0000-2000-00003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3" name="216 CuadroTexto">
          <a:extLst>
            <a:ext uri="{FF2B5EF4-FFF2-40B4-BE49-F238E27FC236}">
              <a16:creationId xmlns:a16="http://schemas.microsoft.com/office/drawing/2014/main" id="{00000000-0008-0000-2000-00003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4" name="217 CuadroTexto">
          <a:extLst>
            <a:ext uri="{FF2B5EF4-FFF2-40B4-BE49-F238E27FC236}">
              <a16:creationId xmlns:a16="http://schemas.microsoft.com/office/drawing/2014/main" id="{00000000-0008-0000-2000-00003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5" name="218 CuadroTexto">
          <a:extLst>
            <a:ext uri="{FF2B5EF4-FFF2-40B4-BE49-F238E27FC236}">
              <a16:creationId xmlns:a16="http://schemas.microsoft.com/office/drawing/2014/main" id="{00000000-0008-0000-2000-00003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6" name="219 CuadroTexto">
          <a:extLst>
            <a:ext uri="{FF2B5EF4-FFF2-40B4-BE49-F238E27FC236}">
              <a16:creationId xmlns:a16="http://schemas.microsoft.com/office/drawing/2014/main" id="{00000000-0008-0000-2000-00003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7" name="220 CuadroTexto">
          <a:extLst>
            <a:ext uri="{FF2B5EF4-FFF2-40B4-BE49-F238E27FC236}">
              <a16:creationId xmlns:a16="http://schemas.microsoft.com/office/drawing/2014/main" id="{00000000-0008-0000-2000-00003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8" name="221 CuadroTexto">
          <a:extLst>
            <a:ext uri="{FF2B5EF4-FFF2-40B4-BE49-F238E27FC236}">
              <a16:creationId xmlns:a16="http://schemas.microsoft.com/office/drawing/2014/main" id="{00000000-0008-0000-2000-00003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9" name="222 CuadroTexto">
          <a:extLst>
            <a:ext uri="{FF2B5EF4-FFF2-40B4-BE49-F238E27FC236}">
              <a16:creationId xmlns:a16="http://schemas.microsoft.com/office/drawing/2014/main" id="{00000000-0008-0000-2000-00003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0" name="223 CuadroTexto">
          <a:extLst>
            <a:ext uri="{FF2B5EF4-FFF2-40B4-BE49-F238E27FC236}">
              <a16:creationId xmlns:a16="http://schemas.microsoft.com/office/drawing/2014/main" id="{00000000-0008-0000-2000-00003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1" name="224 CuadroTexto">
          <a:extLst>
            <a:ext uri="{FF2B5EF4-FFF2-40B4-BE49-F238E27FC236}">
              <a16:creationId xmlns:a16="http://schemas.microsoft.com/office/drawing/2014/main" id="{00000000-0008-0000-2000-00003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2" name="225 CuadroTexto">
          <a:extLst>
            <a:ext uri="{FF2B5EF4-FFF2-40B4-BE49-F238E27FC236}">
              <a16:creationId xmlns:a16="http://schemas.microsoft.com/office/drawing/2014/main" id="{00000000-0008-0000-2000-00003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3" name="226 CuadroTexto">
          <a:extLst>
            <a:ext uri="{FF2B5EF4-FFF2-40B4-BE49-F238E27FC236}">
              <a16:creationId xmlns:a16="http://schemas.microsoft.com/office/drawing/2014/main" id="{00000000-0008-0000-2000-00003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4" name="227 CuadroTexto">
          <a:extLst>
            <a:ext uri="{FF2B5EF4-FFF2-40B4-BE49-F238E27FC236}">
              <a16:creationId xmlns:a16="http://schemas.microsoft.com/office/drawing/2014/main" id="{00000000-0008-0000-2000-00003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5" name="228 CuadroTexto">
          <a:extLst>
            <a:ext uri="{FF2B5EF4-FFF2-40B4-BE49-F238E27FC236}">
              <a16:creationId xmlns:a16="http://schemas.microsoft.com/office/drawing/2014/main" id="{00000000-0008-0000-2000-00003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6" name="229 CuadroTexto">
          <a:extLst>
            <a:ext uri="{FF2B5EF4-FFF2-40B4-BE49-F238E27FC236}">
              <a16:creationId xmlns:a16="http://schemas.microsoft.com/office/drawing/2014/main" id="{00000000-0008-0000-2000-00003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7" name="230 CuadroTexto">
          <a:extLst>
            <a:ext uri="{FF2B5EF4-FFF2-40B4-BE49-F238E27FC236}">
              <a16:creationId xmlns:a16="http://schemas.microsoft.com/office/drawing/2014/main" id="{00000000-0008-0000-2000-00003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8" name="231 CuadroTexto">
          <a:extLst>
            <a:ext uri="{FF2B5EF4-FFF2-40B4-BE49-F238E27FC236}">
              <a16:creationId xmlns:a16="http://schemas.microsoft.com/office/drawing/2014/main" id="{00000000-0008-0000-2000-00004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9" name="232 CuadroTexto">
          <a:extLst>
            <a:ext uri="{FF2B5EF4-FFF2-40B4-BE49-F238E27FC236}">
              <a16:creationId xmlns:a16="http://schemas.microsoft.com/office/drawing/2014/main" id="{00000000-0008-0000-2000-00004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0" name="233 CuadroTexto">
          <a:extLst>
            <a:ext uri="{FF2B5EF4-FFF2-40B4-BE49-F238E27FC236}">
              <a16:creationId xmlns:a16="http://schemas.microsoft.com/office/drawing/2014/main" id="{00000000-0008-0000-2000-00004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1" name="234 CuadroTexto">
          <a:extLst>
            <a:ext uri="{FF2B5EF4-FFF2-40B4-BE49-F238E27FC236}">
              <a16:creationId xmlns:a16="http://schemas.microsoft.com/office/drawing/2014/main" id="{00000000-0008-0000-2000-00004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2" name="235 CuadroTexto">
          <a:extLst>
            <a:ext uri="{FF2B5EF4-FFF2-40B4-BE49-F238E27FC236}">
              <a16:creationId xmlns:a16="http://schemas.microsoft.com/office/drawing/2014/main" id="{00000000-0008-0000-2000-00004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3" name="236 CuadroTexto">
          <a:extLst>
            <a:ext uri="{FF2B5EF4-FFF2-40B4-BE49-F238E27FC236}">
              <a16:creationId xmlns:a16="http://schemas.microsoft.com/office/drawing/2014/main" id="{00000000-0008-0000-2000-00004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4" name="237 CuadroTexto">
          <a:extLst>
            <a:ext uri="{FF2B5EF4-FFF2-40B4-BE49-F238E27FC236}">
              <a16:creationId xmlns:a16="http://schemas.microsoft.com/office/drawing/2014/main" id="{00000000-0008-0000-2000-00004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5" name="238 CuadroTexto">
          <a:extLst>
            <a:ext uri="{FF2B5EF4-FFF2-40B4-BE49-F238E27FC236}">
              <a16:creationId xmlns:a16="http://schemas.microsoft.com/office/drawing/2014/main" id="{00000000-0008-0000-2000-00004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6" name="239 CuadroTexto">
          <a:extLst>
            <a:ext uri="{FF2B5EF4-FFF2-40B4-BE49-F238E27FC236}">
              <a16:creationId xmlns:a16="http://schemas.microsoft.com/office/drawing/2014/main" id="{00000000-0008-0000-2000-00004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7" name="240 CuadroTexto">
          <a:extLst>
            <a:ext uri="{FF2B5EF4-FFF2-40B4-BE49-F238E27FC236}">
              <a16:creationId xmlns:a16="http://schemas.microsoft.com/office/drawing/2014/main" id="{00000000-0008-0000-2000-00004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8" name="241 CuadroTexto">
          <a:extLst>
            <a:ext uri="{FF2B5EF4-FFF2-40B4-BE49-F238E27FC236}">
              <a16:creationId xmlns:a16="http://schemas.microsoft.com/office/drawing/2014/main" id="{00000000-0008-0000-2000-00004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9" name="242 CuadroTexto">
          <a:extLst>
            <a:ext uri="{FF2B5EF4-FFF2-40B4-BE49-F238E27FC236}">
              <a16:creationId xmlns:a16="http://schemas.microsoft.com/office/drawing/2014/main" id="{00000000-0008-0000-2000-00004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0" name="243 CuadroTexto">
          <a:extLst>
            <a:ext uri="{FF2B5EF4-FFF2-40B4-BE49-F238E27FC236}">
              <a16:creationId xmlns:a16="http://schemas.microsoft.com/office/drawing/2014/main" id="{00000000-0008-0000-2000-00004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1" name="244 CuadroTexto">
          <a:extLst>
            <a:ext uri="{FF2B5EF4-FFF2-40B4-BE49-F238E27FC236}">
              <a16:creationId xmlns:a16="http://schemas.microsoft.com/office/drawing/2014/main" id="{00000000-0008-0000-2000-00004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2" name="245 CuadroTexto">
          <a:extLst>
            <a:ext uri="{FF2B5EF4-FFF2-40B4-BE49-F238E27FC236}">
              <a16:creationId xmlns:a16="http://schemas.microsoft.com/office/drawing/2014/main" id="{00000000-0008-0000-2000-00004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3" name="246 CuadroTexto">
          <a:extLst>
            <a:ext uri="{FF2B5EF4-FFF2-40B4-BE49-F238E27FC236}">
              <a16:creationId xmlns:a16="http://schemas.microsoft.com/office/drawing/2014/main" id="{00000000-0008-0000-2000-00004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4" name="247 CuadroTexto">
          <a:extLst>
            <a:ext uri="{FF2B5EF4-FFF2-40B4-BE49-F238E27FC236}">
              <a16:creationId xmlns:a16="http://schemas.microsoft.com/office/drawing/2014/main" id="{00000000-0008-0000-2000-00005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5" name="248 CuadroTexto">
          <a:extLst>
            <a:ext uri="{FF2B5EF4-FFF2-40B4-BE49-F238E27FC236}">
              <a16:creationId xmlns:a16="http://schemas.microsoft.com/office/drawing/2014/main" id="{00000000-0008-0000-2000-00005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6" name="249 CuadroTexto">
          <a:extLst>
            <a:ext uri="{FF2B5EF4-FFF2-40B4-BE49-F238E27FC236}">
              <a16:creationId xmlns:a16="http://schemas.microsoft.com/office/drawing/2014/main" id="{00000000-0008-0000-2000-00005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7" name="250 CuadroTexto">
          <a:extLst>
            <a:ext uri="{FF2B5EF4-FFF2-40B4-BE49-F238E27FC236}">
              <a16:creationId xmlns:a16="http://schemas.microsoft.com/office/drawing/2014/main" id="{00000000-0008-0000-2000-00005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8" name="251 CuadroTexto">
          <a:extLst>
            <a:ext uri="{FF2B5EF4-FFF2-40B4-BE49-F238E27FC236}">
              <a16:creationId xmlns:a16="http://schemas.microsoft.com/office/drawing/2014/main" id="{00000000-0008-0000-2000-00005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9" name="252 CuadroTexto">
          <a:extLst>
            <a:ext uri="{FF2B5EF4-FFF2-40B4-BE49-F238E27FC236}">
              <a16:creationId xmlns:a16="http://schemas.microsoft.com/office/drawing/2014/main" id="{00000000-0008-0000-2000-00005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0" name="253 CuadroTexto">
          <a:extLst>
            <a:ext uri="{FF2B5EF4-FFF2-40B4-BE49-F238E27FC236}">
              <a16:creationId xmlns:a16="http://schemas.microsoft.com/office/drawing/2014/main" id="{00000000-0008-0000-2000-00005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1" name="254 CuadroTexto">
          <a:extLst>
            <a:ext uri="{FF2B5EF4-FFF2-40B4-BE49-F238E27FC236}">
              <a16:creationId xmlns:a16="http://schemas.microsoft.com/office/drawing/2014/main" id="{00000000-0008-0000-2000-00005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2" name="255 CuadroTexto">
          <a:extLst>
            <a:ext uri="{FF2B5EF4-FFF2-40B4-BE49-F238E27FC236}">
              <a16:creationId xmlns:a16="http://schemas.microsoft.com/office/drawing/2014/main" id="{00000000-0008-0000-2000-00005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3" name="256 CuadroTexto">
          <a:extLst>
            <a:ext uri="{FF2B5EF4-FFF2-40B4-BE49-F238E27FC236}">
              <a16:creationId xmlns:a16="http://schemas.microsoft.com/office/drawing/2014/main" id="{00000000-0008-0000-2000-00005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4" name="257 CuadroTexto">
          <a:extLst>
            <a:ext uri="{FF2B5EF4-FFF2-40B4-BE49-F238E27FC236}">
              <a16:creationId xmlns:a16="http://schemas.microsoft.com/office/drawing/2014/main" id="{00000000-0008-0000-2000-00005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5" name="258 CuadroTexto">
          <a:extLst>
            <a:ext uri="{FF2B5EF4-FFF2-40B4-BE49-F238E27FC236}">
              <a16:creationId xmlns:a16="http://schemas.microsoft.com/office/drawing/2014/main" id="{00000000-0008-0000-2000-00005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6" name="259 CuadroTexto">
          <a:extLst>
            <a:ext uri="{FF2B5EF4-FFF2-40B4-BE49-F238E27FC236}">
              <a16:creationId xmlns:a16="http://schemas.microsoft.com/office/drawing/2014/main" id="{00000000-0008-0000-2000-00005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7" name="260 CuadroTexto">
          <a:extLst>
            <a:ext uri="{FF2B5EF4-FFF2-40B4-BE49-F238E27FC236}">
              <a16:creationId xmlns:a16="http://schemas.microsoft.com/office/drawing/2014/main" id="{00000000-0008-0000-2000-00005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8" name="261 CuadroTexto">
          <a:extLst>
            <a:ext uri="{FF2B5EF4-FFF2-40B4-BE49-F238E27FC236}">
              <a16:creationId xmlns:a16="http://schemas.microsoft.com/office/drawing/2014/main" id="{00000000-0008-0000-2000-00005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9" name="262 CuadroTexto">
          <a:extLst>
            <a:ext uri="{FF2B5EF4-FFF2-40B4-BE49-F238E27FC236}">
              <a16:creationId xmlns:a16="http://schemas.microsoft.com/office/drawing/2014/main" id="{00000000-0008-0000-2000-00005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0" name="263 CuadroTexto">
          <a:extLst>
            <a:ext uri="{FF2B5EF4-FFF2-40B4-BE49-F238E27FC236}">
              <a16:creationId xmlns:a16="http://schemas.microsoft.com/office/drawing/2014/main" id="{00000000-0008-0000-2000-00006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1" name="264 CuadroTexto">
          <a:extLst>
            <a:ext uri="{FF2B5EF4-FFF2-40B4-BE49-F238E27FC236}">
              <a16:creationId xmlns:a16="http://schemas.microsoft.com/office/drawing/2014/main" id="{00000000-0008-0000-2000-00006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2" name="265 CuadroTexto">
          <a:extLst>
            <a:ext uri="{FF2B5EF4-FFF2-40B4-BE49-F238E27FC236}">
              <a16:creationId xmlns:a16="http://schemas.microsoft.com/office/drawing/2014/main" id="{00000000-0008-0000-2000-00006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3" name="266 CuadroTexto">
          <a:extLst>
            <a:ext uri="{FF2B5EF4-FFF2-40B4-BE49-F238E27FC236}">
              <a16:creationId xmlns:a16="http://schemas.microsoft.com/office/drawing/2014/main" id="{00000000-0008-0000-2000-00006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4" name="267 CuadroTexto">
          <a:extLst>
            <a:ext uri="{FF2B5EF4-FFF2-40B4-BE49-F238E27FC236}">
              <a16:creationId xmlns:a16="http://schemas.microsoft.com/office/drawing/2014/main" id="{00000000-0008-0000-2000-00006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125" name="268 CuadroTexto">
          <a:extLst>
            <a:ext uri="{FF2B5EF4-FFF2-40B4-BE49-F238E27FC236}">
              <a16:creationId xmlns:a16="http://schemas.microsoft.com/office/drawing/2014/main" id="{00000000-0008-0000-2000-00006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6" name="269 CuadroTexto">
          <a:extLst>
            <a:ext uri="{FF2B5EF4-FFF2-40B4-BE49-F238E27FC236}">
              <a16:creationId xmlns:a16="http://schemas.microsoft.com/office/drawing/2014/main" id="{00000000-0008-0000-2000-000066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7" name="270 CuadroTexto">
          <a:extLst>
            <a:ext uri="{FF2B5EF4-FFF2-40B4-BE49-F238E27FC236}">
              <a16:creationId xmlns:a16="http://schemas.microsoft.com/office/drawing/2014/main" id="{00000000-0008-0000-2000-000067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8" name="271 CuadroTexto">
          <a:extLst>
            <a:ext uri="{FF2B5EF4-FFF2-40B4-BE49-F238E27FC236}">
              <a16:creationId xmlns:a16="http://schemas.microsoft.com/office/drawing/2014/main" id="{00000000-0008-0000-2000-000068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9" name="272 CuadroTexto">
          <a:extLst>
            <a:ext uri="{FF2B5EF4-FFF2-40B4-BE49-F238E27FC236}">
              <a16:creationId xmlns:a16="http://schemas.microsoft.com/office/drawing/2014/main" id="{00000000-0008-0000-2000-000069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0" name="273 CuadroTexto">
          <a:extLst>
            <a:ext uri="{FF2B5EF4-FFF2-40B4-BE49-F238E27FC236}">
              <a16:creationId xmlns:a16="http://schemas.microsoft.com/office/drawing/2014/main" id="{00000000-0008-0000-2000-00006A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1" name="274 CuadroTexto">
          <a:extLst>
            <a:ext uri="{FF2B5EF4-FFF2-40B4-BE49-F238E27FC236}">
              <a16:creationId xmlns:a16="http://schemas.microsoft.com/office/drawing/2014/main" id="{00000000-0008-0000-2000-00006B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2" name="275 CuadroTexto">
          <a:extLst>
            <a:ext uri="{FF2B5EF4-FFF2-40B4-BE49-F238E27FC236}">
              <a16:creationId xmlns:a16="http://schemas.microsoft.com/office/drawing/2014/main" id="{00000000-0008-0000-2000-00006C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3" name="276 CuadroTexto">
          <a:extLst>
            <a:ext uri="{FF2B5EF4-FFF2-40B4-BE49-F238E27FC236}">
              <a16:creationId xmlns:a16="http://schemas.microsoft.com/office/drawing/2014/main" id="{00000000-0008-0000-2000-00006D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4" name="277 CuadroTexto">
          <a:extLst>
            <a:ext uri="{FF2B5EF4-FFF2-40B4-BE49-F238E27FC236}">
              <a16:creationId xmlns:a16="http://schemas.microsoft.com/office/drawing/2014/main" id="{00000000-0008-0000-2000-00006E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5" name="278 CuadroTexto">
          <a:extLst>
            <a:ext uri="{FF2B5EF4-FFF2-40B4-BE49-F238E27FC236}">
              <a16:creationId xmlns:a16="http://schemas.microsoft.com/office/drawing/2014/main" id="{00000000-0008-0000-2000-00006F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6" name="279 CuadroTexto">
          <a:extLst>
            <a:ext uri="{FF2B5EF4-FFF2-40B4-BE49-F238E27FC236}">
              <a16:creationId xmlns:a16="http://schemas.microsoft.com/office/drawing/2014/main" id="{00000000-0008-0000-2000-000070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7" name="280 CuadroTexto">
          <a:extLst>
            <a:ext uri="{FF2B5EF4-FFF2-40B4-BE49-F238E27FC236}">
              <a16:creationId xmlns:a16="http://schemas.microsoft.com/office/drawing/2014/main" id="{00000000-0008-0000-2000-000071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8" name="281 CuadroTexto">
          <a:extLst>
            <a:ext uri="{FF2B5EF4-FFF2-40B4-BE49-F238E27FC236}">
              <a16:creationId xmlns:a16="http://schemas.microsoft.com/office/drawing/2014/main" id="{00000000-0008-0000-2000-000072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9" name="282 CuadroTexto">
          <a:extLst>
            <a:ext uri="{FF2B5EF4-FFF2-40B4-BE49-F238E27FC236}">
              <a16:creationId xmlns:a16="http://schemas.microsoft.com/office/drawing/2014/main" id="{00000000-0008-0000-2000-000073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0" name="283 CuadroTexto">
          <a:extLst>
            <a:ext uri="{FF2B5EF4-FFF2-40B4-BE49-F238E27FC236}">
              <a16:creationId xmlns:a16="http://schemas.microsoft.com/office/drawing/2014/main" id="{00000000-0008-0000-2000-000074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1" name="284 CuadroTexto">
          <a:extLst>
            <a:ext uri="{FF2B5EF4-FFF2-40B4-BE49-F238E27FC236}">
              <a16:creationId xmlns:a16="http://schemas.microsoft.com/office/drawing/2014/main" id="{00000000-0008-0000-2000-00007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42" name="285 CuadroTexto">
          <a:extLst>
            <a:ext uri="{FF2B5EF4-FFF2-40B4-BE49-F238E27FC236}">
              <a16:creationId xmlns:a16="http://schemas.microsoft.com/office/drawing/2014/main" id="{00000000-0008-0000-2000-00007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3" name="286 CuadroTexto">
          <a:extLst>
            <a:ext uri="{FF2B5EF4-FFF2-40B4-BE49-F238E27FC236}">
              <a16:creationId xmlns:a16="http://schemas.microsoft.com/office/drawing/2014/main" id="{00000000-0008-0000-2000-00007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4" name="287 CuadroTexto">
          <a:extLst>
            <a:ext uri="{FF2B5EF4-FFF2-40B4-BE49-F238E27FC236}">
              <a16:creationId xmlns:a16="http://schemas.microsoft.com/office/drawing/2014/main" id="{00000000-0008-0000-2000-00007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5" name="288 CuadroTexto">
          <a:extLst>
            <a:ext uri="{FF2B5EF4-FFF2-40B4-BE49-F238E27FC236}">
              <a16:creationId xmlns:a16="http://schemas.microsoft.com/office/drawing/2014/main" id="{00000000-0008-0000-2000-00007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6" name="289 CuadroTexto">
          <a:extLst>
            <a:ext uri="{FF2B5EF4-FFF2-40B4-BE49-F238E27FC236}">
              <a16:creationId xmlns:a16="http://schemas.microsoft.com/office/drawing/2014/main" id="{00000000-0008-0000-2000-00007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7" name="290 CuadroTexto">
          <a:extLst>
            <a:ext uri="{FF2B5EF4-FFF2-40B4-BE49-F238E27FC236}">
              <a16:creationId xmlns:a16="http://schemas.microsoft.com/office/drawing/2014/main" id="{00000000-0008-0000-2000-00007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8" name="291 CuadroTexto">
          <a:extLst>
            <a:ext uri="{FF2B5EF4-FFF2-40B4-BE49-F238E27FC236}">
              <a16:creationId xmlns:a16="http://schemas.microsoft.com/office/drawing/2014/main" id="{00000000-0008-0000-2000-00007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9" name="292 CuadroTexto">
          <a:extLst>
            <a:ext uri="{FF2B5EF4-FFF2-40B4-BE49-F238E27FC236}">
              <a16:creationId xmlns:a16="http://schemas.microsoft.com/office/drawing/2014/main" id="{00000000-0008-0000-2000-00007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0" name="293 CuadroTexto">
          <a:extLst>
            <a:ext uri="{FF2B5EF4-FFF2-40B4-BE49-F238E27FC236}">
              <a16:creationId xmlns:a16="http://schemas.microsoft.com/office/drawing/2014/main" id="{00000000-0008-0000-2000-00007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1" name="294 CuadroTexto">
          <a:extLst>
            <a:ext uri="{FF2B5EF4-FFF2-40B4-BE49-F238E27FC236}">
              <a16:creationId xmlns:a16="http://schemas.microsoft.com/office/drawing/2014/main" id="{00000000-0008-0000-2000-00007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2" name="295 CuadroTexto">
          <a:extLst>
            <a:ext uri="{FF2B5EF4-FFF2-40B4-BE49-F238E27FC236}">
              <a16:creationId xmlns:a16="http://schemas.microsoft.com/office/drawing/2014/main" id="{00000000-0008-0000-2000-00008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3" name="296 CuadroTexto">
          <a:extLst>
            <a:ext uri="{FF2B5EF4-FFF2-40B4-BE49-F238E27FC236}">
              <a16:creationId xmlns:a16="http://schemas.microsoft.com/office/drawing/2014/main" id="{00000000-0008-0000-2000-00008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4" name="17 CuadroTexto">
          <a:extLst>
            <a:ext uri="{FF2B5EF4-FFF2-40B4-BE49-F238E27FC236}">
              <a16:creationId xmlns:a16="http://schemas.microsoft.com/office/drawing/2014/main" id="{00000000-0008-0000-2000-00008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155" name="90 CuadroTexto">
          <a:extLst>
            <a:ext uri="{FF2B5EF4-FFF2-40B4-BE49-F238E27FC236}">
              <a16:creationId xmlns:a16="http://schemas.microsoft.com/office/drawing/2014/main" id="{00000000-0008-0000-2000-000083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6" name="91 CuadroTexto">
          <a:extLst>
            <a:ext uri="{FF2B5EF4-FFF2-40B4-BE49-F238E27FC236}">
              <a16:creationId xmlns:a16="http://schemas.microsoft.com/office/drawing/2014/main" id="{00000000-0008-0000-2000-000084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7" name="92 CuadroTexto">
          <a:extLst>
            <a:ext uri="{FF2B5EF4-FFF2-40B4-BE49-F238E27FC236}">
              <a16:creationId xmlns:a16="http://schemas.microsoft.com/office/drawing/2014/main" id="{00000000-0008-0000-2000-000085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8" name="93 CuadroTexto">
          <a:extLst>
            <a:ext uri="{FF2B5EF4-FFF2-40B4-BE49-F238E27FC236}">
              <a16:creationId xmlns:a16="http://schemas.microsoft.com/office/drawing/2014/main" id="{00000000-0008-0000-2000-000086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9" name="94 CuadroTexto">
          <a:extLst>
            <a:ext uri="{FF2B5EF4-FFF2-40B4-BE49-F238E27FC236}">
              <a16:creationId xmlns:a16="http://schemas.microsoft.com/office/drawing/2014/main" id="{00000000-0008-0000-2000-000087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0" name="95 CuadroTexto">
          <a:extLst>
            <a:ext uri="{FF2B5EF4-FFF2-40B4-BE49-F238E27FC236}">
              <a16:creationId xmlns:a16="http://schemas.microsoft.com/office/drawing/2014/main" id="{00000000-0008-0000-2000-000088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1" name="96 CuadroTexto">
          <a:extLst>
            <a:ext uri="{FF2B5EF4-FFF2-40B4-BE49-F238E27FC236}">
              <a16:creationId xmlns:a16="http://schemas.microsoft.com/office/drawing/2014/main" id="{00000000-0008-0000-2000-000089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2" name="97 CuadroTexto">
          <a:extLst>
            <a:ext uri="{FF2B5EF4-FFF2-40B4-BE49-F238E27FC236}">
              <a16:creationId xmlns:a16="http://schemas.microsoft.com/office/drawing/2014/main" id="{00000000-0008-0000-2000-00008A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3" name="98 CuadroTexto">
          <a:extLst>
            <a:ext uri="{FF2B5EF4-FFF2-40B4-BE49-F238E27FC236}">
              <a16:creationId xmlns:a16="http://schemas.microsoft.com/office/drawing/2014/main" id="{00000000-0008-0000-2000-00008B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4" name="99 CuadroTexto">
          <a:extLst>
            <a:ext uri="{FF2B5EF4-FFF2-40B4-BE49-F238E27FC236}">
              <a16:creationId xmlns:a16="http://schemas.microsoft.com/office/drawing/2014/main" id="{00000000-0008-0000-2000-00008C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5" name="100 CuadroTexto">
          <a:extLst>
            <a:ext uri="{FF2B5EF4-FFF2-40B4-BE49-F238E27FC236}">
              <a16:creationId xmlns:a16="http://schemas.microsoft.com/office/drawing/2014/main" id="{00000000-0008-0000-2000-00008D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6" name="101 CuadroTexto">
          <a:extLst>
            <a:ext uri="{FF2B5EF4-FFF2-40B4-BE49-F238E27FC236}">
              <a16:creationId xmlns:a16="http://schemas.microsoft.com/office/drawing/2014/main" id="{00000000-0008-0000-2000-00008E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67" name="118 CuadroTexto">
          <a:extLst>
            <a:ext uri="{FF2B5EF4-FFF2-40B4-BE49-F238E27FC236}">
              <a16:creationId xmlns:a16="http://schemas.microsoft.com/office/drawing/2014/main" id="{00000000-0008-0000-2000-00008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8" name="119 CuadroTexto">
          <a:extLst>
            <a:ext uri="{FF2B5EF4-FFF2-40B4-BE49-F238E27FC236}">
              <a16:creationId xmlns:a16="http://schemas.microsoft.com/office/drawing/2014/main" id="{00000000-0008-0000-2000-00009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9" name="120 CuadroTexto">
          <a:extLst>
            <a:ext uri="{FF2B5EF4-FFF2-40B4-BE49-F238E27FC236}">
              <a16:creationId xmlns:a16="http://schemas.microsoft.com/office/drawing/2014/main" id="{00000000-0008-0000-2000-00009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0" name="121 CuadroTexto">
          <a:extLst>
            <a:ext uri="{FF2B5EF4-FFF2-40B4-BE49-F238E27FC236}">
              <a16:creationId xmlns:a16="http://schemas.microsoft.com/office/drawing/2014/main" id="{00000000-0008-0000-2000-00009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1" name="122 CuadroTexto">
          <a:extLst>
            <a:ext uri="{FF2B5EF4-FFF2-40B4-BE49-F238E27FC236}">
              <a16:creationId xmlns:a16="http://schemas.microsoft.com/office/drawing/2014/main" id="{00000000-0008-0000-2000-00009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2" name="123 CuadroTexto">
          <a:extLst>
            <a:ext uri="{FF2B5EF4-FFF2-40B4-BE49-F238E27FC236}">
              <a16:creationId xmlns:a16="http://schemas.microsoft.com/office/drawing/2014/main" id="{00000000-0008-0000-2000-00009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3" name="124 CuadroTexto">
          <a:extLst>
            <a:ext uri="{FF2B5EF4-FFF2-40B4-BE49-F238E27FC236}">
              <a16:creationId xmlns:a16="http://schemas.microsoft.com/office/drawing/2014/main" id="{00000000-0008-0000-2000-00009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4" name="125 CuadroTexto">
          <a:extLst>
            <a:ext uri="{FF2B5EF4-FFF2-40B4-BE49-F238E27FC236}">
              <a16:creationId xmlns:a16="http://schemas.microsoft.com/office/drawing/2014/main" id="{00000000-0008-0000-2000-00009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5" name="143 CuadroTexto">
          <a:extLst>
            <a:ext uri="{FF2B5EF4-FFF2-40B4-BE49-F238E27FC236}">
              <a16:creationId xmlns:a16="http://schemas.microsoft.com/office/drawing/2014/main" id="{00000000-0008-0000-2000-00009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6" name="144 CuadroTexto">
          <a:extLst>
            <a:ext uri="{FF2B5EF4-FFF2-40B4-BE49-F238E27FC236}">
              <a16:creationId xmlns:a16="http://schemas.microsoft.com/office/drawing/2014/main" id="{00000000-0008-0000-2000-00009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7" name="145 CuadroTexto">
          <a:extLst>
            <a:ext uri="{FF2B5EF4-FFF2-40B4-BE49-F238E27FC236}">
              <a16:creationId xmlns:a16="http://schemas.microsoft.com/office/drawing/2014/main" id="{00000000-0008-0000-2000-00009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8" name="146 CuadroTexto">
          <a:extLst>
            <a:ext uri="{FF2B5EF4-FFF2-40B4-BE49-F238E27FC236}">
              <a16:creationId xmlns:a16="http://schemas.microsoft.com/office/drawing/2014/main" id="{00000000-0008-0000-2000-00009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9" name="147 CuadroTexto">
          <a:extLst>
            <a:ext uri="{FF2B5EF4-FFF2-40B4-BE49-F238E27FC236}">
              <a16:creationId xmlns:a16="http://schemas.microsoft.com/office/drawing/2014/main" id="{00000000-0008-0000-2000-00009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0" name="148 CuadroTexto">
          <a:extLst>
            <a:ext uri="{FF2B5EF4-FFF2-40B4-BE49-F238E27FC236}">
              <a16:creationId xmlns:a16="http://schemas.microsoft.com/office/drawing/2014/main" id="{00000000-0008-0000-2000-00009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1" name="149 CuadroTexto">
          <a:extLst>
            <a:ext uri="{FF2B5EF4-FFF2-40B4-BE49-F238E27FC236}">
              <a16:creationId xmlns:a16="http://schemas.microsoft.com/office/drawing/2014/main" id="{00000000-0008-0000-2000-00009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2" name="150 CuadroTexto">
          <a:extLst>
            <a:ext uri="{FF2B5EF4-FFF2-40B4-BE49-F238E27FC236}">
              <a16:creationId xmlns:a16="http://schemas.microsoft.com/office/drawing/2014/main" id="{00000000-0008-0000-2000-00009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3" name="151 CuadroTexto">
          <a:extLst>
            <a:ext uri="{FF2B5EF4-FFF2-40B4-BE49-F238E27FC236}">
              <a16:creationId xmlns:a16="http://schemas.microsoft.com/office/drawing/2014/main" id="{00000000-0008-0000-2000-00009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4" name="152 CuadroTexto">
          <a:extLst>
            <a:ext uri="{FF2B5EF4-FFF2-40B4-BE49-F238E27FC236}">
              <a16:creationId xmlns:a16="http://schemas.microsoft.com/office/drawing/2014/main" id="{00000000-0008-0000-2000-0000A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5" name="153 CuadroTexto">
          <a:extLst>
            <a:ext uri="{FF2B5EF4-FFF2-40B4-BE49-F238E27FC236}">
              <a16:creationId xmlns:a16="http://schemas.microsoft.com/office/drawing/2014/main" id="{00000000-0008-0000-2000-0000A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6" name="154 CuadroTexto">
          <a:extLst>
            <a:ext uri="{FF2B5EF4-FFF2-40B4-BE49-F238E27FC236}">
              <a16:creationId xmlns:a16="http://schemas.microsoft.com/office/drawing/2014/main" id="{00000000-0008-0000-2000-0000A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7" name="155 CuadroTexto">
          <a:extLst>
            <a:ext uri="{FF2B5EF4-FFF2-40B4-BE49-F238E27FC236}">
              <a16:creationId xmlns:a16="http://schemas.microsoft.com/office/drawing/2014/main" id="{00000000-0008-0000-2000-0000A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8" name="156 CuadroTexto">
          <a:extLst>
            <a:ext uri="{FF2B5EF4-FFF2-40B4-BE49-F238E27FC236}">
              <a16:creationId xmlns:a16="http://schemas.microsoft.com/office/drawing/2014/main" id="{00000000-0008-0000-2000-0000A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9" name="157 CuadroTexto">
          <a:extLst>
            <a:ext uri="{FF2B5EF4-FFF2-40B4-BE49-F238E27FC236}">
              <a16:creationId xmlns:a16="http://schemas.microsoft.com/office/drawing/2014/main" id="{00000000-0008-0000-2000-0000A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0" name="158 CuadroTexto">
          <a:extLst>
            <a:ext uri="{FF2B5EF4-FFF2-40B4-BE49-F238E27FC236}">
              <a16:creationId xmlns:a16="http://schemas.microsoft.com/office/drawing/2014/main" id="{00000000-0008-0000-2000-0000A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1" name="159 CuadroTexto">
          <a:extLst>
            <a:ext uri="{FF2B5EF4-FFF2-40B4-BE49-F238E27FC236}">
              <a16:creationId xmlns:a16="http://schemas.microsoft.com/office/drawing/2014/main" id="{00000000-0008-0000-2000-0000A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2" name="160 CuadroTexto">
          <a:extLst>
            <a:ext uri="{FF2B5EF4-FFF2-40B4-BE49-F238E27FC236}">
              <a16:creationId xmlns:a16="http://schemas.microsoft.com/office/drawing/2014/main" id="{00000000-0008-0000-2000-0000A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3" name="161 CuadroTexto">
          <a:extLst>
            <a:ext uri="{FF2B5EF4-FFF2-40B4-BE49-F238E27FC236}">
              <a16:creationId xmlns:a16="http://schemas.microsoft.com/office/drawing/2014/main" id="{00000000-0008-0000-2000-0000A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4" name="162 CuadroTexto">
          <a:extLst>
            <a:ext uri="{FF2B5EF4-FFF2-40B4-BE49-F238E27FC236}">
              <a16:creationId xmlns:a16="http://schemas.microsoft.com/office/drawing/2014/main" id="{00000000-0008-0000-2000-0000A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5" name="163 CuadroTexto">
          <a:extLst>
            <a:ext uri="{FF2B5EF4-FFF2-40B4-BE49-F238E27FC236}">
              <a16:creationId xmlns:a16="http://schemas.microsoft.com/office/drawing/2014/main" id="{00000000-0008-0000-2000-0000A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6" name="164 CuadroTexto">
          <a:extLst>
            <a:ext uri="{FF2B5EF4-FFF2-40B4-BE49-F238E27FC236}">
              <a16:creationId xmlns:a16="http://schemas.microsoft.com/office/drawing/2014/main" id="{00000000-0008-0000-2000-0000A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7" name="165 CuadroTexto">
          <a:extLst>
            <a:ext uri="{FF2B5EF4-FFF2-40B4-BE49-F238E27FC236}">
              <a16:creationId xmlns:a16="http://schemas.microsoft.com/office/drawing/2014/main" id="{00000000-0008-0000-2000-0000A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8" name="166 CuadroTexto">
          <a:extLst>
            <a:ext uri="{FF2B5EF4-FFF2-40B4-BE49-F238E27FC236}">
              <a16:creationId xmlns:a16="http://schemas.microsoft.com/office/drawing/2014/main" id="{00000000-0008-0000-2000-0000A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9" name="167 CuadroTexto">
          <a:extLst>
            <a:ext uri="{FF2B5EF4-FFF2-40B4-BE49-F238E27FC236}">
              <a16:creationId xmlns:a16="http://schemas.microsoft.com/office/drawing/2014/main" id="{00000000-0008-0000-2000-0000A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0" name="168 CuadroTexto">
          <a:extLst>
            <a:ext uri="{FF2B5EF4-FFF2-40B4-BE49-F238E27FC236}">
              <a16:creationId xmlns:a16="http://schemas.microsoft.com/office/drawing/2014/main" id="{00000000-0008-0000-2000-0000B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1" name="169 CuadroTexto">
          <a:extLst>
            <a:ext uri="{FF2B5EF4-FFF2-40B4-BE49-F238E27FC236}">
              <a16:creationId xmlns:a16="http://schemas.microsoft.com/office/drawing/2014/main" id="{00000000-0008-0000-2000-0000B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2" name="170 CuadroTexto">
          <a:extLst>
            <a:ext uri="{FF2B5EF4-FFF2-40B4-BE49-F238E27FC236}">
              <a16:creationId xmlns:a16="http://schemas.microsoft.com/office/drawing/2014/main" id="{00000000-0008-0000-2000-0000B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3" name="171 CuadroTexto">
          <a:extLst>
            <a:ext uri="{FF2B5EF4-FFF2-40B4-BE49-F238E27FC236}">
              <a16:creationId xmlns:a16="http://schemas.microsoft.com/office/drawing/2014/main" id="{00000000-0008-0000-2000-0000B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4" name="172 CuadroTexto">
          <a:extLst>
            <a:ext uri="{FF2B5EF4-FFF2-40B4-BE49-F238E27FC236}">
              <a16:creationId xmlns:a16="http://schemas.microsoft.com/office/drawing/2014/main" id="{00000000-0008-0000-2000-0000B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5" name="173 CuadroTexto">
          <a:extLst>
            <a:ext uri="{FF2B5EF4-FFF2-40B4-BE49-F238E27FC236}">
              <a16:creationId xmlns:a16="http://schemas.microsoft.com/office/drawing/2014/main" id="{00000000-0008-0000-2000-0000B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6" name="174 CuadroTexto">
          <a:extLst>
            <a:ext uri="{FF2B5EF4-FFF2-40B4-BE49-F238E27FC236}">
              <a16:creationId xmlns:a16="http://schemas.microsoft.com/office/drawing/2014/main" id="{00000000-0008-0000-2000-0000B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7" name="175 CuadroTexto">
          <a:extLst>
            <a:ext uri="{FF2B5EF4-FFF2-40B4-BE49-F238E27FC236}">
              <a16:creationId xmlns:a16="http://schemas.microsoft.com/office/drawing/2014/main" id="{00000000-0008-0000-2000-0000B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8" name="176 CuadroTexto">
          <a:extLst>
            <a:ext uri="{FF2B5EF4-FFF2-40B4-BE49-F238E27FC236}">
              <a16:creationId xmlns:a16="http://schemas.microsoft.com/office/drawing/2014/main" id="{00000000-0008-0000-2000-0000B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9" name="177 CuadroTexto">
          <a:extLst>
            <a:ext uri="{FF2B5EF4-FFF2-40B4-BE49-F238E27FC236}">
              <a16:creationId xmlns:a16="http://schemas.microsoft.com/office/drawing/2014/main" id="{00000000-0008-0000-2000-0000B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0" name="178 CuadroTexto">
          <a:extLst>
            <a:ext uri="{FF2B5EF4-FFF2-40B4-BE49-F238E27FC236}">
              <a16:creationId xmlns:a16="http://schemas.microsoft.com/office/drawing/2014/main" id="{00000000-0008-0000-2000-0000B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1" name="179 CuadroTexto">
          <a:extLst>
            <a:ext uri="{FF2B5EF4-FFF2-40B4-BE49-F238E27FC236}">
              <a16:creationId xmlns:a16="http://schemas.microsoft.com/office/drawing/2014/main" id="{00000000-0008-0000-2000-0000B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2" name="180 CuadroTexto">
          <a:extLst>
            <a:ext uri="{FF2B5EF4-FFF2-40B4-BE49-F238E27FC236}">
              <a16:creationId xmlns:a16="http://schemas.microsoft.com/office/drawing/2014/main" id="{00000000-0008-0000-2000-0000B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3" name="181 CuadroTexto">
          <a:extLst>
            <a:ext uri="{FF2B5EF4-FFF2-40B4-BE49-F238E27FC236}">
              <a16:creationId xmlns:a16="http://schemas.microsoft.com/office/drawing/2014/main" id="{00000000-0008-0000-2000-0000B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4" name="182 CuadroTexto">
          <a:extLst>
            <a:ext uri="{FF2B5EF4-FFF2-40B4-BE49-F238E27FC236}">
              <a16:creationId xmlns:a16="http://schemas.microsoft.com/office/drawing/2014/main" id="{00000000-0008-0000-2000-0000B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5" name="183 CuadroTexto">
          <a:extLst>
            <a:ext uri="{FF2B5EF4-FFF2-40B4-BE49-F238E27FC236}">
              <a16:creationId xmlns:a16="http://schemas.microsoft.com/office/drawing/2014/main" id="{00000000-0008-0000-2000-0000B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6" name="184 CuadroTexto">
          <a:extLst>
            <a:ext uri="{FF2B5EF4-FFF2-40B4-BE49-F238E27FC236}">
              <a16:creationId xmlns:a16="http://schemas.microsoft.com/office/drawing/2014/main" id="{00000000-0008-0000-2000-0000C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7" name="185 CuadroTexto">
          <a:extLst>
            <a:ext uri="{FF2B5EF4-FFF2-40B4-BE49-F238E27FC236}">
              <a16:creationId xmlns:a16="http://schemas.microsoft.com/office/drawing/2014/main" id="{00000000-0008-0000-2000-0000C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8" name="186 CuadroTexto">
          <a:extLst>
            <a:ext uri="{FF2B5EF4-FFF2-40B4-BE49-F238E27FC236}">
              <a16:creationId xmlns:a16="http://schemas.microsoft.com/office/drawing/2014/main" id="{00000000-0008-0000-2000-0000C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9" name="187 CuadroTexto">
          <a:extLst>
            <a:ext uri="{FF2B5EF4-FFF2-40B4-BE49-F238E27FC236}">
              <a16:creationId xmlns:a16="http://schemas.microsoft.com/office/drawing/2014/main" id="{00000000-0008-0000-2000-0000C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0" name="188 CuadroTexto">
          <a:extLst>
            <a:ext uri="{FF2B5EF4-FFF2-40B4-BE49-F238E27FC236}">
              <a16:creationId xmlns:a16="http://schemas.microsoft.com/office/drawing/2014/main" id="{00000000-0008-0000-2000-0000C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1" name="189 CuadroTexto">
          <a:extLst>
            <a:ext uri="{FF2B5EF4-FFF2-40B4-BE49-F238E27FC236}">
              <a16:creationId xmlns:a16="http://schemas.microsoft.com/office/drawing/2014/main" id="{00000000-0008-0000-2000-0000C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2" name="190 CuadroTexto">
          <a:extLst>
            <a:ext uri="{FF2B5EF4-FFF2-40B4-BE49-F238E27FC236}">
              <a16:creationId xmlns:a16="http://schemas.microsoft.com/office/drawing/2014/main" id="{00000000-0008-0000-2000-0000C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3" name="191 CuadroTexto">
          <a:extLst>
            <a:ext uri="{FF2B5EF4-FFF2-40B4-BE49-F238E27FC236}">
              <a16:creationId xmlns:a16="http://schemas.microsoft.com/office/drawing/2014/main" id="{00000000-0008-0000-2000-0000C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4" name="192 CuadroTexto">
          <a:extLst>
            <a:ext uri="{FF2B5EF4-FFF2-40B4-BE49-F238E27FC236}">
              <a16:creationId xmlns:a16="http://schemas.microsoft.com/office/drawing/2014/main" id="{00000000-0008-0000-2000-0000C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5" name="193 CuadroTexto">
          <a:extLst>
            <a:ext uri="{FF2B5EF4-FFF2-40B4-BE49-F238E27FC236}">
              <a16:creationId xmlns:a16="http://schemas.microsoft.com/office/drawing/2014/main" id="{00000000-0008-0000-2000-0000C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6" name="194 CuadroTexto">
          <a:extLst>
            <a:ext uri="{FF2B5EF4-FFF2-40B4-BE49-F238E27FC236}">
              <a16:creationId xmlns:a16="http://schemas.microsoft.com/office/drawing/2014/main" id="{00000000-0008-0000-2000-0000C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7" name="195 CuadroTexto">
          <a:extLst>
            <a:ext uri="{FF2B5EF4-FFF2-40B4-BE49-F238E27FC236}">
              <a16:creationId xmlns:a16="http://schemas.microsoft.com/office/drawing/2014/main" id="{00000000-0008-0000-2000-0000C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8" name="196 CuadroTexto">
          <a:extLst>
            <a:ext uri="{FF2B5EF4-FFF2-40B4-BE49-F238E27FC236}">
              <a16:creationId xmlns:a16="http://schemas.microsoft.com/office/drawing/2014/main" id="{00000000-0008-0000-2000-0000C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9" name="197 CuadroTexto">
          <a:extLst>
            <a:ext uri="{FF2B5EF4-FFF2-40B4-BE49-F238E27FC236}">
              <a16:creationId xmlns:a16="http://schemas.microsoft.com/office/drawing/2014/main" id="{00000000-0008-0000-2000-0000C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0" name="198 CuadroTexto">
          <a:extLst>
            <a:ext uri="{FF2B5EF4-FFF2-40B4-BE49-F238E27FC236}">
              <a16:creationId xmlns:a16="http://schemas.microsoft.com/office/drawing/2014/main" id="{00000000-0008-0000-2000-0000C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1" name="199 CuadroTexto">
          <a:extLst>
            <a:ext uri="{FF2B5EF4-FFF2-40B4-BE49-F238E27FC236}">
              <a16:creationId xmlns:a16="http://schemas.microsoft.com/office/drawing/2014/main" id="{00000000-0008-0000-2000-0000C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2" name="200 CuadroTexto">
          <a:extLst>
            <a:ext uri="{FF2B5EF4-FFF2-40B4-BE49-F238E27FC236}">
              <a16:creationId xmlns:a16="http://schemas.microsoft.com/office/drawing/2014/main" id="{00000000-0008-0000-2000-0000D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3" name="201 CuadroTexto">
          <a:extLst>
            <a:ext uri="{FF2B5EF4-FFF2-40B4-BE49-F238E27FC236}">
              <a16:creationId xmlns:a16="http://schemas.microsoft.com/office/drawing/2014/main" id="{00000000-0008-0000-2000-0000D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4" name="202 CuadroTexto">
          <a:extLst>
            <a:ext uri="{FF2B5EF4-FFF2-40B4-BE49-F238E27FC236}">
              <a16:creationId xmlns:a16="http://schemas.microsoft.com/office/drawing/2014/main" id="{00000000-0008-0000-2000-0000D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5" name="203 CuadroTexto">
          <a:extLst>
            <a:ext uri="{FF2B5EF4-FFF2-40B4-BE49-F238E27FC236}">
              <a16:creationId xmlns:a16="http://schemas.microsoft.com/office/drawing/2014/main" id="{00000000-0008-0000-2000-0000D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6" name="204 CuadroTexto">
          <a:extLst>
            <a:ext uri="{FF2B5EF4-FFF2-40B4-BE49-F238E27FC236}">
              <a16:creationId xmlns:a16="http://schemas.microsoft.com/office/drawing/2014/main" id="{00000000-0008-0000-2000-0000D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7" name="205 CuadroTexto">
          <a:extLst>
            <a:ext uri="{FF2B5EF4-FFF2-40B4-BE49-F238E27FC236}">
              <a16:creationId xmlns:a16="http://schemas.microsoft.com/office/drawing/2014/main" id="{00000000-0008-0000-2000-0000D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8" name="206 CuadroTexto">
          <a:extLst>
            <a:ext uri="{FF2B5EF4-FFF2-40B4-BE49-F238E27FC236}">
              <a16:creationId xmlns:a16="http://schemas.microsoft.com/office/drawing/2014/main" id="{00000000-0008-0000-2000-0000D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9" name="207 CuadroTexto">
          <a:extLst>
            <a:ext uri="{FF2B5EF4-FFF2-40B4-BE49-F238E27FC236}">
              <a16:creationId xmlns:a16="http://schemas.microsoft.com/office/drawing/2014/main" id="{00000000-0008-0000-2000-0000D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0" name="208 CuadroTexto">
          <a:extLst>
            <a:ext uri="{FF2B5EF4-FFF2-40B4-BE49-F238E27FC236}">
              <a16:creationId xmlns:a16="http://schemas.microsoft.com/office/drawing/2014/main" id="{00000000-0008-0000-2000-0000D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1" name="209 CuadroTexto">
          <a:extLst>
            <a:ext uri="{FF2B5EF4-FFF2-40B4-BE49-F238E27FC236}">
              <a16:creationId xmlns:a16="http://schemas.microsoft.com/office/drawing/2014/main" id="{00000000-0008-0000-2000-0000D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2" name="210 CuadroTexto">
          <a:extLst>
            <a:ext uri="{FF2B5EF4-FFF2-40B4-BE49-F238E27FC236}">
              <a16:creationId xmlns:a16="http://schemas.microsoft.com/office/drawing/2014/main" id="{00000000-0008-0000-2000-0000D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3" name="211 CuadroTexto">
          <a:extLst>
            <a:ext uri="{FF2B5EF4-FFF2-40B4-BE49-F238E27FC236}">
              <a16:creationId xmlns:a16="http://schemas.microsoft.com/office/drawing/2014/main" id="{00000000-0008-0000-2000-0000D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4" name="212 CuadroTexto">
          <a:extLst>
            <a:ext uri="{FF2B5EF4-FFF2-40B4-BE49-F238E27FC236}">
              <a16:creationId xmlns:a16="http://schemas.microsoft.com/office/drawing/2014/main" id="{00000000-0008-0000-2000-0000D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5" name="213 CuadroTexto">
          <a:extLst>
            <a:ext uri="{FF2B5EF4-FFF2-40B4-BE49-F238E27FC236}">
              <a16:creationId xmlns:a16="http://schemas.microsoft.com/office/drawing/2014/main" id="{00000000-0008-0000-2000-0000D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6" name="214 CuadroTexto">
          <a:extLst>
            <a:ext uri="{FF2B5EF4-FFF2-40B4-BE49-F238E27FC236}">
              <a16:creationId xmlns:a16="http://schemas.microsoft.com/office/drawing/2014/main" id="{00000000-0008-0000-2000-0000D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7" name="215 CuadroTexto">
          <a:extLst>
            <a:ext uri="{FF2B5EF4-FFF2-40B4-BE49-F238E27FC236}">
              <a16:creationId xmlns:a16="http://schemas.microsoft.com/office/drawing/2014/main" id="{00000000-0008-0000-2000-0000D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8" name="216 CuadroTexto">
          <a:extLst>
            <a:ext uri="{FF2B5EF4-FFF2-40B4-BE49-F238E27FC236}">
              <a16:creationId xmlns:a16="http://schemas.microsoft.com/office/drawing/2014/main" id="{00000000-0008-0000-2000-0000E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9" name="217 CuadroTexto">
          <a:extLst>
            <a:ext uri="{FF2B5EF4-FFF2-40B4-BE49-F238E27FC236}">
              <a16:creationId xmlns:a16="http://schemas.microsoft.com/office/drawing/2014/main" id="{00000000-0008-0000-2000-0000E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0" name="218 CuadroTexto">
          <a:extLst>
            <a:ext uri="{FF2B5EF4-FFF2-40B4-BE49-F238E27FC236}">
              <a16:creationId xmlns:a16="http://schemas.microsoft.com/office/drawing/2014/main" id="{00000000-0008-0000-2000-0000E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1" name="219 CuadroTexto">
          <a:extLst>
            <a:ext uri="{FF2B5EF4-FFF2-40B4-BE49-F238E27FC236}">
              <a16:creationId xmlns:a16="http://schemas.microsoft.com/office/drawing/2014/main" id="{00000000-0008-0000-2000-0000E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2" name="220 CuadroTexto">
          <a:extLst>
            <a:ext uri="{FF2B5EF4-FFF2-40B4-BE49-F238E27FC236}">
              <a16:creationId xmlns:a16="http://schemas.microsoft.com/office/drawing/2014/main" id="{00000000-0008-0000-2000-0000E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3" name="221 CuadroTexto">
          <a:extLst>
            <a:ext uri="{FF2B5EF4-FFF2-40B4-BE49-F238E27FC236}">
              <a16:creationId xmlns:a16="http://schemas.microsoft.com/office/drawing/2014/main" id="{00000000-0008-0000-2000-0000E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4" name="222 CuadroTexto">
          <a:extLst>
            <a:ext uri="{FF2B5EF4-FFF2-40B4-BE49-F238E27FC236}">
              <a16:creationId xmlns:a16="http://schemas.microsoft.com/office/drawing/2014/main" id="{00000000-0008-0000-2000-0000E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5" name="223 CuadroTexto">
          <a:extLst>
            <a:ext uri="{FF2B5EF4-FFF2-40B4-BE49-F238E27FC236}">
              <a16:creationId xmlns:a16="http://schemas.microsoft.com/office/drawing/2014/main" id="{00000000-0008-0000-2000-0000E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6" name="224 CuadroTexto">
          <a:extLst>
            <a:ext uri="{FF2B5EF4-FFF2-40B4-BE49-F238E27FC236}">
              <a16:creationId xmlns:a16="http://schemas.microsoft.com/office/drawing/2014/main" id="{00000000-0008-0000-2000-0000E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7" name="225 CuadroTexto">
          <a:extLst>
            <a:ext uri="{FF2B5EF4-FFF2-40B4-BE49-F238E27FC236}">
              <a16:creationId xmlns:a16="http://schemas.microsoft.com/office/drawing/2014/main" id="{00000000-0008-0000-2000-0000E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8" name="226 CuadroTexto">
          <a:extLst>
            <a:ext uri="{FF2B5EF4-FFF2-40B4-BE49-F238E27FC236}">
              <a16:creationId xmlns:a16="http://schemas.microsoft.com/office/drawing/2014/main" id="{00000000-0008-0000-2000-0000E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9" name="227 CuadroTexto">
          <a:extLst>
            <a:ext uri="{FF2B5EF4-FFF2-40B4-BE49-F238E27FC236}">
              <a16:creationId xmlns:a16="http://schemas.microsoft.com/office/drawing/2014/main" id="{00000000-0008-0000-2000-0000E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0" name="228 CuadroTexto">
          <a:extLst>
            <a:ext uri="{FF2B5EF4-FFF2-40B4-BE49-F238E27FC236}">
              <a16:creationId xmlns:a16="http://schemas.microsoft.com/office/drawing/2014/main" id="{00000000-0008-0000-2000-0000E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1" name="229 CuadroTexto">
          <a:extLst>
            <a:ext uri="{FF2B5EF4-FFF2-40B4-BE49-F238E27FC236}">
              <a16:creationId xmlns:a16="http://schemas.microsoft.com/office/drawing/2014/main" id="{00000000-0008-0000-2000-0000E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2" name="230 CuadroTexto">
          <a:extLst>
            <a:ext uri="{FF2B5EF4-FFF2-40B4-BE49-F238E27FC236}">
              <a16:creationId xmlns:a16="http://schemas.microsoft.com/office/drawing/2014/main" id="{00000000-0008-0000-2000-0000E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3" name="231 CuadroTexto">
          <a:extLst>
            <a:ext uri="{FF2B5EF4-FFF2-40B4-BE49-F238E27FC236}">
              <a16:creationId xmlns:a16="http://schemas.microsoft.com/office/drawing/2014/main" id="{00000000-0008-0000-2000-0000E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4" name="232 CuadroTexto">
          <a:extLst>
            <a:ext uri="{FF2B5EF4-FFF2-40B4-BE49-F238E27FC236}">
              <a16:creationId xmlns:a16="http://schemas.microsoft.com/office/drawing/2014/main" id="{00000000-0008-0000-2000-0000F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5" name="233 CuadroTexto">
          <a:extLst>
            <a:ext uri="{FF2B5EF4-FFF2-40B4-BE49-F238E27FC236}">
              <a16:creationId xmlns:a16="http://schemas.microsoft.com/office/drawing/2014/main" id="{00000000-0008-0000-2000-0000F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6" name="234 CuadroTexto">
          <a:extLst>
            <a:ext uri="{FF2B5EF4-FFF2-40B4-BE49-F238E27FC236}">
              <a16:creationId xmlns:a16="http://schemas.microsoft.com/office/drawing/2014/main" id="{00000000-0008-0000-2000-0000F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7" name="235 CuadroTexto">
          <a:extLst>
            <a:ext uri="{FF2B5EF4-FFF2-40B4-BE49-F238E27FC236}">
              <a16:creationId xmlns:a16="http://schemas.microsoft.com/office/drawing/2014/main" id="{00000000-0008-0000-2000-0000F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8" name="236 CuadroTexto">
          <a:extLst>
            <a:ext uri="{FF2B5EF4-FFF2-40B4-BE49-F238E27FC236}">
              <a16:creationId xmlns:a16="http://schemas.microsoft.com/office/drawing/2014/main" id="{00000000-0008-0000-2000-0000F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9" name="237 CuadroTexto">
          <a:extLst>
            <a:ext uri="{FF2B5EF4-FFF2-40B4-BE49-F238E27FC236}">
              <a16:creationId xmlns:a16="http://schemas.microsoft.com/office/drawing/2014/main" id="{00000000-0008-0000-2000-0000F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0" name="238 CuadroTexto">
          <a:extLst>
            <a:ext uri="{FF2B5EF4-FFF2-40B4-BE49-F238E27FC236}">
              <a16:creationId xmlns:a16="http://schemas.microsoft.com/office/drawing/2014/main" id="{00000000-0008-0000-2000-0000F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1" name="239 CuadroTexto">
          <a:extLst>
            <a:ext uri="{FF2B5EF4-FFF2-40B4-BE49-F238E27FC236}">
              <a16:creationId xmlns:a16="http://schemas.microsoft.com/office/drawing/2014/main" id="{00000000-0008-0000-2000-0000F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2" name="240 CuadroTexto">
          <a:extLst>
            <a:ext uri="{FF2B5EF4-FFF2-40B4-BE49-F238E27FC236}">
              <a16:creationId xmlns:a16="http://schemas.microsoft.com/office/drawing/2014/main" id="{00000000-0008-0000-2000-0000F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3" name="241 CuadroTexto">
          <a:extLst>
            <a:ext uri="{FF2B5EF4-FFF2-40B4-BE49-F238E27FC236}">
              <a16:creationId xmlns:a16="http://schemas.microsoft.com/office/drawing/2014/main" id="{00000000-0008-0000-2000-0000F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4" name="242 CuadroTexto">
          <a:extLst>
            <a:ext uri="{FF2B5EF4-FFF2-40B4-BE49-F238E27FC236}">
              <a16:creationId xmlns:a16="http://schemas.microsoft.com/office/drawing/2014/main" id="{00000000-0008-0000-2000-0000F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5" name="243 CuadroTexto">
          <a:extLst>
            <a:ext uri="{FF2B5EF4-FFF2-40B4-BE49-F238E27FC236}">
              <a16:creationId xmlns:a16="http://schemas.microsoft.com/office/drawing/2014/main" id="{00000000-0008-0000-2000-0000F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6" name="244 CuadroTexto">
          <a:extLst>
            <a:ext uri="{FF2B5EF4-FFF2-40B4-BE49-F238E27FC236}">
              <a16:creationId xmlns:a16="http://schemas.microsoft.com/office/drawing/2014/main" id="{00000000-0008-0000-2000-0000F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7" name="245 CuadroTexto">
          <a:extLst>
            <a:ext uri="{FF2B5EF4-FFF2-40B4-BE49-F238E27FC236}">
              <a16:creationId xmlns:a16="http://schemas.microsoft.com/office/drawing/2014/main" id="{00000000-0008-0000-2000-0000F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8" name="246 CuadroTexto">
          <a:extLst>
            <a:ext uri="{FF2B5EF4-FFF2-40B4-BE49-F238E27FC236}">
              <a16:creationId xmlns:a16="http://schemas.microsoft.com/office/drawing/2014/main" id="{00000000-0008-0000-2000-0000F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9" name="247 CuadroTexto">
          <a:extLst>
            <a:ext uri="{FF2B5EF4-FFF2-40B4-BE49-F238E27FC236}">
              <a16:creationId xmlns:a16="http://schemas.microsoft.com/office/drawing/2014/main" id="{00000000-0008-0000-2000-0000F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0" name="248 CuadroTexto">
          <a:extLst>
            <a:ext uri="{FF2B5EF4-FFF2-40B4-BE49-F238E27FC236}">
              <a16:creationId xmlns:a16="http://schemas.microsoft.com/office/drawing/2014/main" id="{00000000-0008-0000-2000-00000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1" name="249 CuadroTexto">
          <a:extLst>
            <a:ext uri="{FF2B5EF4-FFF2-40B4-BE49-F238E27FC236}">
              <a16:creationId xmlns:a16="http://schemas.microsoft.com/office/drawing/2014/main" id="{00000000-0008-0000-2000-00000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2" name="250 CuadroTexto">
          <a:extLst>
            <a:ext uri="{FF2B5EF4-FFF2-40B4-BE49-F238E27FC236}">
              <a16:creationId xmlns:a16="http://schemas.microsoft.com/office/drawing/2014/main" id="{00000000-0008-0000-2000-00000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3" name="251 CuadroTexto">
          <a:extLst>
            <a:ext uri="{FF2B5EF4-FFF2-40B4-BE49-F238E27FC236}">
              <a16:creationId xmlns:a16="http://schemas.microsoft.com/office/drawing/2014/main" id="{00000000-0008-0000-2000-00000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4" name="252 CuadroTexto">
          <a:extLst>
            <a:ext uri="{FF2B5EF4-FFF2-40B4-BE49-F238E27FC236}">
              <a16:creationId xmlns:a16="http://schemas.microsoft.com/office/drawing/2014/main" id="{00000000-0008-0000-2000-00000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5" name="253 CuadroTexto">
          <a:extLst>
            <a:ext uri="{FF2B5EF4-FFF2-40B4-BE49-F238E27FC236}">
              <a16:creationId xmlns:a16="http://schemas.microsoft.com/office/drawing/2014/main" id="{00000000-0008-0000-2000-00000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6" name="254 CuadroTexto">
          <a:extLst>
            <a:ext uri="{FF2B5EF4-FFF2-40B4-BE49-F238E27FC236}">
              <a16:creationId xmlns:a16="http://schemas.microsoft.com/office/drawing/2014/main" id="{00000000-0008-0000-2000-00000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7" name="255 CuadroTexto">
          <a:extLst>
            <a:ext uri="{FF2B5EF4-FFF2-40B4-BE49-F238E27FC236}">
              <a16:creationId xmlns:a16="http://schemas.microsoft.com/office/drawing/2014/main" id="{00000000-0008-0000-2000-00000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8" name="256 CuadroTexto">
          <a:extLst>
            <a:ext uri="{FF2B5EF4-FFF2-40B4-BE49-F238E27FC236}">
              <a16:creationId xmlns:a16="http://schemas.microsoft.com/office/drawing/2014/main" id="{00000000-0008-0000-2000-00000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9" name="257 CuadroTexto">
          <a:extLst>
            <a:ext uri="{FF2B5EF4-FFF2-40B4-BE49-F238E27FC236}">
              <a16:creationId xmlns:a16="http://schemas.microsoft.com/office/drawing/2014/main" id="{00000000-0008-0000-2000-00000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0" name="258 CuadroTexto">
          <a:extLst>
            <a:ext uri="{FF2B5EF4-FFF2-40B4-BE49-F238E27FC236}">
              <a16:creationId xmlns:a16="http://schemas.microsoft.com/office/drawing/2014/main" id="{00000000-0008-0000-2000-00000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1" name="259 CuadroTexto">
          <a:extLst>
            <a:ext uri="{FF2B5EF4-FFF2-40B4-BE49-F238E27FC236}">
              <a16:creationId xmlns:a16="http://schemas.microsoft.com/office/drawing/2014/main" id="{00000000-0008-0000-2000-00000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2" name="260 CuadroTexto">
          <a:extLst>
            <a:ext uri="{FF2B5EF4-FFF2-40B4-BE49-F238E27FC236}">
              <a16:creationId xmlns:a16="http://schemas.microsoft.com/office/drawing/2014/main" id="{00000000-0008-0000-2000-00000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3" name="261 CuadroTexto">
          <a:extLst>
            <a:ext uri="{FF2B5EF4-FFF2-40B4-BE49-F238E27FC236}">
              <a16:creationId xmlns:a16="http://schemas.microsoft.com/office/drawing/2014/main" id="{00000000-0008-0000-2000-00000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4" name="262 CuadroTexto">
          <a:extLst>
            <a:ext uri="{FF2B5EF4-FFF2-40B4-BE49-F238E27FC236}">
              <a16:creationId xmlns:a16="http://schemas.microsoft.com/office/drawing/2014/main" id="{00000000-0008-0000-2000-00000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5" name="263 CuadroTexto">
          <a:extLst>
            <a:ext uri="{FF2B5EF4-FFF2-40B4-BE49-F238E27FC236}">
              <a16:creationId xmlns:a16="http://schemas.microsoft.com/office/drawing/2014/main" id="{00000000-0008-0000-2000-00000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6" name="264 CuadroTexto">
          <a:extLst>
            <a:ext uri="{FF2B5EF4-FFF2-40B4-BE49-F238E27FC236}">
              <a16:creationId xmlns:a16="http://schemas.microsoft.com/office/drawing/2014/main" id="{00000000-0008-0000-2000-00001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7" name="265 CuadroTexto">
          <a:extLst>
            <a:ext uri="{FF2B5EF4-FFF2-40B4-BE49-F238E27FC236}">
              <a16:creationId xmlns:a16="http://schemas.microsoft.com/office/drawing/2014/main" id="{00000000-0008-0000-2000-00001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8" name="266 CuadroTexto">
          <a:extLst>
            <a:ext uri="{FF2B5EF4-FFF2-40B4-BE49-F238E27FC236}">
              <a16:creationId xmlns:a16="http://schemas.microsoft.com/office/drawing/2014/main" id="{00000000-0008-0000-2000-00001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9" name="267 CuadroTexto">
          <a:extLst>
            <a:ext uri="{FF2B5EF4-FFF2-40B4-BE49-F238E27FC236}">
              <a16:creationId xmlns:a16="http://schemas.microsoft.com/office/drawing/2014/main" id="{00000000-0008-0000-2000-00001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300" name="268 CuadroTexto">
          <a:extLst>
            <a:ext uri="{FF2B5EF4-FFF2-40B4-BE49-F238E27FC236}">
              <a16:creationId xmlns:a16="http://schemas.microsoft.com/office/drawing/2014/main" id="{00000000-0008-0000-2000-00001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1" name="269 CuadroTexto">
          <a:extLst>
            <a:ext uri="{FF2B5EF4-FFF2-40B4-BE49-F238E27FC236}">
              <a16:creationId xmlns:a16="http://schemas.microsoft.com/office/drawing/2014/main" id="{00000000-0008-0000-2000-00001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2" name="270 CuadroTexto">
          <a:extLst>
            <a:ext uri="{FF2B5EF4-FFF2-40B4-BE49-F238E27FC236}">
              <a16:creationId xmlns:a16="http://schemas.microsoft.com/office/drawing/2014/main" id="{00000000-0008-0000-2000-00001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3" name="271 CuadroTexto">
          <a:extLst>
            <a:ext uri="{FF2B5EF4-FFF2-40B4-BE49-F238E27FC236}">
              <a16:creationId xmlns:a16="http://schemas.microsoft.com/office/drawing/2014/main" id="{00000000-0008-0000-2000-00001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4" name="272 CuadroTexto">
          <a:extLst>
            <a:ext uri="{FF2B5EF4-FFF2-40B4-BE49-F238E27FC236}">
              <a16:creationId xmlns:a16="http://schemas.microsoft.com/office/drawing/2014/main" id="{00000000-0008-0000-2000-00001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5" name="273 CuadroTexto">
          <a:extLst>
            <a:ext uri="{FF2B5EF4-FFF2-40B4-BE49-F238E27FC236}">
              <a16:creationId xmlns:a16="http://schemas.microsoft.com/office/drawing/2014/main" id="{00000000-0008-0000-2000-00001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6" name="274 CuadroTexto">
          <a:extLst>
            <a:ext uri="{FF2B5EF4-FFF2-40B4-BE49-F238E27FC236}">
              <a16:creationId xmlns:a16="http://schemas.microsoft.com/office/drawing/2014/main" id="{00000000-0008-0000-2000-00001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7" name="275 CuadroTexto">
          <a:extLst>
            <a:ext uri="{FF2B5EF4-FFF2-40B4-BE49-F238E27FC236}">
              <a16:creationId xmlns:a16="http://schemas.microsoft.com/office/drawing/2014/main" id="{00000000-0008-0000-2000-00001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8" name="276 CuadroTexto">
          <a:extLst>
            <a:ext uri="{FF2B5EF4-FFF2-40B4-BE49-F238E27FC236}">
              <a16:creationId xmlns:a16="http://schemas.microsoft.com/office/drawing/2014/main" id="{00000000-0008-0000-2000-00001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9" name="277 CuadroTexto">
          <a:extLst>
            <a:ext uri="{FF2B5EF4-FFF2-40B4-BE49-F238E27FC236}">
              <a16:creationId xmlns:a16="http://schemas.microsoft.com/office/drawing/2014/main" id="{00000000-0008-0000-2000-00001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0" name="278 CuadroTexto">
          <a:extLst>
            <a:ext uri="{FF2B5EF4-FFF2-40B4-BE49-F238E27FC236}">
              <a16:creationId xmlns:a16="http://schemas.microsoft.com/office/drawing/2014/main" id="{00000000-0008-0000-2000-00001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1" name="279 CuadroTexto">
          <a:extLst>
            <a:ext uri="{FF2B5EF4-FFF2-40B4-BE49-F238E27FC236}">
              <a16:creationId xmlns:a16="http://schemas.microsoft.com/office/drawing/2014/main" id="{00000000-0008-0000-2000-00001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2" name="280 CuadroTexto">
          <a:extLst>
            <a:ext uri="{FF2B5EF4-FFF2-40B4-BE49-F238E27FC236}">
              <a16:creationId xmlns:a16="http://schemas.microsoft.com/office/drawing/2014/main" id="{00000000-0008-0000-2000-00002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3" name="281 CuadroTexto">
          <a:extLst>
            <a:ext uri="{FF2B5EF4-FFF2-40B4-BE49-F238E27FC236}">
              <a16:creationId xmlns:a16="http://schemas.microsoft.com/office/drawing/2014/main" id="{00000000-0008-0000-2000-00002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4" name="282 CuadroTexto">
          <a:extLst>
            <a:ext uri="{FF2B5EF4-FFF2-40B4-BE49-F238E27FC236}">
              <a16:creationId xmlns:a16="http://schemas.microsoft.com/office/drawing/2014/main" id="{00000000-0008-0000-2000-00002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5" name="283 CuadroTexto">
          <a:extLst>
            <a:ext uri="{FF2B5EF4-FFF2-40B4-BE49-F238E27FC236}">
              <a16:creationId xmlns:a16="http://schemas.microsoft.com/office/drawing/2014/main" id="{00000000-0008-0000-2000-00002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6" name="284 CuadroTexto">
          <a:extLst>
            <a:ext uri="{FF2B5EF4-FFF2-40B4-BE49-F238E27FC236}">
              <a16:creationId xmlns:a16="http://schemas.microsoft.com/office/drawing/2014/main" id="{00000000-0008-0000-2000-00002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17" name="285 CuadroTexto">
          <a:extLst>
            <a:ext uri="{FF2B5EF4-FFF2-40B4-BE49-F238E27FC236}">
              <a16:creationId xmlns:a16="http://schemas.microsoft.com/office/drawing/2014/main" id="{00000000-0008-0000-2000-00002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8" name="286 CuadroTexto">
          <a:extLst>
            <a:ext uri="{FF2B5EF4-FFF2-40B4-BE49-F238E27FC236}">
              <a16:creationId xmlns:a16="http://schemas.microsoft.com/office/drawing/2014/main" id="{00000000-0008-0000-2000-00002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9" name="287 CuadroTexto">
          <a:extLst>
            <a:ext uri="{FF2B5EF4-FFF2-40B4-BE49-F238E27FC236}">
              <a16:creationId xmlns:a16="http://schemas.microsoft.com/office/drawing/2014/main" id="{00000000-0008-0000-2000-00002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0" name="288 CuadroTexto">
          <a:extLst>
            <a:ext uri="{FF2B5EF4-FFF2-40B4-BE49-F238E27FC236}">
              <a16:creationId xmlns:a16="http://schemas.microsoft.com/office/drawing/2014/main" id="{00000000-0008-0000-2000-00002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1" name="289 CuadroTexto">
          <a:extLst>
            <a:ext uri="{FF2B5EF4-FFF2-40B4-BE49-F238E27FC236}">
              <a16:creationId xmlns:a16="http://schemas.microsoft.com/office/drawing/2014/main" id="{00000000-0008-0000-2000-00002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2" name="290 CuadroTexto">
          <a:extLst>
            <a:ext uri="{FF2B5EF4-FFF2-40B4-BE49-F238E27FC236}">
              <a16:creationId xmlns:a16="http://schemas.microsoft.com/office/drawing/2014/main" id="{00000000-0008-0000-2000-00002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3" name="291 CuadroTexto">
          <a:extLst>
            <a:ext uri="{FF2B5EF4-FFF2-40B4-BE49-F238E27FC236}">
              <a16:creationId xmlns:a16="http://schemas.microsoft.com/office/drawing/2014/main" id="{00000000-0008-0000-2000-00002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4" name="292 CuadroTexto">
          <a:extLst>
            <a:ext uri="{FF2B5EF4-FFF2-40B4-BE49-F238E27FC236}">
              <a16:creationId xmlns:a16="http://schemas.microsoft.com/office/drawing/2014/main" id="{00000000-0008-0000-2000-00002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5" name="293 CuadroTexto">
          <a:extLst>
            <a:ext uri="{FF2B5EF4-FFF2-40B4-BE49-F238E27FC236}">
              <a16:creationId xmlns:a16="http://schemas.microsoft.com/office/drawing/2014/main" id="{00000000-0008-0000-2000-00002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6" name="294 CuadroTexto">
          <a:extLst>
            <a:ext uri="{FF2B5EF4-FFF2-40B4-BE49-F238E27FC236}">
              <a16:creationId xmlns:a16="http://schemas.microsoft.com/office/drawing/2014/main" id="{00000000-0008-0000-2000-00002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7" name="295 CuadroTexto">
          <a:extLst>
            <a:ext uri="{FF2B5EF4-FFF2-40B4-BE49-F238E27FC236}">
              <a16:creationId xmlns:a16="http://schemas.microsoft.com/office/drawing/2014/main" id="{00000000-0008-0000-2000-00002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8" name="298 CuadroTexto">
          <a:extLst>
            <a:ext uri="{FF2B5EF4-FFF2-40B4-BE49-F238E27FC236}">
              <a16:creationId xmlns:a16="http://schemas.microsoft.com/office/drawing/2014/main" id="{00000000-0008-0000-2000-000030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9" name="299 CuadroTexto">
          <a:extLst>
            <a:ext uri="{FF2B5EF4-FFF2-40B4-BE49-F238E27FC236}">
              <a16:creationId xmlns:a16="http://schemas.microsoft.com/office/drawing/2014/main" id="{00000000-0008-0000-2000-000031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0" name="300 CuadroTexto">
          <a:extLst>
            <a:ext uri="{FF2B5EF4-FFF2-40B4-BE49-F238E27FC236}">
              <a16:creationId xmlns:a16="http://schemas.microsoft.com/office/drawing/2014/main" id="{00000000-0008-0000-2000-000032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1" name="301 CuadroTexto">
          <a:extLst>
            <a:ext uri="{FF2B5EF4-FFF2-40B4-BE49-F238E27FC236}">
              <a16:creationId xmlns:a16="http://schemas.microsoft.com/office/drawing/2014/main" id="{00000000-0008-0000-2000-000033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2" name="302 CuadroTexto">
          <a:extLst>
            <a:ext uri="{FF2B5EF4-FFF2-40B4-BE49-F238E27FC236}">
              <a16:creationId xmlns:a16="http://schemas.microsoft.com/office/drawing/2014/main" id="{00000000-0008-0000-2000-000034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3" name="303 CuadroTexto">
          <a:extLst>
            <a:ext uri="{FF2B5EF4-FFF2-40B4-BE49-F238E27FC236}">
              <a16:creationId xmlns:a16="http://schemas.microsoft.com/office/drawing/2014/main" id="{00000000-0008-0000-2000-000035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4" name="304 CuadroTexto">
          <a:extLst>
            <a:ext uri="{FF2B5EF4-FFF2-40B4-BE49-F238E27FC236}">
              <a16:creationId xmlns:a16="http://schemas.microsoft.com/office/drawing/2014/main" id="{00000000-0008-0000-2000-000036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5" name="305 CuadroTexto">
          <a:extLst>
            <a:ext uri="{FF2B5EF4-FFF2-40B4-BE49-F238E27FC236}">
              <a16:creationId xmlns:a16="http://schemas.microsoft.com/office/drawing/2014/main" id="{00000000-0008-0000-2000-000037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6" name="452 CuadroTexto">
          <a:extLst>
            <a:ext uri="{FF2B5EF4-FFF2-40B4-BE49-F238E27FC236}">
              <a16:creationId xmlns:a16="http://schemas.microsoft.com/office/drawing/2014/main" id="{00000000-0008-0000-2000-0000380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7" name="17 CuadroTexto">
          <a:extLst>
            <a:ext uri="{FF2B5EF4-FFF2-40B4-BE49-F238E27FC236}">
              <a16:creationId xmlns:a16="http://schemas.microsoft.com/office/drawing/2014/main" id="{00000000-0008-0000-2000-00003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338" name="90 CuadroTexto">
          <a:extLst>
            <a:ext uri="{FF2B5EF4-FFF2-40B4-BE49-F238E27FC236}">
              <a16:creationId xmlns:a16="http://schemas.microsoft.com/office/drawing/2014/main" id="{00000000-0008-0000-2000-00003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39" name="91 CuadroTexto">
          <a:extLst>
            <a:ext uri="{FF2B5EF4-FFF2-40B4-BE49-F238E27FC236}">
              <a16:creationId xmlns:a16="http://schemas.microsoft.com/office/drawing/2014/main" id="{00000000-0008-0000-2000-00003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0" name="92 CuadroTexto">
          <a:extLst>
            <a:ext uri="{FF2B5EF4-FFF2-40B4-BE49-F238E27FC236}">
              <a16:creationId xmlns:a16="http://schemas.microsoft.com/office/drawing/2014/main" id="{00000000-0008-0000-2000-00003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1" name="93 CuadroTexto">
          <a:extLst>
            <a:ext uri="{FF2B5EF4-FFF2-40B4-BE49-F238E27FC236}">
              <a16:creationId xmlns:a16="http://schemas.microsoft.com/office/drawing/2014/main" id="{00000000-0008-0000-2000-00003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2" name="94 CuadroTexto">
          <a:extLst>
            <a:ext uri="{FF2B5EF4-FFF2-40B4-BE49-F238E27FC236}">
              <a16:creationId xmlns:a16="http://schemas.microsoft.com/office/drawing/2014/main" id="{00000000-0008-0000-2000-00003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3" name="95 CuadroTexto">
          <a:extLst>
            <a:ext uri="{FF2B5EF4-FFF2-40B4-BE49-F238E27FC236}">
              <a16:creationId xmlns:a16="http://schemas.microsoft.com/office/drawing/2014/main" id="{00000000-0008-0000-2000-00003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4" name="96 CuadroTexto">
          <a:extLst>
            <a:ext uri="{FF2B5EF4-FFF2-40B4-BE49-F238E27FC236}">
              <a16:creationId xmlns:a16="http://schemas.microsoft.com/office/drawing/2014/main" id="{00000000-0008-0000-2000-00004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5" name="97 CuadroTexto">
          <a:extLst>
            <a:ext uri="{FF2B5EF4-FFF2-40B4-BE49-F238E27FC236}">
              <a16:creationId xmlns:a16="http://schemas.microsoft.com/office/drawing/2014/main" id="{00000000-0008-0000-2000-00004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6" name="98 CuadroTexto">
          <a:extLst>
            <a:ext uri="{FF2B5EF4-FFF2-40B4-BE49-F238E27FC236}">
              <a16:creationId xmlns:a16="http://schemas.microsoft.com/office/drawing/2014/main" id="{00000000-0008-0000-2000-00004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7" name="99 CuadroTexto">
          <a:extLst>
            <a:ext uri="{FF2B5EF4-FFF2-40B4-BE49-F238E27FC236}">
              <a16:creationId xmlns:a16="http://schemas.microsoft.com/office/drawing/2014/main" id="{00000000-0008-0000-2000-00004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8" name="100 CuadroTexto">
          <a:extLst>
            <a:ext uri="{FF2B5EF4-FFF2-40B4-BE49-F238E27FC236}">
              <a16:creationId xmlns:a16="http://schemas.microsoft.com/office/drawing/2014/main" id="{00000000-0008-0000-2000-00004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9" name="101 CuadroTexto">
          <a:extLst>
            <a:ext uri="{FF2B5EF4-FFF2-40B4-BE49-F238E27FC236}">
              <a16:creationId xmlns:a16="http://schemas.microsoft.com/office/drawing/2014/main" id="{00000000-0008-0000-2000-000045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50" name="118 CuadroTexto">
          <a:extLst>
            <a:ext uri="{FF2B5EF4-FFF2-40B4-BE49-F238E27FC236}">
              <a16:creationId xmlns:a16="http://schemas.microsoft.com/office/drawing/2014/main" id="{00000000-0008-0000-2000-00004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1" name="119 CuadroTexto">
          <a:extLst>
            <a:ext uri="{FF2B5EF4-FFF2-40B4-BE49-F238E27FC236}">
              <a16:creationId xmlns:a16="http://schemas.microsoft.com/office/drawing/2014/main" id="{00000000-0008-0000-2000-00004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2" name="120 CuadroTexto">
          <a:extLst>
            <a:ext uri="{FF2B5EF4-FFF2-40B4-BE49-F238E27FC236}">
              <a16:creationId xmlns:a16="http://schemas.microsoft.com/office/drawing/2014/main" id="{00000000-0008-0000-2000-00004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3" name="121 CuadroTexto">
          <a:extLst>
            <a:ext uri="{FF2B5EF4-FFF2-40B4-BE49-F238E27FC236}">
              <a16:creationId xmlns:a16="http://schemas.microsoft.com/office/drawing/2014/main" id="{00000000-0008-0000-2000-00004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4" name="122 CuadroTexto">
          <a:extLst>
            <a:ext uri="{FF2B5EF4-FFF2-40B4-BE49-F238E27FC236}">
              <a16:creationId xmlns:a16="http://schemas.microsoft.com/office/drawing/2014/main" id="{00000000-0008-0000-2000-00004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5" name="123 CuadroTexto">
          <a:extLst>
            <a:ext uri="{FF2B5EF4-FFF2-40B4-BE49-F238E27FC236}">
              <a16:creationId xmlns:a16="http://schemas.microsoft.com/office/drawing/2014/main" id="{00000000-0008-0000-2000-00004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6" name="124 CuadroTexto">
          <a:extLst>
            <a:ext uri="{FF2B5EF4-FFF2-40B4-BE49-F238E27FC236}">
              <a16:creationId xmlns:a16="http://schemas.microsoft.com/office/drawing/2014/main" id="{00000000-0008-0000-2000-00004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7" name="125 CuadroTexto">
          <a:extLst>
            <a:ext uri="{FF2B5EF4-FFF2-40B4-BE49-F238E27FC236}">
              <a16:creationId xmlns:a16="http://schemas.microsoft.com/office/drawing/2014/main" id="{00000000-0008-0000-2000-00004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8" name="143 CuadroTexto">
          <a:extLst>
            <a:ext uri="{FF2B5EF4-FFF2-40B4-BE49-F238E27FC236}">
              <a16:creationId xmlns:a16="http://schemas.microsoft.com/office/drawing/2014/main" id="{00000000-0008-0000-2000-00004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9" name="144 CuadroTexto">
          <a:extLst>
            <a:ext uri="{FF2B5EF4-FFF2-40B4-BE49-F238E27FC236}">
              <a16:creationId xmlns:a16="http://schemas.microsoft.com/office/drawing/2014/main" id="{00000000-0008-0000-2000-00004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0" name="145 CuadroTexto">
          <a:extLst>
            <a:ext uri="{FF2B5EF4-FFF2-40B4-BE49-F238E27FC236}">
              <a16:creationId xmlns:a16="http://schemas.microsoft.com/office/drawing/2014/main" id="{00000000-0008-0000-2000-00005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1" name="146 CuadroTexto">
          <a:extLst>
            <a:ext uri="{FF2B5EF4-FFF2-40B4-BE49-F238E27FC236}">
              <a16:creationId xmlns:a16="http://schemas.microsoft.com/office/drawing/2014/main" id="{00000000-0008-0000-2000-00005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2" name="147 CuadroTexto">
          <a:extLst>
            <a:ext uri="{FF2B5EF4-FFF2-40B4-BE49-F238E27FC236}">
              <a16:creationId xmlns:a16="http://schemas.microsoft.com/office/drawing/2014/main" id="{00000000-0008-0000-2000-00005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3" name="148 CuadroTexto">
          <a:extLst>
            <a:ext uri="{FF2B5EF4-FFF2-40B4-BE49-F238E27FC236}">
              <a16:creationId xmlns:a16="http://schemas.microsoft.com/office/drawing/2014/main" id="{00000000-0008-0000-2000-00005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4" name="149 CuadroTexto">
          <a:extLst>
            <a:ext uri="{FF2B5EF4-FFF2-40B4-BE49-F238E27FC236}">
              <a16:creationId xmlns:a16="http://schemas.microsoft.com/office/drawing/2014/main" id="{00000000-0008-0000-2000-00005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5" name="150 CuadroTexto">
          <a:extLst>
            <a:ext uri="{FF2B5EF4-FFF2-40B4-BE49-F238E27FC236}">
              <a16:creationId xmlns:a16="http://schemas.microsoft.com/office/drawing/2014/main" id="{00000000-0008-0000-2000-00005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6" name="151 CuadroTexto">
          <a:extLst>
            <a:ext uri="{FF2B5EF4-FFF2-40B4-BE49-F238E27FC236}">
              <a16:creationId xmlns:a16="http://schemas.microsoft.com/office/drawing/2014/main" id="{00000000-0008-0000-2000-00005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7" name="152 CuadroTexto">
          <a:extLst>
            <a:ext uri="{FF2B5EF4-FFF2-40B4-BE49-F238E27FC236}">
              <a16:creationId xmlns:a16="http://schemas.microsoft.com/office/drawing/2014/main" id="{00000000-0008-0000-2000-00005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8" name="153 CuadroTexto">
          <a:extLst>
            <a:ext uri="{FF2B5EF4-FFF2-40B4-BE49-F238E27FC236}">
              <a16:creationId xmlns:a16="http://schemas.microsoft.com/office/drawing/2014/main" id="{00000000-0008-0000-2000-00005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9" name="154 CuadroTexto">
          <a:extLst>
            <a:ext uri="{FF2B5EF4-FFF2-40B4-BE49-F238E27FC236}">
              <a16:creationId xmlns:a16="http://schemas.microsoft.com/office/drawing/2014/main" id="{00000000-0008-0000-2000-00005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0" name="155 CuadroTexto">
          <a:extLst>
            <a:ext uri="{FF2B5EF4-FFF2-40B4-BE49-F238E27FC236}">
              <a16:creationId xmlns:a16="http://schemas.microsoft.com/office/drawing/2014/main" id="{00000000-0008-0000-2000-00005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1" name="156 CuadroTexto">
          <a:extLst>
            <a:ext uri="{FF2B5EF4-FFF2-40B4-BE49-F238E27FC236}">
              <a16:creationId xmlns:a16="http://schemas.microsoft.com/office/drawing/2014/main" id="{00000000-0008-0000-2000-00005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2" name="157 CuadroTexto">
          <a:extLst>
            <a:ext uri="{FF2B5EF4-FFF2-40B4-BE49-F238E27FC236}">
              <a16:creationId xmlns:a16="http://schemas.microsoft.com/office/drawing/2014/main" id="{00000000-0008-0000-2000-00005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3" name="158 CuadroTexto">
          <a:extLst>
            <a:ext uri="{FF2B5EF4-FFF2-40B4-BE49-F238E27FC236}">
              <a16:creationId xmlns:a16="http://schemas.microsoft.com/office/drawing/2014/main" id="{00000000-0008-0000-2000-00005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4" name="159 CuadroTexto">
          <a:extLst>
            <a:ext uri="{FF2B5EF4-FFF2-40B4-BE49-F238E27FC236}">
              <a16:creationId xmlns:a16="http://schemas.microsoft.com/office/drawing/2014/main" id="{00000000-0008-0000-2000-00005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5" name="160 CuadroTexto">
          <a:extLst>
            <a:ext uri="{FF2B5EF4-FFF2-40B4-BE49-F238E27FC236}">
              <a16:creationId xmlns:a16="http://schemas.microsoft.com/office/drawing/2014/main" id="{00000000-0008-0000-2000-00005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6" name="161 CuadroTexto">
          <a:extLst>
            <a:ext uri="{FF2B5EF4-FFF2-40B4-BE49-F238E27FC236}">
              <a16:creationId xmlns:a16="http://schemas.microsoft.com/office/drawing/2014/main" id="{00000000-0008-0000-2000-00006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7" name="162 CuadroTexto">
          <a:extLst>
            <a:ext uri="{FF2B5EF4-FFF2-40B4-BE49-F238E27FC236}">
              <a16:creationId xmlns:a16="http://schemas.microsoft.com/office/drawing/2014/main" id="{00000000-0008-0000-2000-00006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8" name="163 CuadroTexto">
          <a:extLst>
            <a:ext uri="{FF2B5EF4-FFF2-40B4-BE49-F238E27FC236}">
              <a16:creationId xmlns:a16="http://schemas.microsoft.com/office/drawing/2014/main" id="{00000000-0008-0000-2000-00006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9" name="164 CuadroTexto">
          <a:extLst>
            <a:ext uri="{FF2B5EF4-FFF2-40B4-BE49-F238E27FC236}">
              <a16:creationId xmlns:a16="http://schemas.microsoft.com/office/drawing/2014/main" id="{00000000-0008-0000-2000-00006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0" name="165 CuadroTexto">
          <a:extLst>
            <a:ext uri="{FF2B5EF4-FFF2-40B4-BE49-F238E27FC236}">
              <a16:creationId xmlns:a16="http://schemas.microsoft.com/office/drawing/2014/main" id="{00000000-0008-0000-2000-00006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1" name="166 CuadroTexto">
          <a:extLst>
            <a:ext uri="{FF2B5EF4-FFF2-40B4-BE49-F238E27FC236}">
              <a16:creationId xmlns:a16="http://schemas.microsoft.com/office/drawing/2014/main" id="{00000000-0008-0000-2000-00006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2" name="167 CuadroTexto">
          <a:extLst>
            <a:ext uri="{FF2B5EF4-FFF2-40B4-BE49-F238E27FC236}">
              <a16:creationId xmlns:a16="http://schemas.microsoft.com/office/drawing/2014/main" id="{00000000-0008-0000-2000-00006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3" name="168 CuadroTexto">
          <a:extLst>
            <a:ext uri="{FF2B5EF4-FFF2-40B4-BE49-F238E27FC236}">
              <a16:creationId xmlns:a16="http://schemas.microsoft.com/office/drawing/2014/main" id="{00000000-0008-0000-2000-00006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4" name="169 CuadroTexto">
          <a:extLst>
            <a:ext uri="{FF2B5EF4-FFF2-40B4-BE49-F238E27FC236}">
              <a16:creationId xmlns:a16="http://schemas.microsoft.com/office/drawing/2014/main" id="{00000000-0008-0000-2000-00006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5" name="170 CuadroTexto">
          <a:extLst>
            <a:ext uri="{FF2B5EF4-FFF2-40B4-BE49-F238E27FC236}">
              <a16:creationId xmlns:a16="http://schemas.microsoft.com/office/drawing/2014/main" id="{00000000-0008-0000-2000-00006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6" name="171 CuadroTexto">
          <a:extLst>
            <a:ext uri="{FF2B5EF4-FFF2-40B4-BE49-F238E27FC236}">
              <a16:creationId xmlns:a16="http://schemas.microsoft.com/office/drawing/2014/main" id="{00000000-0008-0000-2000-00006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7" name="172 CuadroTexto">
          <a:extLst>
            <a:ext uri="{FF2B5EF4-FFF2-40B4-BE49-F238E27FC236}">
              <a16:creationId xmlns:a16="http://schemas.microsoft.com/office/drawing/2014/main" id="{00000000-0008-0000-2000-00006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8" name="173 CuadroTexto">
          <a:extLst>
            <a:ext uri="{FF2B5EF4-FFF2-40B4-BE49-F238E27FC236}">
              <a16:creationId xmlns:a16="http://schemas.microsoft.com/office/drawing/2014/main" id="{00000000-0008-0000-2000-00006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9" name="174 CuadroTexto">
          <a:extLst>
            <a:ext uri="{FF2B5EF4-FFF2-40B4-BE49-F238E27FC236}">
              <a16:creationId xmlns:a16="http://schemas.microsoft.com/office/drawing/2014/main" id="{00000000-0008-0000-2000-00006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0" name="175 CuadroTexto">
          <a:extLst>
            <a:ext uri="{FF2B5EF4-FFF2-40B4-BE49-F238E27FC236}">
              <a16:creationId xmlns:a16="http://schemas.microsoft.com/office/drawing/2014/main" id="{00000000-0008-0000-2000-00006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1" name="176 CuadroTexto">
          <a:extLst>
            <a:ext uri="{FF2B5EF4-FFF2-40B4-BE49-F238E27FC236}">
              <a16:creationId xmlns:a16="http://schemas.microsoft.com/office/drawing/2014/main" id="{00000000-0008-0000-2000-00006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2" name="177 CuadroTexto">
          <a:extLst>
            <a:ext uri="{FF2B5EF4-FFF2-40B4-BE49-F238E27FC236}">
              <a16:creationId xmlns:a16="http://schemas.microsoft.com/office/drawing/2014/main" id="{00000000-0008-0000-2000-00007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3" name="178 CuadroTexto">
          <a:extLst>
            <a:ext uri="{FF2B5EF4-FFF2-40B4-BE49-F238E27FC236}">
              <a16:creationId xmlns:a16="http://schemas.microsoft.com/office/drawing/2014/main" id="{00000000-0008-0000-2000-00007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4" name="179 CuadroTexto">
          <a:extLst>
            <a:ext uri="{FF2B5EF4-FFF2-40B4-BE49-F238E27FC236}">
              <a16:creationId xmlns:a16="http://schemas.microsoft.com/office/drawing/2014/main" id="{00000000-0008-0000-2000-00007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5" name="180 CuadroTexto">
          <a:extLst>
            <a:ext uri="{FF2B5EF4-FFF2-40B4-BE49-F238E27FC236}">
              <a16:creationId xmlns:a16="http://schemas.microsoft.com/office/drawing/2014/main" id="{00000000-0008-0000-2000-00007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6" name="181 CuadroTexto">
          <a:extLst>
            <a:ext uri="{FF2B5EF4-FFF2-40B4-BE49-F238E27FC236}">
              <a16:creationId xmlns:a16="http://schemas.microsoft.com/office/drawing/2014/main" id="{00000000-0008-0000-2000-00007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7" name="182 CuadroTexto">
          <a:extLst>
            <a:ext uri="{FF2B5EF4-FFF2-40B4-BE49-F238E27FC236}">
              <a16:creationId xmlns:a16="http://schemas.microsoft.com/office/drawing/2014/main" id="{00000000-0008-0000-2000-00007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8" name="183 CuadroTexto">
          <a:extLst>
            <a:ext uri="{FF2B5EF4-FFF2-40B4-BE49-F238E27FC236}">
              <a16:creationId xmlns:a16="http://schemas.microsoft.com/office/drawing/2014/main" id="{00000000-0008-0000-2000-00007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9" name="184 CuadroTexto">
          <a:extLst>
            <a:ext uri="{FF2B5EF4-FFF2-40B4-BE49-F238E27FC236}">
              <a16:creationId xmlns:a16="http://schemas.microsoft.com/office/drawing/2014/main" id="{00000000-0008-0000-2000-00007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0" name="185 CuadroTexto">
          <a:extLst>
            <a:ext uri="{FF2B5EF4-FFF2-40B4-BE49-F238E27FC236}">
              <a16:creationId xmlns:a16="http://schemas.microsoft.com/office/drawing/2014/main" id="{00000000-0008-0000-2000-00007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1" name="186 CuadroTexto">
          <a:extLst>
            <a:ext uri="{FF2B5EF4-FFF2-40B4-BE49-F238E27FC236}">
              <a16:creationId xmlns:a16="http://schemas.microsoft.com/office/drawing/2014/main" id="{00000000-0008-0000-2000-00007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2" name="187 CuadroTexto">
          <a:extLst>
            <a:ext uri="{FF2B5EF4-FFF2-40B4-BE49-F238E27FC236}">
              <a16:creationId xmlns:a16="http://schemas.microsoft.com/office/drawing/2014/main" id="{00000000-0008-0000-2000-00007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3" name="188 CuadroTexto">
          <a:extLst>
            <a:ext uri="{FF2B5EF4-FFF2-40B4-BE49-F238E27FC236}">
              <a16:creationId xmlns:a16="http://schemas.microsoft.com/office/drawing/2014/main" id="{00000000-0008-0000-2000-00007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4" name="189 CuadroTexto">
          <a:extLst>
            <a:ext uri="{FF2B5EF4-FFF2-40B4-BE49-F238E27FC236}">
              <a16:creationId xmlns:a16="http://schemas.microsoft.com/office/drawing/2014/main" id="{00000000-0008-0000-2000-00007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5" name="190 CuadroTexto">
          <a:extLst>
            <a:ext uri="{FF2B5EF4-FFF2-40B4-BE49-F238E27FC236}">
              <a16:creationId xmlns:a16="http://schemas.microsoft.com/office/drawing/2014/main" id="{00000000-0008-0000-2000-00007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6" name="191 CuadroTexto">
          <a:extLst>
            <a:ext uri="{FF2B5EF4-FFF2-40B4-BE49-F238E27FC236}">
              <a16:creationId xmlns:a16="http://schemas.microsoft.com/office/drawing/2014/main" id="{00000000-0008-0000-2000-00007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7" name="192 CuadroTexto">
          <a:extLst>
            <a:ext uri="{FF2B5EF4-FFF2-40B4-BE49-F238E27FC236}">
              <a16:creationId xmlns:a16="http://schemas.microsoft.com/office/drawing/2014/main" id="{00000000-0008-0000-2000-00007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8" name="193 CuadroTexto">
          <a:extLst>
            <a:ext uri="{FF2B5EF4-FFF2-40B4-BE49-F238E27FC236}">
              <a16:creationId xmlns:a16="http://schemas.microsoft.com/office/drawing/2014/main" id="{00000000-0008-0000-2000-00008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9" name="194 CuadroTexto">
          <a:extLst>
            <a:ext uri="{FF2B5EF4-FFF2-40B4-BE49-F238E27FC236}">
              <a16:creationId xmlns:a16="http://schemas.microsoft.com/office/drawing/2014/main" id="{00000000-0008-0000-2000-00008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0" name="195 CuadroTexto">
          <a:extLst>
            <a:ext uri="{FF2B5EF4-FFF2-40B4-BE49-F238E27FC236}">
              <a16:creationId xmlns:a16="http://schemas.microsoft.com/office/drawing/2014/main" id="{00000000-0008-0000-2000-00008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1" name="196 CuadroTexto">
          <a:extLst>
            <a:ext uri="{FF2B5EF4-FFF2-40B4-BE49-F238E27FC236}">
              <a16:creationId xmlns:a16="http://schemas.microsoft.com/office/drawing/2014/main" id="{00000000-0008-0000-2000-00008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2" name="197 CuadroTexto">
          <a:extLst>
            <a:ext uri="{FF2B5EF4-FFF2-40B4-BE49-F238E27FC236}">
              <a16:creationId xmlns:a16="http://schemas.microsoft.com/office/drawing/2014/main" id="{00000000-0008-0000-2000-00008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3" name="198 CuadroTexto">
          <a:extLst>
            <a:ext uri="{FF2B5EF4-FFF2-40B4-BE49-F238E27FC236}">
              <a16:creationId xmlns:a16="http://schemas.microsoft.com/office/drawing/2014/main" id="{00000000-0008-0000-2000-00008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4" name="199 CuadroTexto">
          <a:extLst>
            <a:ext uri="{FF2B5EF4-FFF2-40B4-BE49-F238E27FC236}">
              <a16:creationId xmlns:a16="http://schemas.microsoft.com/office/drawing/2014/main" id="{00000000-0008-0000-2000-00008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5" name="200 CuadroTexto">
          <a:extLst>
            <a:ext uri="{FF2B5EF4-FFF2-40B4-BE49-F238E27FC236}">
              <a16:creationId xmlns:a16="http://schemas.microsoft.com/office/drawing/2014/main" id="{00000000-0008-0000-2000-00008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6" name="201 CuadroTexto">
          <a:extLst>
            <a:ext uri="{FF2B5EF4-FFF2-40B4-BE49-F238E27FC236}">
              <a16:creationId xmlns:a16="http://schemas.microsoft.com/office/drawing/2014/main" id="{00000000-0008-0000-2000-00008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7" name="202 CuadroTexto">
          <a:extLst>
            <a:ext uri="{FF2B5EF4-FFF2-40B4-BE49-F238E27FC236}">
              <a16:creationId xmlns:a16="http://schemas.microsoft.com/office/drawing/2014/main" id="{00000000-0008-0000-2000-00008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8" name="203 CuadroTexto">
          <a:extLst>
            <a:ext uri="{FF2B5EF4-FFF2-40B4-BE49-F238E27FC236}">
              <a16:creationId xmlns:a16="http://schemas.microsoft.com/office/drawing/2014/main" id="{00000000-0008-0000-2000-00008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9" name="204 CuadroTexto">
          <a:extLst>
            <a:ext uri="{FF2B5EF4-FFF2-40B4-BE49-F238E27FC236}">
              <a16:creationId xmlns:a16="http://schemas.microsoft.com/office/drawing/2014/main" id="{00000000-0008-0000-2000-00008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0" name="205 CuadroTexto">
          <a:extLst>
            <a:ext uri="{FF2B5EF4-FFF2-40B4-BE49-F238E27FC236}">
              <a16:creationId xmlns:a16="http://schemas.microsoft.com/office/drawing/2014/main" id="{00000000-0008-0000-2000-00008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1" name="206 CuadroTexto">
          <a:extLst>
            <a:ext uri="{FF2B5EF4-FFF2-40B4-BE49-F238E27FC236}">
              <a16:creationId xmlns:a16="http://schemas.microsoft.com/office/drawing/2014/main" id="{00000000-0008-0000-2000-00008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2" name="207 CuadroTexto">
          <a:extLst>
            <a:ext uri="{FF2B5EF4-FFF2-40B4-BE49-F238E27FC236}">
              <a16:creationId xmlns:a16="http://schemas.microsoft.com/office/drawing/2014/main" id="{00000000-0008-0000-2000-00008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3" name="208 CuadroTexto">
          <a:extLst>
            <a:ext uri="{FF2B5EF4-FFF2-40B4-BE49-F238E27FC236}">
              <a16:creationId xmlns:a16="http://schemas.microsoft.com/office/drawing/2014/main" id="{00000000-0008-0000-2000-00008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4" name="209 CuadroTexto">
          <a:extLst>
            <a:ext uri="{FF2B5EF4-FFF2-40B4-BE49-F238E27FC236}">
              <a16:creationId xmlns:a16="http://schemas.microsoft.com/office/drawing/2014/main" id="{00000000-0008-0000-2000-00009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5" name="210 CuadroTexto">
          <a:extLst>
            <a:ext uri="{FF2B5EF4-FFF2-40B4-BE49-F238E27FC236}">
              <a16:creationId xmlns:a16="http://schemas.microsoft.com/office/drawing/2014/main" id="{00000000-0008-0000-2000-00009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6" name="211 CuadroTexto">
          <a:extLst>
            <a:ext uri="{FF2B5EF4-FFF2-40B4-BE49-F238E27FC236}">
              <a16:creationId xmlns:a16="http://schemas.microsoft.com/office/drawing/2014/main" id="{00000000-0008-0000-2000-00009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7" name="212 CuadroTexto">
          <a:extLst>
            <a:ext uri="{FF2B5EF4-FFF2-40B4-BE49-F238E27FC236}">
              <a16:creationId xmlns:a16="http://schemas.microsoft.com/office/drawing/2014/main" id="{00000000-0008-0000-2000-00009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8" name="213 CuadroTexto">
          <a:extLst>
            <a:ext uri="{FF2B5EF4-FFF2-40B4-BE49-F238E27FC236}">
              <a16:creationId xmlns:a16="http://schemas.microsoft.com/office/drawing/2014/main" id="{00000000-0008-0000-2000-00009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9" name="214 CuadroTexto">
          <a:extLst>
            <a:ext uri="{FF2B5EF4-FFF2-40B4-BE49-F238E27FC236}">
              <a16:creationId xmlns:a16="http://schemas.microsoft.com/office/drawing/2014/main" id="{00000000-0008-0000-2000-00009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0" name="215 CuadroTexto">
          <a:extLst>
            <a:ext uri="{FF2B5EF4-FFF2-40B4-BE49-F238E27FC236}">
              <a16:creationId xmlns:a16="http://schemas.microsoft.com/office/drawing/2014/main" id="{00000000-0008-0000-2000-00009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1" name="216 CuadroTexto">
          <a:extLst>
            <a:ext uri="{FF2B5EF4-FFF2-40B4-BE49-F238E27FC236}">
              <a16:creationId xmlns:a16="http://schemas.microsoft.com/office/drawing/2014/main" id="{00000000-0008-0000-2000-00009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2" name="217 CuadroTexto">
          <a:extLst>
            <a:ext uri="{FF2B5EF4-FFF2-40B4-BE49-F238E27FC236}">
              <a16:creationId xmlns:a16="http://schemas.microsoft.com/office/drawing/2014/main" id="{00000000-0008-0000-2000-00009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3" name="218 CuadroTexto">
          <a:extLst>
            <a:ext uri="{FF2B5EF4-FFF2-40B4-BE49-F238E27FC236}">
              <a16:creationId xmlns:a16="http://schemas.microsoft.com/office/drawing/2014/main" id="{00000000-0008-0000-2000-00009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4" name="219 CuadroTexto">
          <a:extLst>
            <a:ext uri="{FF2B5EF4-FFF2-40B4-BE49-F238E27FC236}">
              <a16:creationId xmlns:a16="http://schemas.microsoft.com/office/drawing/2014/main" id="{00000000-0008-0000-2000-00009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5" name="220 CuadroTexto">
          <a:extLst>
            <a:ext uri="{FF2B5EF4-FFF2-40B4-BE49-F238E27FC236}">
              <a16:creationId xmlns:a16="http://schemas.microsoft.com/office/drawing/2014/main" id="{00000000-0008-0000-2000-00009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6" name="221 CuadroTexto">
          <a:extLst>
            <a:ext uri="{FF2B5EF4-FFF2-40B4-BE49-F238E27FC236}">
              <a16:creationId xmlns:a16="http://schemas.microsoft.com/office/drawing/2014/main" id="{00000000-0008-0000-2000-00009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7" name="222 CuadroTexto">
          <a:extLst>
            <a:ext uri="{FF2B5EF4-FFF2-40B4-BE49-F238E27FC236}">
              <a16:creationId xmlns:a16="http://schemas.microsoft.com/office/drawing/2014/main" id="{00000000-0008-0000-2000-00009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8" name="223 CuadroTexto">
          <a:extLst>
            <a:ext uri="{FF2B5EF4-FFF2-40B4-BE49-F238E27FC236}">
              <a16:creationId xmlns:a16="http://schemas.microsoft.com/office/drawing/2014/main" id="{00000000-0008-0000-2000-00009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9" name="224 CuadroTexto">
          <a:extLst>
            <a:ext uri="{FF2B5EF4-FFF2-40B4-BE49-F238E27FC236}">
              <a16:creationId xmlns:a16="http://schemas.microsoft.com/office/drawing/2014/main" id="{00000000-0008-0000-2000-00009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0" name="225 CuadroTexto">
          <a:extLst>
            <a:ext uri="{FF2B5EF4-FFF2-40B4-BE49-F238E27FC236}">
              <a16:creationId xmlns:a16="http://schemas.microsoft.com/office/drawing/2014/main" id="{00000000-0008-0000-2000-0000A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1" name="226 CuadroTexto">
          <a:extLst>
            <a:ext uri="{FF2B5EF4-FFF2-40B4-BE49-F238E27FC236}">
              <a16:creationId xmlns:a16="http://schemas.microsoft.com/office/drawing/2014/main" id="{00000000-0008-0000-2000-0000A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2" name="227 CuadroTexto">
          <a:extLst>
            <a:ext uri="{FF2B5EF4-FFF2-40B4-BE49-F238E27FC236}">
              <a16:creationId xmlns:a16="http://schemas.microsoft.com/office/drawing/2014/main" id="{00000000-0008-0000-2000-0000A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3" name="228 CuadroTexto">
          <a:extLst>
            <a:ext uri="{FF2B5EF4-FFF2-40B4-BE49-F238E27FC236}">
              <a16:creationId xmlns:a16="http://schemas.microsoft.com/office/drawing/2014/main" id="{00000000-0008-0000-2000-0000A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4" name="229 CuadroTexto">
          <a:extLst>
            <a:ext uri="{FF2B5EF4-FFF2-40B4-BE49-F238E27FC236}">
              <a16:creationId xmlns:a16="http://schemas.microsoft.com/office/drawing/2014/main" id="{00000000-0008-0000-2000-0000A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5" name="230 CuadroTexto">
          <a:extLst>
            <a:ext uri="{FF2B5EF4-FFF2-40B4-BE49-F238E27FC236}">
              <a16:creationId xmlns:a16="http://schemas.microsoft.com/office/drawing/2014/main" id="{00000000-0008-0000-2000-0000A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6" name="231 CuadroTexto">
          <a:extLst>
            <a:ext uri="{FF2B5EF4-FFF2-40B4-BE49-F238E27FC236}">
              <a16:creationId xmlns:a16="http://schemas.microsoft.com/office/drawing/2014/main" id="{00000000-0008-0000-2000-0000A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7" name="232 CuadroTexto">
          <a:extLst>
            <a:ext uri="{FF2B5EF4-FFF2-40B4-BE49-F238E27FC236}">
              <a16:creationId xmlns:a16="http://schemas.microsoft.com/office/drawing/2014/main" id="{00000000-0008-0000-2000-0000A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8" name="233 CuadroTexto">
          <a:extLst>
            <a:ext uri="{FF2B5EF4-FFF2-40B4-BE49-F238E27FC236}">
              <a16:creationId xmlns:a16="http://schemas.microsoft.com/office/drawing/2014/main" id="{00000000-0008-0000-2000-0000A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9" name="234 CuadroTexto">
          <a:extLst>
            <a:ext uri="{FF2B5EF4-FFF2-40B4-BE49-F238E27FC236}">
              <a16:creationId xmlns:a16="http://schemas.microsoft.com/office/drawing/2014/main" id="{00000000-0008-0000-2000-0000A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0" name="235 CuadroTexto">
          <a:extLst>
            <a:ext uri="{FF2B5EF4-FFF2-40B4-BE49-F238E27FC236}">
              <a16:creationId xmlns:a16="http://schemas.microsoft.com/office/drawing/2014/main" id="{00000000-0008-0000-2000-0000A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1" name="236 CuadroTexto">
          <a:extLst>
            <a:ext uri="{FF2B5EF4-FFF2-40B4-BE49-F238E27FC236}">
              <a16:creationId xmlns:a16="http://schemas.microsoft.com/office/drawing/2014/main" id="{00000000-0008-0000-2000-0000A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2" name="237 CuadroTexto">
          <a:extLst>
            <a:ext uri="{FF2B5EF4-FFF2-40B4-BE49-F238E27FC236}">
              <a16:creationId xmlns:a16="http://schemas.microsoft.com/office/drawing/2014/main" id="{00000000-0008-0000-2000-0000A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3" name="238 CuadroTexto">
          <a:extLst>
            <a:ext uri="{FF2B5EF4-FFF2-40B4-BE49-F238E27FC236}">
              <a16:creationId xmlns:a16="http://schemas.microsoft.com/office/drawing/2014/main" id="{00000000-0008-0000-2000-0000A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4" name="239 CuadroTexto">
          <a:extLst>
            <a:ext uri="{FF2B5EF4-FFF2-40B4-BE49-F238E27FC236}">
              <a16:creationId xmlns:a16="http://schemas.microsoft.com/office/drawing/2014/main" id="{00000000-0008-0000-2000-0000A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5" name="240 CuadroTexto">
          <a:extLst>
            <a:ext uri="{FF2B5EF4-FFF2-40B4-BE49-F238E27FC236}">
              <a16:creationId xmlns:a16="http://schemas.microsoft.com/office/drawing/2014/main" id="{00000000-0008-0000-2000-0000A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6" name="241 CuadroTexto">
          <a:extLst>
            <a:ext uri="{FF2B5EF4-FFF2-40B4-BE49-F238E27FC236}">
              <a16:creationId xmlns:a16="http://schemas.microsoft.com/office/drawing/2014/main" id="{00000000-0008-0000-2000-0000B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7" name="242 CuadroTexto">
          <a:extLst>
            <a:ext uri="{FF2B5EF4-FFF2-40B4-BE49-F238E27FC236}">
              <a16:creationId xmlns:a16="http://schemas.microsoft.com/office/drawing/2014/main" id="{00000000-0008-0000-2000-0000B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8" name="243 CuadroTexto">
          <a:extLst>
            <a:ext uri="{FF2B5EF4-FFF2-40B4-BE49-F238E27FC236}">
              <a16:creationId xmlns:a16="http://schemas.microsoft.com/office/drawing/2014/main" id="{00000000-0008-0000-2000-0000B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9" name="244 CuadroTexto">
          <a:extLst>
            <a:ext uri="{FF2B5EF4-FFF2-40B4-BE49-F238E27FC236}">
              <a16:creationId xmlns:a16="http://schemas.microsoft.com/office/drawing/2014/main" id="{00000000-0008-0000-2000-0000B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0" name="245 CuadroTexto">
          <a:extLst>
            <a:ext uri="{FF2B5EF4-FFF2-40B4-BE49-F238E27FC236}">
              <a16:creationId xmlns:a16="http://schemas.microsoft.com/office/drawing/2014/main" id="{00000000-0008-0000-2000-0000B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1" name="246 CuadroTexto">
          <a:extLst>
            <a:ext uri="{FF2B5EF4-FFF2-40B4-BE49-F238E27FC236}">
              <a16:creationId xmlns:a16="http://schemas.microsoft.com/office/drawing/2014/main" id="{00000000-0008-0000-2000-0000B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2" name="247 CuadroTexto">
          <a:extLst>
            <a:ext uri="{FF2B5EF4-FFF2-40B4-BE49-F238E27FC236}">
              <a16:creationId xmlns:a16="http://schemas.microsoft.com/office/drawing/2014/main" id="{00000000-0008-0000-2000-0000B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3" name="248 CuadroTexto">
          <a:extLst>
            <a:ext uri="{FF2B5EF4-FFF2-40B4-BE49-F238E27FC236}">
              <a16:creationId xmlns:a16="http://schemas.microsoft.com/office/drawing/2014/main" id="{00000000-0008-0000-2000-0000B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4" name="249 CuadroTexto">
          <a:extLst>
            <a:ext uri="{FF2B5EF4-FFF2-40B4-BE49-F238E27FC236}">
              <a16:creationId xmlns:a16="http://schemas.microsoft.com/office/drawing/2014/main" id="{00000000-0008-0000-2000-0000B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5" name="250 CuadroTexto">
          <a:extLst>
            <a:ext uri="{FF2B5EF4-FFF2-40B4-BE49-F238E27FC236}">
              <a16:creationId xmlns:a16="http://schemas.microsoft.com/office/drawing/2014/main" id="{00000000-0008-0000-2000-0000B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6" name="251 CuadroTexto">
          <a:extLst>
            <a:ext uri="{FF2B5EF4-FFF2-40B4-BE49-F238E27FC236}">
              <a16:creationId xmlns:a16="http://schemas.microsoft.com/office/drawing/2014/main" id="{00000000-0008-0000-2000-0000B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7" name="252 CuadroTexto">
          <a:extLst>
            <a:ext uri="{FF2B5EF4-FFF2-40B4-BE49-F238E27FC236}">
              <a16:creationId xmlns:a16="http://schemas.microsoft.com/office/drawing/2014/main" id="{00000000-0008-0000-2000-0000B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8" name="253 CuadroTexto">
          <a:extLst>
            <a:ext uri="{FF2B5EF4-FFF2-40B4-BE49-F238E27FC236}">
              <a16:creationId xmlns:a16="http://schemas.microsoft.com/office/drawing/2014/main" id="{00000000-0008-0000-2000-0000B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9" name="254 CuadroTexto">
          <a:extLst>
            <a:ext uri="{FF2B5EF4-FFF2-40B4-BE49-F238E27FC236}">
              <a16:creationId xmlns:a16="http://schemas.microsoft.com/office/drawing/2014/main" id="{00000000-0008-0000-2000-0000B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0" name="255 CuadroTexto">
          <a:extLst>
            <a:ext uri="{FF2B5EF4-FFF2-40B4-BE49-F238E27FC236}">
              <a16:creationId xmlns:a16="http://schemas.microsoft.com/office/drawing/2014/main" id="{00000000-0008-0000-2000-0000B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1" name="256 CuadroTexto">
          <a:extLst>
            <a:ext uri="{FF2B5EF4-FFF2-40B4-BE49-F238E27FC236}">
              <a16:creationId xmlns:a16="http://schemas.microsoft.com/office/drawing/2014/main" id="{00000000-0008-0000-2000-0000B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2" name="257 CuadroTexto">
          <a:extLst>
            <a:ext uri="{FF2B5EF4-FFF2-40B4-BE49-F238E27FC236}">
              <a16:creationId xmlns:a16="http://schemas.microsoft.com/office/drawing/2014/main" id="{00000000-0008-0000-2000-0000C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3" name="258 CuadroTexto">
          <a:extLst>
            <a:ext uri="{FF2B5EF4-FFF2-40B4-BE49-F238E27FC236}">
              <a16:creationId xmlns:a16="http://schemas.microsoft.com/office/drawing/2014/main" id="{00000000-0008-0000-2000-0000C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4" name="259 CuadroTexto">
          <a:extLst>
            <a:ext uri="{FF2B5EF4-FFF2-40B4-BE49-F238E27FC236}">
              <a16:creationId xmlns:a16="http://schemas.microsoft.com/office/drawing/2014/main" id="{00000000-0008-0000-2000-0000C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5" name="260 CuadroTexto">
          <a:extLst>
            <a:ext uri="{FF2B5EF4-FFF2-40B4-BE49-F238E27FC236}">
              <a16:creationId xmlns:a16="http://schemas.microsoft.com/office/drawing/2014/main" id="{00000000-0008-0000-2000-0000C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6" name="261 CuadroTexto">
          <a:extLst>
            <a:ext uri="{FF2B5EF4-FFF2-40B4-BE49-F238E27FC236}">
              <a16:creationId xmlns:a16="http://schemas.microsoft.com/office/drawing/2014/main" id="{00000000-0008-0000-2000-0000C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7" name="262 CuadroTexto">
          <a:extLst>
            <a:ext uri="{FF2B5EF4-FFF2-40B4-BE49-F238E27FC236}">
              <a16:creationId xmlns:a16="http://schemas.microsoft.com/office/drawing/2014/main" id="{00000000-0008-0000-2000-0000C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8" name="263 CuadroTexto">
          <a:extLst>
            <a:ext uri="{FF2B5EF4-FFF2-40B4-BE49-F238E27FC236}">
              <a16:creationId xmlns:a16="http://schemas.microsoft.com/office/drawing/2014/main" id="{00000000-0008-0000-2000-0000C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9" name="264 CuadroTexto">
          <a:extLst>
            <a:ext uri="{FF2B5EF4-FFF2-40B4-BE49-F238E27FC236}">
              <a16:creationId xmlns:a16="http://schemas.microsoft.com/office/drawing/2014/main" id="{00000000-0008-0000-2000-0000C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0" name="265 CuadroTexto">
          <a:extLst>
            <a:ext uri="{FF2B5EF4-FFF2-40B4-BE49-F238E27FC236}">
              <a16:creationId xmlns:a16="http://schemas.microsoft.com/office/drawing/2014/main" id="{00000000-0008-0000-2000-0000C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1" name="266 CuadroTexto">
          <a:extLst>
            <a:ext uri="{FF2B5EF4-FFF2-40B4-BE49-F238E27FC236}">
              <a16:creationId xmlns:a16="http://schemas.microsoft.com/office/drawing/2014/main" id="{00000000-0008-0000-2000-0000C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2" name="267 CuadroTexto">
          <a:extLst>
            <a:ext uri="{FF2B5EF4-FFF2-40B4-BE49-F238E27FC236}">
              <a16:creationId xmlns:a16="http://schemas.microsoft.com/office/drawing/2014/main" id="{00000000-0008-0000-2000-0000C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483" name="268 CuadroTexto">
          <a:extLst>
            <a:ext uri="{FF2B5EF4-FFF2-40B4-BE49-F238E27FC236}">
              <a16:creationId xmlns:a16="http://schemas.microsoft.com/office/drawing/2014/main" id="{00000000-0008-0000-2000-0000C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4" name="269 CuadroTexto">
          <a:extLst>
            <a:ext uri="{FF2B5EF4-FFF2-40B4-BE49-F238E27FC236}">
              <a16:creationId xmlns:a16="http://schemas.microsoft.com/office/drawing/2014/main" id="{00000000-0008-0000-2000-0000C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5" name="270 CuadroTexto">
          <a:extLst>
            <a:ext uri="{FF2B5EF4-FFF2-40B4-BE49-F238E27FC236}">
              <a16:creationId xmlns:a16="http://schemas.microsoft.com/office/drawing/2014/main" id="{00000000-0008-0000-2000-0000C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6" name="271 CuadroTexto">
          <a:extLst>
            <a:ext uri="{FF2B5EF4-FFF2-40B4-BE49-F238E27FC236}">
              <a16:creationId xmlns:a16="http://schemas.microsoft.com/office/drawing/2014/main" id="{00000000-0008-0000-2000-0000C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7" name="272 CuadroTexto">
          <a:extLst>
            <a:ext uri="{FF2B5EF4-FFF2-40B4-BE49-F238E27FC236}">
              <a16:creationId xmlns:a16="http://schemas.microsoft.com/office/drawing/2014/main" id="{00000000-0008-0000-2000-0000C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8" name="273 CuadroTexto">
          <a:extLst>
            <a:ext uri="{FF2B5EF4-FFF2-40B4-BE49-F238E27FC236}">
              <a16:creationId xmlns:a16="http://schemas.microsoft.com/office/drawing/2014/main" id="{00000000-0008-0000-2000-0000D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9" name="274 CuadroTexto">
          <a:extLst>
            <a:ext uri="{FF2B5EF4-FFF2-40B4-BE49-F238E27FC236}">
              <a16:creationId xmlns:a16="http://schemas.microsoft.com/office/drawing/2014/main" id="{00000000-0008-0000-2000-0000D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0" name="275 CuadroTexto">
          <a:extLst>
            <a:ext uri="{FF2B5EF4-FFF2-40B4-BE49-F238E27FC236}">
              <a16:creationId xmlns:a16="http://schemas.microsoft.com/office/drawing/2014/main" id="{00000000-0008-0000-2000-0000D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1" name="276 CuadroTexto">
          <a:extLst>
            <a:ext uri="{FF2B5EF4-FFF2-40B4-BE49-F238E27FC236}">
              <a16:creationId xmlns:a16="http://schemas.microsoft.com/office/drawing/2014/main" id="{00000000-0008-0000-2000-0000D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2" name="277 CuadroTexto">
          <a:extLst>
            <a:ext uri="{FF2B5EF4-FFF2-40B4-BE49-F238E27FC236}">
              <a16:creationId xmlns:a16="http://schemas.microsoft.com/office/drawing/2014/main" id="{00000000-0008-0000-2000-0000D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3" name="278 CuadroTexto">
          <a:extLst>
            <a:ext uri="{FF2B5EF4-FFF2-40B4-BE49-F238E27FC236}">
              <a16:creationId xmlns:a16="http://schemas.microsoft.com/office/drawing/2014/main" id="{00000000-0008-0000-2000-0000D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4" name="279 CuadroTexto">
          <a:extLst>
            <a:ext uri="{FF2B5EF4-FFF2-40B4-BE49-F238E27FC236}">
              <a16:creationId xmlns:a16="http://schemas.microsoft.com/office/drawing/2014/main" id="{00000000-0008-0000-2000-0000D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5" name="280 CuadroTexto">
          <a:extLst>
            <a:ext uri="{FF2B5EF4-FFF2-40B4-BE49-F238E27FC236}">
              <a16:creationId xmlns:a16="http://schemas.microsoft.com/office/drawing/2014/main" id="{00000000-0008-0000-2000-0000D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6" name="281 CuadroTexto">
          <a:extLst>
            <a:ext uri="{FF2B5EF4-FFF2-40B4-BE49-F238E27FC236}">
              <a16:creationId xmlns:a16="http://schemas.microsoft.com/office/drawing/2014/main" id="{00000000-0008-0000-2000-0000D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7" name="282 CuadroTexto">
          <a:extLst>
            <a:ext uri="{FF2B5EF4-FFF2-40B4-BE49-F238E27FC236}">
              <a16:creationId xmlns:a16="http://schemas.microsoft.com/office/drawing/2014/main" id="{00000000-0008-0000-2000-0000D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8" name="283 CuadroTexto">
          <a:extLst>
            <a:ext uri="{FF2B5EF4-FFF2-40B4-BE49-F238E27FC236}">
              <a16:creationId xmlns:a16="http://schemas.microsoft.com/office/drawing/2014/main" id="{00000000-0008-0000-2000-0000D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9" name="284 CuadroTexto">
          <a:extLst>
            <a:ext uri="{FF2B5EF4-FFF2-40B4-BE49-F238E27FC236}">
              <a16:creationId xmlns:a16="http://schemas.microsoft.com/office/drawing/2014/main" id="{00000000-0008-0000-2000-0000D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00" name="285 CuadroTexto">
          <a:extLst>
            <a:ext uri="{FF2B5EF4-FFF2-40B4-BE49-F238E27FC236}">
              <a16:creationId xmlns:a16="http://schemas.microsoft.com/office/drawing/2014/main" id="{00000000-0008-0000-2000-0000D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1" name="286 CuadroTexto">
          <a:extLst>
            <a:ext uri="{FF2B5EF4-FFF2-40B4-BE49-F238E27FC236}">
              <a16:creationId xmlns:a16="http://schemas.microsoft.com/office/drawing/2014/main" id="{00000000-0008-0000-2000-0000D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2" name="287 CuadroTexto">
          <a:extLst>
            <a:ext uri="{FF2B5EF4-FFF2-40B4-BE49-F238E27FC236}">
              <a16:creationId xmlns:a16="http://schemas.microsoft.com/office/drawing/2014/main" id="{00000000-0008-0000-2000-0000D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3" name="288 CuadroTexto">
          <a:extLst>
            <a:ext uri="{FF2B5EF4-FFF2-40B4-BE49-F238E27FC236}">
              <a16:creationId xmlns:a16="http://schemas.microsoft.com/office/drawing/2014/main" id="{00000000-0008-0000-2000-0000D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4" name="289 CuadroTexto">
          <a:extLst>
            <a:ext uri="{FF2B5EF4-FFF2-40B4-BE49-F238E27FC236}">
              <a16:creationId xmlns:a16="http://schemas.microsoft.com/office/drawing/2014/main" id="{00000000-0008-0000-2000-0000E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5" name="290 CuadroTexto">
          <a:extLst>
            <a:ext uri="{FF2B5EF4-FFF2-40B4-BE49-F238E27FC236}">
              <a16:creationId xmlns:a16="http://schemas.microsoft.com/office/drawing/2014/main" id="{00000000-0008-0000-2000-0000E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6" name="291 CuadroTexto">
          <a:extLst>
            <a:ext uri="{FF2B5EF4-FFF2-40B4-BE49-F238E27FC236}">
              <a16:creationId xmlns:a16="http://schemas.microsoft.com/office/drawing/2014/main" id="{00000000-0008-0000-2000-0000E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7" name="292 CuadroTexto">
          <a:extLst>
            <a:ext uri="{FF2B5EF4-FFF2-40B4-BE49-F238E27FC236}">
              <a16:creationId xmlns:a16="http://schemas.microsoft.com/office/drawing/2014/main" id="{00000000-0008-0000-2000-0000E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8" name="293 CuadroTexto">
          <a:extLst>
            <a:ext uri="{FF2B5EF4-FFF2-40B4-BE49-F238E27FC236}">
              <a16:creationId xmlns:a16="http://schemas.microsoft.com/office/drawing/2014/main" id="{00000000-0008-0000-2000-0000E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9" name="294 CuadroTexto">
          <a:extLst>
            <a:ext uri="{FF2B5EF4-FFF2-40B4-BE49-F238E27FC236}">
              <a16:creationId xmlns:a16="http://schemas.microsoft.com/office/drawing/2014/main" id="{00000000-0008-0000-2000-0000E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0" name="295 CuadroTexto">
          <a:extLst>
            <a:ext uri="{FF2B5EF4-FFF2-40B4-BE49-F238E27FC236}">
              <a16:creationId xmlns:a16="http://schemas.microsoft.com/office/drawing/2014/main" id="{00000000-0008-0000-2000-0000E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1" name="296 CuadroTexto">
          <a:extLst>
            <a:ext uri="{FF2B5EF4-FFF2-40B4-BE49-F238E27FC236}">
              <a16:creationId xmlns:a16="http://schemas.microsoft.com/office/drawing/2014/main" id="{00000000-0008-0000-2000-0000E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2" name="17 CuadroTexto">
          <a:extLst>
            <a:ext uri="{FF2B5EF4-FFF2-40B4-BE49-F238E27FC236}">
              <a16:creationId xmlns:a16="http://schemas.microsoft.com/office/drawing/2014/main" id="{00000000-0008-0000-2000-0000E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513" name="90 CuadroTexto">
          <a:extLst>
            <a:ext uri="{FF2B5EF4-FFF2-40B4-BE49-F238E27FC236}">
              <a16:creationId xmlns:a16="http://schemas.microsoft.com/office/drawing/2014/main" id="{00000000-0008-0000-2000-0000E9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4" name="91 CuadroTexto">
          <a:extLst>
            <a:ext uri="{FF2B5EF4-FFF2-40B4-BE49-F238E27FC236}">
              <a16:creationId xmlns:a16="http://schemas.microsoft.com/office/drawing/2014/main" id="{00000000-0008-0000-2000-0000E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5" name="92 CuadroTexto">
          <a:extLst>
            <a:ext uri="{FF2B5EF4-FFF2-40B4-BE49-F238E27FC236}">
              <a16:creationId xmlns:a16="http://schemas.microsoft.com/office/drawing/2014/main" id="{00000000-0008-0000-2000-0000E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6" name="93 CuadroTexto">
          <a:extLst>
            <a:ext uri="{FF2B5EF4-FFF2-40B4-BE49-F238E27FC236}">
              <a16:creationId xmlns:a16="http://schemas.microsoft.com/office/drawing/2014/main" id="{00000000-0008-0000-2000-0000E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7" name="94 CuadroTexto">
          <a:extLst>
            <a:ext uri="{FF2B5EF4-FFF2-40B4-BE49-F238E27FC236}">
              <a16:creationId xmlns:a16="http://schemas.microsoft.com/office/drawing/2014/main" id="{00000000-0008-0000-2000-0000E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8" name="95 CuadroTexto">
          <a:extLst>
            <a:ext uri="{FF2B5EF4-FFF2-40B4-BE49-F238E27FC236}">
              <a16:creationId xmlns:a16="http://schemas.microsoft.com/office/drawing/2014/main" id="{00000000-0008-0000-2000-0000E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9" name="96 CuadroTexto">
          <a:extLst>
            <a:ext uri="{FF2B5EF4-FFF2-40B4-BE49-F238E27FC236}">
              <a16:creationId xmlns:a16="http://schemas.microsoft.com/office/drawing/2014/main" id="{00000000-0008-0000-2000-0000E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0" name="97 CuadroTexto">
          <a:extLst>
            <a:ext uri="{FF2B5EF4-FFF2-40B4-BE49-F238E27FC236}">
              <a16:creationId xmlns:a16="http://schemas.microsoft.com/office/drawing/2014/main" id="{00000000-0008-0000-2000-0000F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1" name="98 CuadroTexto">
          <a:extLst>
            <a:ext uri="{FF2B5EF4-FFF2-40B4-BE49-F238E27FC236}">
              <a16:creationId xmlns:a16="http://schemas.microsoft.com/office/drawing/2014/main" id="{00000000-0008-0000-2000-0000F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2" name="99 CuadroTexto">
          <a:extLst>
            <a:ext uri="{FF2B5EF4-FFF2-40B4-BE49-F238E27FC236}">
              <a16:creationId xmlns:a16="http://schemas.microsoft.com/office/drawing/2014/main" id="{00000000-0008-0000-2000-0000F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3" name="100 CuadroTexto">
          <a:extLst>
            <a:ext uri="{FF2B5EF4-FFF2-40B4-BE49-F238E27FC236}">
              <a16:creationId xmlns:a16="http://schemas.microsoft.com/office/drawing/2014/main" id="{00000000-0008-0000-2000-0000F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4" name="101 CuadroTexto">
          <a:extLst>
            <a:ext uri="{FF2B5EF4-FFF2-40B4-BE49-F238E27FC236}">
              <a16:creationId xmlns:a16="http://schemas.microsoft.com/office/drawing/2014/main" id="{00000000-0008-0000-2000-0000F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25" name="118 CuadroTexto">
          <a:extLst>
            <a:ext uri="{FF2B5EF4-FFF2-40B4-BE49-F238E27FC236}">
              <a16:creationId xmlns:a16="http://schemas.microsoft.com/office/drawing/2014/main" id="{00000000-0008-0000-2000-0000F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6" name="119 CuadroTexto">
          <a:extLst>
            <a:ext uri="{FF2B5EF4-FFF2-40B4-BE49-F238E27FC236}">
              <a16:creationId xmlns:a16="http://schemas.microsoft.com/office/drawing/2014/main" id="{00000000-0008-0000-2000-0000F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7" name="120 CuadroTexto">
          <a:extLst>
            <a:ext uri="{FF2B5EF4-FFF2-40B4-BE49-F238E27FC236}">
              <a16:creationId xmlns:a16="http://schemas.microsoft.com/office/drawing/2014/main" id="{00000000-0008-0000-2000-0000F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8" name="121 CuadroTexto">
          <a:extLst>
            <a:ext uri="{FF2B5EF4-FFF2-40B4-BE49-F238E27FC236}">
              <a16:creationId xmlns:a16="http://schemas.microsoft.com/office/drawing/2014/main" id="{00000000-0008-0000-2000-0000F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9" name="122 CuadroTexto">
          <a:extLst>
            <a:ext uri="{FF2B5EF4-FFF2-40B4-BE49-F238E27FC236}">
              <a16:creationId xmlns:a16="http://schemas.microsoft.com/office/drawing/2014/main" id="{00000000-0008-0000-2000-0000F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0" name="123 CuadroTexto">
          <a:extLst>
            <a:ext uri="{FF2B5EF4-FFF2-40B4-BE49-F238E27FC236}">
              <a16:creationId xmlns:a16="http://schemas.microsoft.com/office/drawing/2014/main" id="{00000000-0008-0000-2000-0000F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1" name="124 CuadroTexto">
          <a:extLst>
            <a:ext uri="{FF2B5EF4-FFF2-40B4-BE49-F238E27FC236}">
              <a16:creationId xmlns:a16="http://schemas.microsoft.com/office/drawing/2014/main" id="{00000000-0008-0000-2000-0000F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2" name="125 CuadroTexto">
          <a:extLst>
            <a:ext uri="{FF2B5EF4-FFF2-40B4-BE49-F238E27FC236}">
              <a16:creationId xmlns:a16="http://schemas.microsoft.com/office/drawing/2014/main" id="{00000000-0008-0000-2000-0000F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3" name="143 CuadroTexto">
          <a:extLst>
            <a:ext uri="{FF2B5EF4-FFF2-40B4-BE49-F238E27FC236}">
              <a16:creationId xmlns:a16="http://schemas.microsoft.com/office/drawing/2014/main" id="{00000000-0008-0000-2000-0000F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4" name="144 CuadroTexto">
          <a:extLst>
            <a:ext uri="{FF2B5EF4-FFF2-40B4-BE49-F238E27FC236}">
              <a16:creationId xmlns:a16="http://schemas.microsoft.com/office/drawing/2014/main" id="{00000000-0008-0000-2000-0000F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5" name="145 CuadroTexto">
          <a:extLst>
            <a:ext uri="{FF2B5EF4-FFF2-40B4-BE49-F238E27FC236}">
              <a16:creationId xmlns:a16="http://schemas.microsoft.com/office/drawing/2014/main" id="{00000000-0008-0000-2000-0000F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6" name="146 CuadroTexto">
          <a:extLst>
            <a:ext uri="{FF2B5EF4-FFF2-40B4-BE49-F238E27FC236}">
              <a16:creationId xmlns:a16="http://schemas.microsoft.com/office/drawing/2014/main" id="{00000000-0008-0000-2000-00000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7" name="147 CuadroTexto">
          <a:extLst>
            <a:ext uri="{FF2B5EF4-FFF2-40B4-BE49-F238E27FC236}">
              <a16:creationId xmlns:a16="http://schemas.microsoft.com/office/drawing/2014/main" id="{00000000-0008-0000-2000-00000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8" name="148 CuadroTexto">
          <a:extLst>
            <a:ext uri="{FF2B5EF4-FFF2-40B4-BE49-F238E27FC236}">
              <a16:creationId xmlns:a16="http://schemas.microsoft.com/office/drawing/2014/main" id="{00000000-0008-0000-2000-00000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9" name="149 CuadroTexto">
          <a:extLst>
            <a:ext uri="{FF2B5EF4-FFF2-40B4-BE49-F238E27FC236}">
              <a16:creationId xmlns:a16="http://schemas.microsoft.com/office/drawing/2014/main" id="{00000000-0008-0000-2000-00000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0" name="150 CuadroTexto">
          <a:extLst>
            <a:ext uri="{FF2B5EF4-FFF2-40B4-BE49-F238E27FC236}">
              <a16:creationId xmlns:a16="http://schemas.microsoft.com/office/drawing/2014/main" id="{00000000-0008-0000-2000-00000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1" name="151 CuadroTexto">
          <a:extLst>
            <a:ext uri="{FF2B5EF4-FFF2-40B4-BE49-F238E27FC236}">
              <a16:creationId xmlns:a16="http://schemas.microsoft.com/office/drawing/2014/main" id="{00000000-0008-0000-2000-00000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2" name="152 CuadroTexto">
          <a:extLst>
            <a:ext uri="{FF2B5EF4-FFF2-40B4-BE49-F238E27FC236}">
              <a16:creationId xmlns:a16="http://schemas.microsoft.com/office/drawing/2014/main" id="{00000000-0008-0000-2000-00000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3" name="153 CuadroTexto">
          <a:extLst>
            <a:ext uri="{FF2B5EF4-FFF2-40B4-BE49-F238E27FC236}">
              <a16:creationId xmlns:a16="http://schemas.microsoft.com/office/drawing/2014/main" id="{00000000-0008-0000-2000-00000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4" name="154 CuadroTexto">
          <a:extLst>
            <a:ext uri="{FF2B5EF4-FFF2-40B4-BE49-F238E27FC236}">
              <a16:creationId xmlns:a16="http://schemas.microsoft.com/office/drawing/2014/main" id="{00000000-0008-0000-2000-00000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5" name="155 CuadroTexto">
          <a:extLst>
            <a:ext uri="{FF2B5EF4-FFF2-40B4-BE49-F238E27FC236}">
              <a16:creationId xmlns:a16="http://schemas.microsoft.com/office/drawing/2014/main" id="{00000000-0008-0000-2000-00000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6" name="156 CuadroTexto">
          <a:extLst>
            <a:ext uri="{FF2B5EF4-FFF2-40B4-BE49-F238E27FC236}">
              <a16:creationId xmlns:a16="http://schemas.microsoft.com/office/drawing/2014/main" id="{00000000-0008-0000-2000-00000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7" name="157 CuadroTexto">
          <a:extLst>
            <a:ext uri="{FF2B5EF4-FFF2-40B4-BE49-F238E27FC236}">
              <a16:creationId xmlns:a16="http://schemas.microsoft.com/office/drawing/2014/main" id="{00000000-0008-0000-2000-00000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8" name="158 CuadroTexto">
          <a:extLst>
            <a:ext uri="{FF2B5EF4-FFF2-40B4-BE49-F238E27FC236}">
              <a16:creationId xmlns:a16="http://schemas.microsoft.com/office/drawing/2014/main" id="{00000000-0008-0000-2000-00000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9" name="159 CuadroTexto">
          <a:extLst>
            <a:ext uri="{FF2B5EF4-FFF2-40B4-BE49-F238E27FC236}">
              <a16:creationId xmlns:a16="http://schemas.microsoft.com/office/drawing/2014/main" id="{00000000-0008-0000-2000-00000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0" name="160 CuadroTexto">
          <a:extLst>
            <a:ext uri="{FF2B5EF4-FFF2-40B4-BE49-F238E27FC236}">
              <a16:creationId xmlns:a16="http://schemas.microsoft.com/office/drawing/2014/main" id="{00000000-0008-0000-2000-00000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1" name="161 CuadroTexto">
          <a:extLst>
            <a:ext uri="{FF2B5EF4-FFF2-40B4-BE49-F238E27FC236}">
              <a16:creationId xmlns:a16="http://schemas.microsoft.com/office/drawing/2014/main" id="{00000000-0008-0000-2000-00000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2" name="162 CuadroTexto">
          <a:extLst>
            <a:ext uri="{FF2B5EF4-FFF2-40B4-BE49-F238E27FC236}">
              <a16:creationId xmlns:a16="http://schemas.microsoft.com/office/drawing/2014/main" id="{00000000-0008-0000-2000-00001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3" name="163 CuadroTexto">
          <a:extLst>
            <a:ext uri="{FF2B5EF4-FFF2-40B4-BE49-F238E27FC236}">
              <a16:creationId xmlns:a16="http://schemas.microsoft.com/office/drawing/2014/main" id="{00000000-0008-0000-2000-00001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4" name="164 CuadroTexto">
          <a:extLst>
            <a:ext uri="{FF2B5EF4-FFF2-40B4-BE49-F238E27FC236}">
              <a16:creationId xmlns:a16="http://schemas.microsoft.com/office/drawing/2014/main" id="{00000000-0008-0000-2000-00001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5" name="165 CuadroTexto">
          <a:extLst>
            <a:ext uri="{FF2B5EF4-FFF2-40B4-BE49-F238E27FC236}">
              <a16:creationId xmlns:a16="http://schemas.microsoft.com/office/drawing/2014/main" id="{00000000-0008-0000-2000-00001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6" name="166 CuadroTexto">
          <a:extLst>
            <a:ext uri="{FF2B5EF4-FFF2-40B4-BE49-F238E27FC236}">
              <a16:creationId xmlns:a16="http://schemas.microsoft.com/office/drawing/2014/main" id="{00000000-0008-0000-2000-00001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7" name="167 CuadroTexto">
          <a:extLst>
            <a:ext uri="{FF2B5EF4-FFF2-40B4-BE49-F238E27FC236}">
              <a16:creationId xmlns:a16="http://schemas.microsoft.com/office/drawing/2014/main" id="{00000000-0008-0000-2000-00001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8" name="168 CuadroTexto">
          <a:extLst>
            <a:ext uri="{FF2B5EF4-FFF2-40B4-BE49-F238E27FC236}">
              <a16:creationId xmlns:a16="http://schemas.microsoft.com/office/drawing/2014/main" id="{00000000-0008-0000-2000-00001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9" name="169 CuadroTexto">
          <a:extLst>
            <a:ext uri="{FF2B5EF4-FFF2-40B4-BE49-F238E27FC236}">
              <a16:creationId xmlns:a16="http://schemas.microsoft.com/office/drawing/2014/main" id="{00000000-0008-0000-2000-00001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0" name="170 CuadroTexto">
          <a:extLst>
            <a:ext uri="{FF2B5EF4-FFF2-40B4-BE49-F238E27FC236}">
              <a16:creationId xmlns:a16="http://schemas.microsoft.com/office/drawing/2014/main" id="{00000000-0008-0000-2000-00001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1" name="171 CuadroTexto">
          <a:extLst>
            <a:ext uri="{FF2B5EF4-FFF2-40B4-BE49-F238E27FC236}">
              <a16:creationId xmlns:a16="http://schemas.microsoft.com/office/drawing/2014/main" id="{00000000-0008-0000-2000-00001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2" name="172 CuadroTexto">
          <a:extLst>
            <a:ext uri="{FF2B5EF4-FFF2-40B4-BE49-F238E27FC236}">
              <a16:creationId xmlns:a16="http://schemas.microsoft.com/office/drawing/2014/main" id="{00000000-0008-0000-2000-00001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3" name="173 CuadroTexto">
          <a:extLst>
            <a:ext uri="{FF2B5EF4-FFF2-40B4-BE49-F238E27FC236}">
              <a16:creationId xmlns:a16="http://schemas.microsoft.com/office/drawing/2014/main" id="{00000000-0008-0000-2000-00001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4" name="174 CuadroTexto">
          <a:extLst>
            <a:ext uri="{FF2B5EF4-FFF2-40B4-BE49-F238E27FC236}">
              <a16:creationId xmlns:a16="http://schemas.microsoft.com/office/drawing/2014/main" id="{00000000-0008-0000-2000-00001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5" name="175 CuadroTexto">
          <a:extLst>
            <a:ext uri="{FF2B5EF4-FFF2-40B4-BE49-F238E27FC236}">
              <a16:creationId xmlns:a16="http://schemas.microsoft.com/office/drawing/2014/main" id="{00000000-0008-0000-2000-00001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6" name="176 CuadroTexto">
          <a:extLst>
            <a:ext uri="{FF2B5EF4-FFF2-40B4-BE49-F238E27FC236}">
              <a16:creationId xmlns:a16="http://schemas.microsoft.com/office/drawing/2014/main" id="{00000000-0008-0000-2000-00001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7" name="177 CuadroTexto">
          <a:extLst>
            <a:ext uri="{FF2B5EF4-FFF2-40B4-BE49-F238E27FC236}">
              <a16:creationId xmlns:a16="http://schemas.microsoft.com/office/drawing/2014/main" id="{00000000-0008-0000-2000-00001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8" name="178 CuadroTexto">
          <a:extLst>
            <a:ext uri="{FF2B5EF4-FFF2-40B4-BE49-F238E27FC236}">
              <a16:creationId xmlns:a16="http://schemas.microsoft.com/office/drawing/2014/main" id="{00000000-0008-0000-2000-00002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9" name="179 CuadroTexto">
          <a:extLst>
            <a:ext uri="{FF2B5EF4-FFF2-40B4-BE49-F238E27FC236}">
              <a16:creationId xmlns:a16="http://schemas.microsoft.com/office/drawing/2014/main" id="{00000000-0008-0000-2000-00002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0" name="180 CuadroTexto">
          <a:extLst>
            <a:ext uri="{FF2B5EF4-FFF2-40B4-BE49-F238E27FC236}">
              <a16:creationId xmlns:a16="http://schemas.microsoft.com/office/drawing/2014/main" id="{00000000-0008-0000-2000-00002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1" name="181 CuadroTexto">
          <a:extLst>
            <a:ext uri="{FF2B5EF4-FFF2-40B4-BE49-F238E27FC236}">
              <a16:creationId xmlns:a16="http://schemas.microsoft.com/office/drawing/2014/main" id="{00000000-0008-0000-2000-00002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2" name="182 CuadroTexto">
          <a:extLst>
            <a:ext uri="{FF2B5EF4-FFF2-40B4-BE49-F238E27FC236}">
              <a16:creationId xmlns:a16="http://schemas.microsoft.com/office/drawing/2014/main" id="{00000000-0008-0000-2000-00002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3" name="183 CuadroTexto">
          <a:extLst>
            <a:ext uri="{FF2B5EF4-FFF2-40B4-BE49-F238E27FC236}">
              <a16:creationId xmlns:a16="http://schemas.microsoft.com/office/drawing/2014/main" id="{00000000-0008-0000-2000-00002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4" name="184 CuadroTexto">
          <a:extLst>
            <a:ext uri="{FF2B5EF4-FFF2-40B4-BE49-F238E27FC236}">
              <a16:creationId xmlns:a16="http://schemas.microsoft.com/office/drawing/2014/main" id="{00000000-0008-0000-2000-00002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5" name="185 CuadroTexto">
          <a:extLst>
            <a:ext uri="{FF2B5EF4-FFF2-40B4-BE49-F238E27FC236}">
              <a16:creationId xmlns:a16="http://schemas.microsoft.com/office/drawing/2014/main" id="{00000000-0008-0000-2000-00002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6" name="186 CuadroTexto">
          <a:extLst>
            <a:ext uri="{FF2B5EF4-FFF2-40B4-BE49-F238E27FC236}">
              <a16:creationId xmlns:a16="http://schemas.microsoft.com/office/drawing/2014/main" id="{00000000-0008-0000-2000-00002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7" name="187 CuadroTexto">
          <a:extLst>
            <a:ext uri="{FF2B5EF4-FFF2-40B4-BE49-F238E27FC236}">
              <a16:creationId xmlns:a16="http://schemas.microsoft.com/office/drawing/2014/main" id="{00000000-0008-0000-2000-00002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8" name="188 CuadroTexto">
          <a:extLst>
            <a:ext uri="{FF2B5EF4-FFF2-40B4-BE49-F238E27FC236}">
              <a16:creationId xmlns:a16="http://schemas.microsoft.com/office/drawing/2014/main" id="{00000000-0008-0000-2000-00002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9" name="189 CuadroTexto">
          <a:extLst>
            <a:ext uri="{FF2B5EF4-FFF2-40B4-BE49-F238E27FC236}">
              <a16:creationId xmlns:a16="http://schemas.microsoft.com/office/drawing/2014/main" id="{00000000-0008-0000-2000-00002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0" name="190 CuadroTexto">
          <a:extLst>
            <a:ext uri="{FF2B5EF4-FFF2-40B4-BE49-F238E27FC236}">
              <a16:creationId xmlns:a16="http://schemas.microsoft.com/office/drawing/2014/main" id="{00000000-0008-0000-2000-00002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1" name="191 CuadroTexto">
          <a:extLst>
            <a:ext uri="{FF2B5EF4-FFF2-40B4-BE49-F238E27FC236}">
              <a16:creationId xmlns:a16="http://schemas.microsoft.com/office/drawing/2014/main" id="{00000000-0008-0000-2000-00002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2" name="192 CuadroTexto">
          <a:extLst>
            <a:ext uri="{FF2B5EF4-FFF2-40B4-BE49-F238E27FC236}">
              <a16:creationId xmlns:a16="http://schemas.microsoft.com/office/drawing/2014/main" id="{00000000-0008-0000-2000-00002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3" name="193 CuadroTexto">
          <a:extLst>
            <a:ext uri="{FF2B5EF4-FFF2-40B4-BE49-F238E27FC236}">
              <a16:creationId xmlns:a16="http://schemas.microsoft.com/office/drawing/2014/main" id="{00000000-0008-0000-2000-00002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4" name="194 CuadroTexto">
          <a:extLst>
            <a:ext uri="{FF2B5EF4-FFF2-40B4-BE49-F238E27FC236}">
              <a16:creationId xmlns:a16="http://schemas.microsoft.com/office/drawing/2014/main" id="{00000000-0008-0000-2000-00003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5" name="195 CuadroTexto">
          <a:extLst>
            <a:ext uri="{FF2B5EF4-FFF2-40B4-BE49-F238E27FC236}">
              <a16:creationId xmlns:a16="http://schemas.microsoft.com/office/drawing/2014/main" id="{00000000-0008-0000-2000-00003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6" name="196 CuadroTexto">
          <a:extLst>
            <a:ext uri="{FF2B5EF4-FFF2-40B4-BE49-F238E27FC236}">
              <a16:creationId xmlns:a16="http://schemas.microsoft.com/office/drawing/2014/main" id="{00000000-0008-0000-2000-00003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7" name="197 CuadroTexto">
          <a:extLst>
            <a:ext uri="{FF2B5EF4-FFF2-40B4-BE49-F238E27FC236}">
              <a16:creationId xmlns:a16="http://schemas.microsoft.com/office/drawing/2014/main" id="{00000000-0008-0000-2000-00003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8" name="198 CuadroTexto">
          <a:extLst>
            <a:ext uri="{FF2B5EF4-FFF2-40B4-BE49-F238E27FC236}">
              <a16:creationId xmlns:a16="http://schemas.microsoft.com/office/drawing/2014/main" id="{00000000-0008-0000-2000-00003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9" name="199 CuadroTexto">
          <a:extLst>
            <a:ext uri="{FF2B5EF4-FFF2-40B4-BE49-F238E27FC236}">
              <a16:creationId xmlns:a16="http://schemas.microsoft.com/office/drawing/2014/main" id="{00000000-0008-0000-2000-00003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0" name="200 CuadroTexto">
          <a:extLst>
            <a:ext uri="{FF2B5EF4-FFF2-40B4-BE49-F238E27FC236}">
              <a16:creationId xmlns:a16="http://schemas.microsoft.com/office/drawing/2014/main" id="{00000000-0008-0000-2000-00003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1" name="201 CuadroTexto">
          <a:extLst>
            <a:ext uri="{FF2B5EF4-FFF2-40B4-BE49-F238E27FC236}">
              <a16:creationId xmlns:a16="http://schemas.microsoft.com/office/drawing/2014/main" id="{00000000-0008-0000-2000-00003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2" name="202 CuadroTexto">
          <a:extLst>
            <a:ext uri="{FF2B5EF4-FFF2-40B4-BE49-F238E27FC236}">
              <a16:creationId xmlns:a16="http://schemas.microsoft.com/office/drawing/2014/main" id="{00000000-0008-0000-2000-00003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3" name="203 CuadroTexto">
          <a:extLst>
            <a:ext uri="{FF2B5EF4-FFF2-40B4-BE49-F238E27FC236}">
              <a16:creationId xmlns:a16="http://schemas.microsoft.com/office/drawing/2014/main" id="{00000000-0008-0000-2000-00003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4" name="204 CuadroTexto">
          <a:extLst>
            <a:ext uri="{FF2B5EF4-FFF2-40B4-BE49-F238E27FC236}">
              <a16:creationId xmlns:a16="http://schemas.microsoft.com/office/drawing/2014/main" id="{00000000-0008-0000-2000-00003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5" name="205 CuadroTexto">
          <a:extLst>
            <a:ext uri="{FF2B5EF4-FFF2-40B4-BE49-F238E27FC236}">
              <a16:creationId xmlns:a16="http://schemas.microsoft.com/office/drawing/2014/main" id="{00000000-0008-0000-2000-00003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6" name="206 CuadroTexto">
          <a:extLst>
            <a:ext uri="{FF2B5EF4-FFF2-40B4-BE49-F238E27FC236}">
              <a16:creationId xmlns:a16="http://schemas.microsoft.com/office/drawing/2014/main" id="{00000000-0008-0000-2000-00003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7" name="207 CuadroTexto">
          <a:extLst>
            <a:ext uri="{FF2B5EF4-FFF2-40B4-BE49-F238E27FC236}">
              <a16:creationId xmlns:a16="http://schemas.microsoft.com/office/drawing/2014/main" id="{00000000-0008-0000-2000-00003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8" name="208 CuadroTexto">
          <a:extLst>
            <a:ext uri="{FF2B5EF4-FFF2-40B4-BE49-F238E27FC236}">
              <a16:creationId xmlns:a16="http://schemas.microsoft.com/office/drawing/2014/main" id="{00000000-0008-0000-2000-00003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9" name="209 CuadroTexto">
          <a:extLst>
            <a:ext uri="{FF2B5EF4-FFF2-40B4-BE49-F238E27FC236}">
              <a16:creationId xmlns:a16="http://schemas.microsoft.com/office/drawing/2014/main" id="{00000000-0008-0000-2000-00003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0" name="210 CuadroTexto">
          <a:extLst>
            <a:ext uri="{FF2B5EF4-FFF2-40B4-BE49-F238E27FC236}">
              <a16:creationId xmlns:a16="http://schemas.microsoft.com/office/drawing/2014/main" id="{00000000-0008-0000-2000-00004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1" name="211 CuadroTexto">
          <a:extLst>
            <a:ext uri="{FF2B5EF4-FFF2-40B4-BE49-F238E27FC236}">
              <a16:creationId xmlns:a16="http://schemas.microsoft.com/office/drawing/2014/main" id="{00000000-0008-0000-2000-00004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2" name="212 CuadroTexto">
          <a:extLst>
            <a:ext uri="{FF2B5EF4-FFF2-40B4-BE49-F238E27FC236}">
              <a16:creationId xmlns:a16="http://schemas.microsoft.com/office/drawing/2014/main" id="{00000000-0008-0000-2000-00004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3" name="213 CuadroTexto">
          <a:extLst>
            <a:ext uri="{FF2B5EF4-FFF2-40B4-BE49-F238E27FC236}">
              <a16:creationId xmlns:a16="http://schemas.microsoft.com/office/drawing/2014/main" id="{00000000-0008-0000-2000-00004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4" name="214 CuadroTexto">
          <a:extLst>
            <a:ext uri="{FF2B5EF4-FFF2-40B4-BE49-F238E27FC236}">
              <a16:creationId xmlns:a16="http://schemas.microsoft.com/office/drawing/2014/main" id="{00000000-0008-0000-2000-00004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5" name="215 CuadroTexto">
          <a:extLst>
            <a:ext uri="{FF2B5EF4-FFF2-40B4-BE49-F238E27FC236}">
              <a16:creationId xmlns:a16="http://schemas.microsoft.com/office/drawing/2014/main" id="{00000000-0008-0000-2000-00004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6" name="216 CuadroTexto">
          <a:extLst>
            <a:ext uri="{FF2B5EF4-FFF2-40B4-BE49-F238E27FC236}">
              <a16:creationId xmlns:a16="http://schemas.microsoft.com/office/drawing/2014/main" id="{00000000-0008-0000-2000-00004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7" name="217 CuadroTexto">
          <a:extLst>
            <a:ext uri="{FF2B5EF4-FFF2-40B4-BE49-F238E27FC236}">
              <a16:creationId xmlns:a16="http://schemas.microsoft.com/office/drawing/2014/main" id="{00000000-0008-0000-2000-00004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8" name="218 CuadroTexto">
          <a:extLst>
            <a:ext uri="{FF2B5EF4-FFF2-40B4-BE49-F238E27FC236}">
              <a16:creationId xmlns:a16="http://schemas.microsoft.com/office/drawing/2014/main" id="{00000000-0008-0000-2000-00004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9" name="219 CuadroTexto">
          <a:extLst>
            <a:ext uri="{FF2B5EF4-FFF2-40B4-BE49-F238E27FC236}">
              <a16:creationId xmlns:a16="http://schemas.microsoft.com/office/drawing/2014/main" id="{00000000-0008-0000-2000-00004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0" name="220 CuadroTexto">
          <a:extLst>
            <a:ext uri="{FF2B5EF4-FFF2-40B4-BE49-F238E27FC236}">
              <a16:creationId xmlns:a16="http://schemas.microsoft.com/office/drawing/2014/main" id="{00000000-0008-0000-2000-00004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1" name="221 CuadroTexto">
          <a:extLst>
            <a:ext uri="{FF2B5EF4-FFF2-40B4-BE49-F238E27FC236}">
              <a16:creationId xmlns:a16="http://schemas.microsoft.com/office/drawing/2014/main" id="{00000000-0008-0000-2000-00004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2" name="222 CuadroTexto">
          <a:extLst>
            <a:ext uri="{FF2B5EF4-FFF2-40B4-BE49-F238E27FC236}">
              <a16:creationId xmlns:a16="http://schemas.microsoft.com/office/drawing/2014/main" id="{00000000-0008-0000-2000-00004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3" name="223 CuadroTexto">
          <a:extLst>
            <a:ext uri="{FF2B5EF4-FFF2-40B4-BE49-F238E27FC236}">
              <a16:creationId xmlns:a16="http://schemas.microsoft.com/office/drawing/2014/main" id="{00000000-0008-0000-2000-00004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4" name="224 CuadroTexto">
          <a:extLst>
            <a:ext uri="{FF2B5EF4-FFF2-40B4-BE49-F238E27FC236}">
              <a16:creationId xmlns:a16="http://schemas.microsoft.com/office/drawing/2014/main" id="{00000000-0008-0000-2000-00004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5" name="225 CuadroTexto">
          <a:extLst>
            <a:ext uri="{FF2B5EF4-FFF2-40B4-BE49-F238E27FC236}">
              <a16:creationId xmlns:a16="http://schemas.microsoft.com/office/drawing/2014/main" id="{00000000-0008-0000-2000-00004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6" name="226 CuadroTexto">
          <a:extLst>
            <a:ext uri="{FF2B5EF4-FFF2-40B4-BE49-F238E27FC236}">
              <a16:creationId xmlns:a16="http://schemas.microsoft.com/office/drawing/2014/main" id="{00000000-0008-0000-2000-00005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7" name="227 CuadroTexto">
          <a:extLst>
            <a:ext uri="{FF2B5EF4-FFF2-40B4-BE49-F238E27FC236}">
              <a16:creationId xmlns:a16="http://schemas.microsoft.com/office/drawing/2014/main" id="{00000000-0008-0000-2000-00005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8" name="228 CuadroTexto">
          <a:extLst>
            <a:ext uri="{FF2B5EF4-FFF2-40B4-BE49-F238E27FC236}">
              <a16:creationId xmlns:a16="http://schemas.microsoft.com/office/drawing/2014/main" id="{00000000-0008-0000-2000-00005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9" name="229 CuadroTexto">
          <a:extLst>
            <a:ext uri="{FF2B5EF4-FFF2-40B4-BE49-F238E27FC236}">
              <a16:creationId xmlns:a16="http://schemas.microsoft.com/office/drawing/2014/main" id="{00000000-0008-0000-2000-00005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0" name="230 CuadroTexto">
          <a:extLst>
            <a:ext uri="{FF2B5EF4-FFF2-40B4-BE49-F238E27FC236}">
              <a16:creationId xmlns:a16="http://schemas.microsoft.com/office/drawing/2014/main" id="{00000000-0008-0000-2000-00005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1" name="231 CuadroTexto">
          <a:extLst>
            <a:ext uri="{FF2B5EF4-FFF2-40B4-BE49-F238E27FC236}">
              <a16:creationId xmlns:a16="http://schemas.microsoft.com/office/drawing/2014/main" id="{00000000-0008-0000-2000-00005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2" name="232 CuadroTexto">
          <a:extLst>
            <a:ext uri="{FF2B5EF4-FFF2-40B4-BE49-F238E27FC236}">
              <a16:creationId xmlns:a16="http://schemas.microsoft.com/office/drawing/2014/main" id="{00000000-0008-0000-2000-00005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3" name="233 CuadroTexto">
          <a:extLst>
            <a:ext uri="{FF2B5EF4-FFF2-40B4-BE49-F238E27FC236}">
              <a16:creationId xmlns:a16="http://schemas.microsoft.com/office/drawing/2014/main" id="{00000000-0008-0000-2000-00005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4" name="234 CuadroTexto">
          <a:extLst>
            <a:ext uri="{FF2B5EF4-FFF2-40B4-BE49-F238E27FC236}">
              <a16:creationId xmlns:a16="http://schemas.microsoft.com/office/drawing/2014/main" id="{00000000-0008-0000-2000-00005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5" name="235 CuadroTexto">
          <a:extLst>
            <a:ext uri="{FF2B5EF4-FFF2-40B4-BE49-F238E27FC236}">
              <a16:creationId xmlns:a16="http://schemas.microsoft.com/office/drawing/2014/main" id="{00000000-0008-0000-2000-00005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6" name="236 CuadroTexto">
          <a:extLst>
            <a:ext uri="{FF2B5EF4-FFF2-40B4-BE49-F238E27FC236}">
              <a16:creationId xmlns:a16="http://schemas.microsoft.com/office/drawing/2014/main" id="{00000000-0008-0000-2000-00005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7" name="237 CuadroTexto">
          <a:extLst>
            <a:ext uri="{FF2B5EF4-FFF2-40B4-BE49-F238E27FC236}">
              <a16:creationId xmlns:a16="http://schemas.microsoft.com/office/drawing/2014/main" id="{00000000-0008-0000-2000-00005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8" name="238 CuadroTexto">
          <a:extLst>
            <a:ext uri="{FF2B5EF4-FFF2-40B4-BE49-F238E27FC236}">
              <a16:creationId xmlns:a16="http://schemas.microsoft.com/office/drawing/2014/main" id="{00000000-0008-0000-2000-00005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9" name="239 CuadroTexto">
          <a:extLst>
            <a:ext uri="{FF2B5EF4-FFF2-40B4-BE49-F238E27FC236}">
              <a16:creationId xmlns:a16="http://schemas.microsoft.com/office/drawing/2014/main" id="{00000000-0008-0000-2000-00005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0" name="240 CuadroTexto">
          <a:extLst>
            <a:ext uri="{FF2B5EF4-FFF2-40B4-BE49-F238E27FC236}">
              <a16:creationId xmlns:a16="http://schemas.microsoft.com/office/drawing/2014/main" id="{00000000-0008-0000-2000-00005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1" name="241 CuadroTexto">
          <a:extLst>
            <a:ext uri="{FF2B5EF4-FFF2-40B4-BE49-F238E27FC236}">
              <a16:creationId xmlns:a16="http://schemas.microsoft.com/office/drawing/2014/main" id="{00000000-0008-0000-2000-00005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2" name="242 CuadroTexto">
          <a:extLst>
            <a:ext uri="{FF2B5EF4-FFF2-40B4-BE49-F238E27FC236}">
              <a16:creationId xmlns:a16="http://schemas.microsoft.com/office/drawing/2014/main" id="{00000000-0008-0000-2000-00006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3" name="243 CuadroTexto">
          <a:extLst>
            <a:ext uri="{FF2B5EF4-FFF2-40B4-BE49-F238E27FC236}">
              <a16:creationId xmlns:a16="http://schemas.microsoft.com/office/drawing/2014/main" id="{00000000-0008-0000-2000-00006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4" name="244 CuadroTexto">
          <a:extLst>
            <a:ext uri="{FF2B5EF4-FFF2-40B4-BE49-F238E27FC236}">
              <a16:creationId xmlns:a16="http://schemas.microsoft.com/office/drawing/2014/main" id="{00000000-0008-0000-2000-00006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5" name="245 CuadroTexto">
          <a:extLst>
            <a:ext uri="{FF2B5EF4-FFF2-40B4-BE49-F238E27FC236}">
              <a16:creationId xmlns:a16="http://schemas.microsoft.com/office/drawing/2014/main" id="{00000000-0008-0000-2000-00006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6" name="246 CuadroTexto">
          <a:extLst>
            <a:ext uri="{FF2B5EF4-FFF2-40B4-BE49-F238E27FC236}">
              <a16:creationId xmlns:a16="http://schemas.microsoft.com/office/drawing/2014/main" id="{00000000-0008-0000-2000-00006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7" name="247 CuadroTexto">
          <a:extLst>
            <a:ext uri="{FF2B5EF4-FFF2-40B4-BE49-F238E27FC236}">
              <a16:creationId xmlns:a16="http://schemas.microsoft.com/office/drawing/2014/main" id="{00000000-0008-0000-2000-00006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8" name="248 CuadroTexto">
          <a:extLst>
            <a:ext uri="{FF2B5EF4-FFF2-40B4-BE49-F238E27FC236}">
              <a16:creationId xmlns:a16="http://schemas.microsoft.com/office/drawing/2014/main" id="{00000000-0008-0000-2000-00006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9" name="249 CuadroTexto">
          <a:extLst>
            <a:ext uri="{FF2B5EF4-FFF2-40B4-BE49-F238E27FC236}">
              <a16:creationId xmlns:a16="http://schemas.microsoft.com/office/drawing/2014/main" id="{00000000-0008-0000-2000-00006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0" name="250 CuadroTexto">
          <a:extLst>
            <a:ext uri="{FF2B5EF4-FFF2-40B4-BE49-F238E27FC236}">
              <a16:creationId xmlns:a16="http://schemas.microsoft.com/office/drawing/2014/main" id="{00000000-0008-0000-2000-00006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1" name="251 CuadroTexto">
          <a:extLst>
            <a:ext uri="{FF2B5EF4-FFF2-40B4-BE49-F238E27FC236}">
              <a16:creationId xmlns:a16="http://schemas.microsoft.com/office/drawing/2014/main" id="{00000000-0008-0000-2000-00006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2" name="252 CuadroTexto">
          <a:extLst>
            <a:ext uri="{FF2B5EF4-FFF2-40B4-BE49-F238E27FC236}">
              <a16:creationId xmlns:a16="http://schemas.microsoft.com/office/drawing/2014/main" id="{00000000-0008-0000-2000-00006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3" name="253 CuadroTexto">
          <a:extLst>
            <a:ext uri="{FF2B5EF4-FFF2-40B4-BE49-F238E27FC236}">
              <a16:creationId xmlns:a16="http://schemas.microsoft.com/office/drawing/2014/main" id="{00000000-0008-0000-2000-00006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4" name="254 CuadroTexto">
          <a:extLst>
            <a:ext uri="{FF2B5EF4-FFF2-40B4-BE49-F238E27FC236}">
              <a16:creationId xmlns:a16="http://schemas.microsoft.com/office/drawing/2014/main" id="{00000000-0008-0000-2000-00006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5" name="255 CuadroTexto">
          <a:extLst>
            <a:ext uri="{FF2B5EF4-FFF2-40B4-BE49-F238E27FC236}">
              <a16:creationId xmlns:a16="http://schemas.microsoft.com/office/drawing/2014/main" id="{00000000-0008-0000-2000-00006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6" name="256 CuadroTexto">
          <a:extLst>
            <a:ext uri="{FF2B5EF4-FFF2-40B4-BE49-F238E27FC236}">
              <a16:creationId xmlns:a16="http://schemas.microsoft.com/office/drawing/2014/main" id="{00000000-0008-0000-2000-00006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7" name="257 CuadroTexto">
          <a:extLst>
            <a:ext uri="{FF2B5EF4-FFF2-40B4-BE49-F238E27FC236}">
              <a16:creationId xmlns:a16="http://schemas.microsoft.com/office/drawing/2014/main" id="{00000000-0008-0000-2000-00006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8" name="258 CuadroTexto">
          <a:extLst>
            <a:ext uri="{FF2B5EF4-FFF2-40B4-BE49-F238E27FC236}">
              <a16:creationId xmlns:a16="http://schemas.microsoft.com/office/drawing/2014/main" id="{00000000-0008-0000-2000-00007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9" name="259 CuadroTexto">
          <a:extLst>
            <a:ext uri="{FF2B5EF4-FFF2-40B4-BE49-F238E27FC236}">
              <a16:creationId xmlns:a16="http://schemas.microsoft.com/office/drawing/2014/main" id="{00000000-0008-0000-2000-00007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0" name="260 CuadroTexto">
          <a:extLst>
            <a:ext uri="{FF2B5EF4-FFF2-40B4-BE49-F238E27FC236}">
              <a16:creationId xmlns:a16="http://schemas.microsoft.com/office/drawing/2014/main" id="{00000000-0008-0000-2000-00007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1" name="261 CuadroTexto">
          <a:extLst>
            <a:ext uri="{FF2B5EF4-FFF2-40B4-BE49-F238E27FC236}">
              <a16:creationId xmlns:a16="http://schemas.microsoft.com/office/drawing/2014/main" id="{00000000-0008-0000-2000-00007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2" name="262 CuadroTexto">
          <a:extLst>
            <a:ext uri="{FF2B5EF4-FFF2-40B4-BE49-F238E27FC236}">
              <a16:creationId xmlns:a16="http://schemas.microsoft.com/office/drawing/2014/main" id="{00000000-0008-0000-2000-00007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3" name="263 CuadroTexto">
          <a:extLst>
            <a:ext uri="{FF2B5EF4-FFF2-40B4-BE49-F238E27FC236}">
              <a16:creationId xmlns:a16="http://schemas.microsoft.com/office/drawing/2014/main" id="{00000000-0008-0000-2000-00007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4" name="264 CuadroTexto">
          <a:extLst>
            <a:ext uri="{FF2B5EF4-FFF2-40B4-BE49-F238E27FC236}">
              <a16:creationId xmlns:a16="http://schemas.microsoft.com/office/drawing/2014/main" id="{00000000-0008-0000-2000-00007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5" name="265 CuadroTexto">
          <a:extLst>
            <a:ext uri="{FF2B5EF4-FFF2-40B4-BE49-F238E27FC236}">
              <a16:creationId xmlns:a16="http://schemas.microsoft.com/office/drawing/2014/main" id="{00000000-0008-0000-2000-00007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6" name="266 CuadroTexto">
          <a:extLst>
            <a:ext uri="{FF2B5EF4-FFF2-40B4-BE49-F238E27FC236}">
              <a16:creationId xmlns:a16="http://schemas.microsoft.com/office/drawing/2014/main" id="{00000000-0008-0000-2000-00007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7" name="267 CuadroTexto">
          <a:extLst>
            <a:ext uri="{FF2B5EF4-FFF2-40B4-BE49-F238E27FC236}">
              <a16:creationId xmlns:a16="http://schemas.microsoft.com/office/drawing/2014/main" id="{00000000-0008-0000-2000-00007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658" name="268 CuadroTexto">
          <a:extLst>
            <a:ext uri="{FF2B5EF4-FFF2-40B4-BE49-F238E27FC236}">
              <a16:creationId xmlns:a16="http://schemas.microsoft.com/office/drawing/2014/main" id="{00000000-0008-0000-2000-00007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59" name="269 CuadroTexto">
          <a:extLst>
            <a:ext uri="{FF2B5EF4-FFF2-40B4-BE49-F238E27FC236}">
              <a16:creationId xmlns:a16="http://schemas.microsoft.com/office/drawing/2014/main" id="{00000000-0008-0000-2000-00007B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0" name="270 CuadroTexto">
          <a:extLst>
            <a:ext uri="{FF2B5EF4-FFF2-40B4-BE49-F238E27FC236}">
              <a16:creationId xmlns:a16="http://schemas.microsoft.com/office/drawing/2014/main" id="{00000000-0008-0000-2000-00007C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1" name="271 CuadroTexto">
          <a:extLst>
            <a:ext uri="{FF2B5EF4-FFF2-40B4-BE49-F238E27FC236}">
              <a16:creationId xmlns:a16="http://schemas.microsoft.com/office/drawing/2014/main" id="{00000000-0008-0000-2000-00007D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2" name="272 CuadroTexto">
          <a:extLst>
            <a:ext uri="{FF2B5EF4-FFF2-40B4-BE49-F238E27FC236}">
              <a16:creationId xmlns:a16="http://schemas.microsoft.com/office/drawing/2014/main" id="{00000000-0008-0000-2000-00007E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3" name="273 CuadroTexto">
          <a:extLst>
            <a:ext uri="{FF2B5EF4-FFF2-40B4-BE49-F238E27FC236}">
              <a16:creationId xmlns:a16="http://schemas.microsoft.com/office/drawing/2014/main" id="{00000000-0008-0000-2000-00007F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4" name="274 CuadroTexto">
          <a:extLst>
            <a:ext uri="{FF2B5EF4-FFF2-40B4-BE49-F238E27FC236}">
              <a16:creationId xmlns:a16="http://schemas.microsoft.com/office/drawing/2014/main" id="{00000000-0008-0000-2000-000080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5" name="275 CuadroTexto">
          <a:extLst>
            <a:ext uri="{FF2B5EF4-FFF2-40B4-BE49-F238E27FC236}">
              <a16:creationId xmlns:a16="http://schemas.microsoft.com/office/drawing/2014/main" id="{00000000-0008-0000-2000-000081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6" name="276 CuadroTexto">
          <a:extLst>
            <a:ext uri="{FF2B5EF4-FFF2-40B4-BE49-F238E27FC236}">
              <a16:creationId xmlns:a16="http://schemas.microsoft.com/office/drawing/2014/main" id="{00000000-0008-0000-2000-000082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7" name="277 CuadroTexto">
          <a:extLst>
            <a:ext uri="{FF2B5EF4-FFF2-40B4-BE49-F238E27FC236}">
              <a16:creationId xmlns:a16="http://schemas.microsoft.com/office/drawing/2014/main" id="{00000000-0008-0000-2000-000083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8" name="278 CuadroTexto">
          <a:extLst>
            <a:ext uri="{FF2B5EF4-FFF2-40B4-BE49-F238E27FC236}">
              <a16:creationId xmlns:a16="http://schemas.microsoft.com/office/drawing/2014/main" id="{00000000-0008-0000-2000-000084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9" name="279 CuadroTexto">
          <a:extLst>
            <a:ext uri="{FF2B5EF4-FFF2-40B4-BE49-F238E27FC236}">
              <a16:creationId xmlns:a16="http://schemas.microsoft.com/office/drawing/2014/main" id="{00000000-0008-0000-2000-000085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0" name="280 CuadroTexto">
          <a:extLst>
            <a:ext uri="{FF2B5EF4-FFF2-40B4-BE49-F238E27FC236}">
              <a16:creationId xmlns:a16="http://schemas.microsoft.com/office/drawing/2014/main" id="{00000000-0008-0000-2000-000086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1" name="281 CuadroTexto">
          <a:extLst>
            <a:ext uri="{FF2B5EF4-FFF2-40B4-BE49-F238E27FC236}">
              <a16:creationId xmlns:a16="http://schemas.microsoft.com/office/drawing/2014/main" id="{00000000-0008-0000-2000-000087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2" name="282 CuadroTexto">
          <a:extLst>
            <a:ext uri="{FF2B5EF4-FFF2-40B4-BE49-F238E27FC236}">
              <a16:creationId xmlns:a16="http://schemas.microsoft.com/office/drawing/2014/main" id="{00000000-0008-0000-2000-000088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3" name="283 CuadroTexto">
          <a:extLst>
            <a:ext uri="{FF2B5EF4-FFF2-40B4-BE49-F238E27FC236}">
              <a16:creationId xmlns:a16="http://schemas.microsoft.com/office/drawing/2014/main" id="{00000000-0008-0000-2000-000089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4" name="284 CuadroTexto">
          <a:extLst>
            <a:ext uri="{FF2B5EF4-FFF2-40B4-BE49-F238E27FC236}">
              <a16:creationId xmlns:a16="http://schemas.microsoft.com/office/drawing/2014/main" id="{00000000-0008-0000-2000-00008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675" name="285 CuadroTexto">
          <a:extLst>
            <a:ext uri="{FF2B5EF4-FFF2-40B4-BE49-F238E27FC236}">
              <a16:creationId xmlns:a16="http://schemas.microsoft.com/office/drawing/2014/main" id="{00000000-0008-0000-2000-00008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6" name="286 CuadroTexto">
          <a:extLst>
            <a:ext uri="{FF2B5EF4-FFF2-40B4-BE49-F238E27FC236}">
              <a16:creationId xmlns:a16="http://schemas.microsoft.com/office/drawing/2014/main" id="{00000000-0008-0000-2000-00008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7" name="287 CuadroTexto">
          <a:extLst>
            <a:ext uri="{FF2B5EF4-FFF2-40B4-BE49-F238E27FC236}">
              <a16:creationId xmlns:a16="http://schemas.microsoft.com/office/drawing/2014/main" id="{00000000-0008-0000-2000-00008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8" name="288 CuadroTexto">
          <a:extLst>
            <a:ext uri="{FF2B5EF4-FFF2-40B4-BE49-F238E27FC236}">
              <a16:creationId xmlns:a16="http://schemas.microsoft.com/office/drawing/2014/main" id="{00000000-0008-0000-2000-00008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9" name="289 CuadroTexto">
          <a:extLst>
            <a:ext uri="{FF2B5EF4-FFF2-40B4-BE49-F238E27FC236}">
              <a16:creationId xmlns:a16="http://schemas.microsoft.com/office/drawing/2014/main" id="{00000000-0008-0000-2000-00008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0" name="290 CuadroTexto">
          <a:extLst>
            <a:ext uri="{FF2B5EF4-FFF2-40B4-BE49-F238E27FC236}">
              <a16:creationId xmlns:a16="http://schemas.microsoft.com/office/drawing/2014/main" id="{00000000-0008-0000-2000-00009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1" name="291 CuadroTexto">
          <a:extLst>
            <a:ext uri="{FF2B5EF4-FFF2-40B4-BE49-F238E27FC236}">
              <a16:creationId xmlns:a16="http://schemas.microsoft.com/office/drawing/2014/main" id="{00000000-0008-0000-2000-00009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2" name="292 CuadroTexto">
          <a:extLst>
            <a:ext uri="{FF2B5EF4-FFF2-40B4-BE49-F238E27FC236}">
              <a16:creationId xmlns:a16="http://schemas.microsoft.com/office/drawing/2014/main" id="{00000000-0008-0000-2000-00009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3" name="293 CuadroTexto">
          <a:extLst>
            <a:ext uri="{FF2B5EF4-FFF2-40B4-BE49-F238E27FC236}">
              <a16:creationId xmlns:a16="http://schemas.microsoft.com/office/drawing/2014/main" id="{00000000-0008-0000-2000-00009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4" name="294 CuadroTexto">
          <a:extLst>
            <a:ext uri="{FF2B5EF4-FFF2-40B4-BE49-F238E27FC236}">
              <a16:creationId xmlns:a16="http://schemas.microsoft.com/office/drawing/2014/main" id="{00000000-0008-0000-2000-00009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5" name="295 CuadroTexto">
          <a:extLst>
            <a:ext uri="{FF2B5EF4-FFF2-40B4-BE49-F238E27FC236}">
              <a16:creationId xmlns:a16="http://schemas.microsoft.com/office/drawing/2014/main" id="{00000000-0008-0000-2000-00009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6" name="296 CuadroTexto">
          <a:extLst>
            <a:ext uri="{FF2B5EF4-FFF2-40B4-BE49-F238E27FC236}">
              <a16:creationId xmlns:a16="http://schemas.microsoft.com/office/drawing/2014/main" id="{00000000-0008-0000-2000-00009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7" name="17 CuadroTexto">
          <a:extLst>
            <a:ext uri="{FF2B5EF4-FFF2-40B4-BE49-F238E27FC236}">
              <a16:creationId xmlns:a16="http://schemas.microsoft.com/office/drawing/2014/main" id="{00000000-0008-0000-2000-00009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688" name="90 CuadroTexto">
          <a:extLst>
            <a:ext uri="{FF2B5EF4-FFF2-40B4-BE49-F238E27FC236}">
              <a16:creationId xmlns:a16="http://schemas.microsoft.com/office/drawing/2014/main" id="{00000000-0008-0000-2000-000098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89" name="91 CuadroTexto">
          <a:extLst>
            <a:ext uri="{FF2B5EF4-FFF2-40B4-BE49-F238E27FC236}">
              <a16:creationId xmlns:a16="http://schemas.microsoft.com/office/drawing/2014/main" id="{00000000-0008-0000-2000-000099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0" name="92 CuadroTexto">
          <a:extLst>
            <a:ext uri="{FF2B5EF4-FFF2-40B4-BE49-F238E27FC236}">
              <a16:creationId xmlns:a16="http://schemas.microsoft.com/office/drawing/2014/main" id="{00000000-0008-0000-2000-00009A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1" name="93 CuadroTexto">
          <a:extLst>
            <a:ext uri="{FF2B5EF4-FFF2-40B4-BE49-F238E27FC236}">
              <a16:creationId xmlns:a16="http://schemas.microsoft.com/office/drawing/2014/main" id="{00000000-0008-0000-2000-00009B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2" name="94 CuadroTexto">
          <a:extLst>
            <a:ext uri="{FF2B5EF4-FFF2-40B4-BE49-F238E27FC236}">
              <a16:creationId xmlns:a16="http://schemas.microsoft.com/office/drawing/2014/main" id="{00000000-0008-0000-2000-00009C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3" name="95 CuadroTexto">
          <a:extLst>
            <a:ext uri="{FF2B5EF4-FFF2-40B4-BE49-F238E27FC236}">
              <a16:creationId xmlns:a16="http://schemas.microsoft.com/office/drawing/2014/main" id="{00000000-0008-0000-2000-00009D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4" name="96 CuadroTexto">
          <a:extLst>
            <a:ext uri="{FF2B5EF4-FFF2-40B4-BE49-F238E27FC236}">
              <a16:creationId xmlns:a16="http://schemas.microsoft.com/office/drawing/2014/main" id="{00000000-0008-0000-2000-00009E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5" name="97 CuadroTexto">
          <a:extLst>
            <a:ext uri="{FF2B5EF4-FFF2-40B4-BE49-F238E27FC236}">
              <a16:creationId xmlns:a16="http://schemas.microsoft.com/office/drawing/2014/main" id="{00000000-0008-0000-2000-00009F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6" name="98 CuadroTexto">
          <a:extLst>
            <a:ext uri="{FF2B5EF4-FFF2-40B4-BE49-F238E27FC236}">
              <a16:creationId xmlns:a16="http://schemas.microsoft.com/office/drawing/2014/main" id="{00000000-0008-0000-2000-0000A0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7" name="99 CuadroTexto">
          <a:extLst>
            <a:ext uri="{FF2B5EF4-FFF2-40B4-BE49-F238E27FC236}">
              <a16:creationId xmlns:a16="http://schemas.microsoft.com/office/drawing/2014/main" id="{00000000-0008-0000-2000-0000A1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8" name="100 CuadroTexto">
          <a:extLst>
            <a:ext uri="{FF2B5EF4-FFF2-40B4-BE49-F238E27FC236}">
              <a16:creationId xmlns:a16="http://schemas.microsoft.com/office/drawing/2014/main" id="{00000000-0008-0000-2000-0000A2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9" name="101 CuadroTexto">
          <a:extLst>
            <a:ext uri="{FF2B5EF4-FFF2-40B4-BE49-F238E27FC236}">
              <a16:creationId xmlns:a16="http://schemas.microsoft.com/office/drawing/2014/main" id="{00000000-0008-0000-2000-0000A3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700" name="118 CuadroTexto">
          <a:extLst>
            <a:ext uri="{FF2B5EF4-FFF2-40B4-BE49-F238E27FC236}">
              <a16:creationId xmlns:a16="http://schemas.microsoft.com/office/drawing/2014/main" id="{00000000-0008-0000-2000-0000A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1" name="119 CuadroTexto">
          <a:extLst>
            <a:ext uri="{FF2B5EF4-FFF2-40B4-BE49-F238E27FC236}">
              <a16:creationId xmlns:a16="http://schemas.microsoft.com/office/drawing/2014/main" id="{00000000-0008-0000-2000-0000A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2" name="120 CuadroTexto">
          <a:extLst>
            <a:ext uri="{FF2B5EF4-FFF2-40B4-BE49-F238E27FC236}">
              <a16:creationId xmlns:a16="http://schemas.microsoft.com/office/drawing/2014/main" id="{00000000-0008-0000-2000-0000A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3" name="121 CuadroTexto">
          <a:extLst>
            <a:ext uri="{FF2B5EF4-FFF2-40B4-BE49-F238E27FC236}">
              <a16:creationId xmlns:a16="http://schemas.microsoft.com/office/drawing/2014/main" id="{00000000-0008-0000-2000-0000A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4" name="122 CuadroTexto">
          <a:extLst>
            <a:ext uri="{FF2B5EF4-FFF2-40B4-BE49-F238E27FC236}">
              <a16:creationId xmlns:a16="http://schemas.microsoft.com/office/drawing/2014/main" id="{00000000-0008-0000-2000-0000A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5" name="123 CuadroTexto">
          <a:extLst>
            <a:ext uri="{FF2B5EF4-FFF2-40B4-BE49-F238E27FC236}">
              <a16:creationId xmlns:a16="http://schemas.microsoft.com/office/drawing/2014/main" id="{00000000-0008-0000-2000-0000A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6" name="124 CuadroTexto">
          <a:extLst>
            <a:ext uri="{FF2B5EF4-FFF2-40B4-BE49-F238E27FC236}">
              <a16:creationId xmlns:a16="http://schemas.microsoft.com/office/drawing/2014/main" id="{00000000-0008-0000-2000-0000A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7" name="125 CuadroTexto">
          <a:extLst>
            <a:ext uri="{FF2B5EF4-FFF2-40B4-BE49-F238E27FC236}">
              <a16:creationId xmlns:a16="http://schemas.microsoft.com/office/drawing/2014/main" id="{00000000-0008-0000-2000-0000A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8" name="143 CuadroTexto">
          <a:extLst>
            <a:ext uri="{FF2B5EF4-FFF2-40B4-BE49-F238E27FC236}">
              <a16:creationId xmlns:a16="http://schemas.microsoft.com/office/drawing/2014/main" id="{00000000-0008-0000-2000-0000A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9" name="144 CuadroTexto">
          <a:extLst>
            <a:ext uri="{FF2B5EF4-FFF2-40B4-BE49-F238E27FC236}">
              <a16:creationId xmlns:a16="http://schemas.microsoft.com/office/drawing/2014/main" id="{00000000-0008-0000-2000-0000A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0" name="145 CuadroTexto">
          <a:extLst>
            <a:ext uri="{FF2B5EF4-FFF2-40B4-BE49-F238E27FC236}">
              <a16:creationId xmlns:a16="http://schemas.microsoft.com/office/drawing/2014/main" id="{00000000-0008-0000-2000-0000A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1" name="146 CuadroTexto">
          <a:extLst>
            <a:ext uri="{FF2B5EF4-FFF2-40B4-BE49-F238E27FC236}">
              <a16:creationId xmlns:a16="http://schemas.microsoft.com/office/drawing/2014/main" id="{00000000-0008-0000-2000-0000A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2" name="147 CuadroTexto">
          <a:extLst>
            <a:ext uri="{FF2B5EF4-FFF2-40B4-BE49-F238E27FC236}">
              <a16:creationId xmlns:a16="http://schemas.microsoft.com/office/drawing/2014/main" id="{00000000-0008-0000-2000-0000B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3" name="148 CuadroTexto">
          <a:extLst>
            <a:ext uri="{FF2B5EF4-FFF2-40B4-BE49-F238E27FC236}">
              <a16:creationId xmlns:a16="http://schemas.microsoft.com/office/drawing/2014/main" id="{00000000-0008-0000-2000-0000B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4" name="149 CuadroTexto">
          <a:extLst>
            <a:ext uri="{FF2B5EF4-FFF2-40B4-BE49-F238E27FC236}">
              <a16:creationId xmlns:a16="http://schemas.microsoft.com/office/drawing/2014/main" id="{00000000-0008-0000-2000-0000B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5" name="150 CuadroTexto">
          <a:extLst>
            <a:ext uri="{FF2B5EF4-FFF2-40B4-BE49-F238E27FC236}">
              <a16:creationId xmlns:a16="http://schemas.microsoft.com/office/drawing/2014/main" id="{00000000-0008-0000-2000-0000B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6" name="151 CuadroTexto">
          <a:extLst>
            <a:ext uri="{FF2B5EF4-FFF2-40B4-BE49-F238E27FC236}">
              <a16:creationId xmlns:a16="http://schemas.microsoft.com/office/drawing/2014/main" id="{00000000-0008-0000-2000-0000B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7" name="152 CuadroTexto">
          <a:extLst>
            <a:ext uri="{FF2B5EF4-FFF2-40B4-BE49-F238E27FC236}">
              <a16:creationId xmlns:a16="http://schemas.microsoft.com/office/drawing/2014/main" id="{00000000-0008-0000-2000-0000B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8" name="153 CuadroTexto">
          <a:extLst>
            <a:ext uri="{FF2B5EF4-FFF2-40B4-BE49-F238E27FC236}">
              <a16:creationId xmlns:a16="http://schemas.microsoft.com/office/drawing/2014/main" id="{00000000-0008-0000-2000-0000B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9" name="154 CuadroTexto">
          <a:extLst>
            <a:ext uri="{FF2B5EF4-FFF2-40B4-BE49-F238E27FC236}">
              <a16:creationId xmlns:a16="http://schemas.microsoft.com/office/drawing/2014/main" id="{00000000-0008-0000-2000-0000B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0" name="155 CuadroTexto">
          <a:extLst>
            <a:ext uri="{FF2B5EF4-FFF2-40B4-BE49-F238E27FC236}">
              <a16:creationId xmlns:a16="http://schemas.microsoft.com/office/drawing/2014/main" id="{00000000-0008-0000-2000-0000B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1" name="156 CuadroTexto">
          <a:extLst>
            <a:ext uri="{FF2B5EF4-FFF2-40B4-BE49-F238E27FC236}">
              <a16:creationId xmlns:a16="http://schemas.microsoft.com/office/drawing/2014/main" id="{00000000-0008-0000-2000-0000B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2" name="157 CuadroTexto">
          <a:extLst>
            <a:ext uri="{FF2B5EF4-FFF2-40B4-BE49-F238E27FC236}">
              <a16:creationId xmlns:a16="http://schemas.microsoft.com/office/drawing/2014/main" id="{00000000-0008-0000-2000-0000B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3" name="158 CuadroTexto">
          <a:extLst>
            <a:ext uri="{FF2B5EF4-FFF2-40B4-BE49-F238E27FC236}">
              <a16:creationId xmlns:a16="http://schemas.microsoft.com/office/drawing/2014/main" id="{00000000-0008-0000-2000-0000B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4" name="159 CuadroTexto">
          <a:extLst>
            <a:ext uri="{FF2B5EF4-FFF2-40B4-BE49-F238E27FC236}">
              <a16:creationId xmlns:a16="http://schemas.microsoft.com/office/drawing/2014/main" id="{00000000-0008-0000-2000-0000B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5" name="160 CuadroTexto">
          <a:extLst>
            <a:ext uri="{FF2B5EF4-FFF2-40B4-BE49-F238E27FC236}">
              <a16:creationId xmlns:a16="http://schemas.microsoft.com/office/drawing/2014/main" id="{00000000-0008-0000-2000-0000B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6" name="161 CuadroTexto">
          <a:extLst>
            <a:ext uri="{FF2B5EF4-FFF2-40B4-BE49-F238E27FC236}">
              <a16:creationId xmlns:a16="http://schemas.microsoft.com/office/drawing/2014/main" id="{00000000-0008-0000-2000-0000B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7" name="162 CuadroTexto">
          <a:extLst>
            <a:ext uri="{FF2B5EF4-FFF2-40B4-BE49-F238E27FC236}">
              <a16:creationId xmlns:a16="http://schemas.microsoft.com/office/drawing/2014/main" id="{00000000-0008-0000-2000-0000B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8" name="163 CuadroTexto">
          <a:extLst>
            <a:ext uri="{FF2B5EF4-FFF2-40B4-BE49-F238E27FC236}">
              <a16:creationId xmlns:a16="http://schemas.microsoft.com/office/drawing/2014/main" id="{00000000-0008-0000-2000-0000C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9" name="164 CuadroTexto">
          <a:extLst>
            <a:ext uri="{FF2B5EF4-FFF2-40B4-BE49-F238E27FC236}">
              <a16:creationId xmlns:a16="http://schemas.microsoft.com/office/drawing/2014/main" id="{00000000-0008-0000-2000-0000C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0" name="165 CuadroTexto">
          <a:extLst>
            <a:ext uri="{FF2B5EF4-FFF2-40B4-BE49-F238E27FC236}">
              <a16:creationId xmlns:a16="http://schemas.microsoft.com/office/drawing/2014/main" id="{00000000-0008-0000-2000-0000C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1" name="166 CuadroTexto">
          <a:extLst>
            <a:ext uri="{FF2B5EF4-FFF2-40B4-BE49-F238E27FC236}">
              <a16:creationId xmlns:a16="http://schemas.microsoft.com/office/drawing/2014/main" id="{00000000-0008-0000-2000-0000C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2" name="167 CuadroTexto">
          <a:extLst>
            <a:ext uri="{FF2B5EF4-FFF2-40B4-BE49-F238E27FC236}">
              <a16:creationId xmlns:a16="http://schemas.microsoft.com/office/drawing/2014/main" id="{00000000-0008-0000-2000-0000C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3" name="168 CuadroTexto">
          <a:extLst>
            <a:ext uri="{FF2B5EF4-FFF2-40B4-BE49-F238E27FC236}">
              <a16:creationId xmlns:a16="http://schemas.microsoft.com/office/drawing/2014/main" id="{00000000-0008-0000-2000-0000C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4" name="169 CuadroTexto">
          <a:extLst>
            <a:ext uri="{FF2B5EF4-FFF2-40B4-BE49-F238E27FC236}">
              <a16:creationId xmlns:a16="http://schemas.microsoft.com/office/drawing/2014/main" id="{00000000-0008-0000-2000-0000C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5" name="170 CuadroTexto">
          <a:extLst>
            <a:ext uri="{FF2B5EF4-FFF2-40B4-BE49-F238E27FC236}">
              <a16:creationId xmlns:a16="http://schemas.microsoft.com/office/drawing/2014/main" id="{00000000-0008-0000-2000-0000C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6" name="171 CuadroTexto">
          <a:extLst>
            <a:ext uri="{FF2B5EF4-FFF2-40B4-BE49-F238E27FC236}">
              <a16:creationId xmlns:a16="http://schemas.microsoft.com/office/drawing/2014/main" id="{00000000-0008-0000-2000-0000C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7" name="172 CuadroTexto">
          <a:extLst>
            <a:ext uri="{FF2B5EF4-FFF2-40B4-BE49-F238E27FC236}">
              <a16:creationId xmlns:a16="http://schemas.microsoft.com/office/drawing/2014/main" id="{00000000-0008-0000-2000-0000C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8" name="173 CuadroTexto">
          <a:extLst>
            <a:ext uri="{FF2B5EF4-FFF2-40B4-BE49-F238E27FC236}">
              <a16:creationId xmlns:a16="http://schemas.microsoft.com/office/drawing/2014/main" id="{00000000-0008-0000-2000-0000C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9" name="174 CuadroTexto">
          <a:extLst>
            <a:ext uri="{FF2B5EF4-FFF2-40B4-BE49-F238E27FC236}">
              <a16:creationId xmlns:a16="http://schemas.microsoft.com/office/drawing/2014/main" id="{00000000-0008-0000-2000-0000C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0" name="175 CuadroTexto">
          <a:extLst>
            <a:ext uri="{FF2B5EF4-FFF2-40B4-BE49-F238E27FC236}">
              <a16:creationId xmlns:a16="http://schemas.microsoft.com/office/drawing/2014/main" id="{00000000-0008-0000-2000-0000C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1" name="176 CuadroTexto">
          <a:extLst>
            <a:ext uri="{FF2B5EF4-FFF2-40B4-BE49-F238E27FC236}">
              <a16:creationId xmlns:a16="http://schemas.microsoft.com/office/drawing/2014/main" id="{00000000-0008-0000-2000-0000C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2" name="177 CuadroTexto">
          <a:extLst>
            <a:ext uri="{FF2B5EF4-FFF2-40B4-BE49-F238E27FC236}">
              <a16:creationId xmlns:a16="http://schemas.microsoft.com/office/drawing/2014/main" id="{00000000-0008-0000-2000-0000C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3" name="178 CuadroTexto">
          <a:extLst>
            <a:ext uri="{FF2B5EF4-FFF2-40B4-BE49-F238E27FC236}">
              <a16:creationId xmlns:a16="http://schemas.microsoft.com/office/drawing/2014/main" id="{00000000-0008-0000-2000-0000C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4" name="179 CuadroTexto">
          <a:extLst>
            <a:ext uri="{FF2B5EF4-FFF2-40B4-BE49-F238E27FC236}">
              <a16:creationId xmlns:a16="http://schemas.microsoft.com/office/drawing/2014/main" id="{00000000-0008-0000-2000-0000D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5" name="180 CuadroTexto">
          <a:extLst>
            <a:ext uri="{FF2B5EF4-FFF2-40B4-BE49-F238E27FC236}">
              <a16:creationId xmlns:a16="http://schemas.microsoft.com/office/drawing/2014/main" id="{00000000-0008-0000-2000-0000D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6" name="181 CuadroTexto">
          <a:extLst>
            <a:ext uri="{FF2B5EF4-FFF2-40B4-BE49-F238E27FC236}">
              <a16:creationId xmlns:a16="http://schemas.microsoft.com/office/drawing/2014/main" id="{00000000-0008-0000-2000-0000D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7" name="182 CuadroTexto">
          <a:extLst>
            <a:ext uri="{FF2B5EF4-FFF2-40B4-BE49-F238E27FC236}">
              <a16:creationId xmlns:a16="http://schemas.microsoft.com/office/drawing/2014/main" id="{00000000-0008-0000-2000-0000D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8" name="183 CuadroTexto">
          <a:extLst>
            <a:ext uri="{FF2B5EF4-FFF2-40B4-BE49-F238E27FC236}">
              <a16:creationId xmlns:a16="http://schemas.microsoft.com/office/drawing/2014/main" id="{00000000-0008-0000-2000-0000D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9" name="184 CuadroTexto">
          <a:extLst>
            <a:ext uri="{FF2B5EF4-FFF2-40B4-BE49-F238E27FC236}">
              <a16:creationId xmlns:a16="http://schemas.microsoft.com/office/drawing/2014/main" id="{00000000-0008-0000-2000-0000D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0" name="185 CuadroTexto">
          <a:extLst>
            <a:ext uri="{FF2B5EF4-FFF2-40B4-BE49-F238E27FC236}">
              <a16:creationId xmlns:a16="http://schemas.microsoft.com/office/drawing/2014/main" id="{00000000-0008-0000-2000-0000D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1" name="186 CuadroTexto">
          <a:extLst>
            <a:ext uri="{FF2B5EF4-FFF2-40B4-BE49-F238E27FC236}">
              <a16:creationId xmlns:a16="http://schemas.microsoft.com/office/drawing/2014/main" id="{00000000-0008-0000-2000-0000D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2" name="187 CuadroTexto">
          <a:extLst>
            <a:ext uri="{FF2B5EF4-FFF2-40B4-BE49-F238E27FC236}">
              <a16:creationId xmlns:a16="http://schemas.microsoft.com/office/drawing/2014/main" id="{00000000-0008-0000-2000-0000D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3" name="188 CuadroTexto">
          <a:extLst>
            <a:ext uri="{FF2B5EF4-FFF2-40B4-BE49-F238E27FC236}">
              <a16:creationId xmlns:a16="http://schemas.microsoft.com/office/drawing/2014/main" id="{00000000-0008-0000-2000-0000D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4" name="189 CuadroTexto">
          <a:extLst>
            <a:ext uri="{FF2B5EF4-FFF2-40B4-BE49-F238E27FC236}">
              <a16:creationId xmlns:a16="http://schemas.microsoft.com/office/drawing/2014/main" id="{00000000-0008-0000-2000-0000D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5" name="190 CuadroTexto">
          <a:extLst>
            <a:ext uri="{FF2B5EF4-FFF2-40B4-BE49-F238E27FC236}">
              <a16:creationId xmlns:a16="http://schemas.microsoft.com/office/drawing/2014/main" id="{00000000-0008-0000-2000-0000D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6" name="191 CuadroTexto">
          <a:extLst>
            <a:ext uri="{FF2B5EF4-FFF2-40B4-BE49-F238E27FC236}">
              <a16:creationId xmlns:a16="http://schemas.microsoft.com/office/drawing/2014/main" id="{00000000-0008-0000-2000-0000D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7" name="192 CuadroTexto">
          <a:extLst>
            <a:ext uri="{FF2B5EF4-FFF2-40B4-BE49-F238E27FC236}">
              <a16:creationId xmlns:a16="http://schemas.microsoft.com/office/drawing/2014/main" id="{00000000-0008-0000-2000-0000D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8" name="193 CuadroTexto">
          <a:extLst>
            <a:ext uri="{FF2B5EF4-FFF2-40B4-BE49-F238E27FC236}">
              <a16:creationId xmlns:a16="http://schemas.microsoft.com/office/drawing/2014/main" id="{00000000-0008-0000-2000-0000D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9" name="194 CuadroTexto">
          <a:extLst>
            <a:ext uri="{FF2B5EF4-FFF2-40B4-BE49-F238E27FC236}">
              <a16:creationId xmlns:a16="http://schemas.microsoft.com/office/drawing/2014/main" id="{00000000-0008-0000-2000-0000D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0" name="195 CuadroTexto">
          <a:extLst>
            <a:ext uri="{FF2B5EF4-FFF2-40B4-BE49-F238E27FC236}">
              <a16:creationId xmlns:a16="http://schemas.microsoft.com/office/drawing/2014/main" id="{00000000-0008-0000-2000-0000E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1" name="196 CuadroTexto">
          <a:extLst>
            <a:ext uri="{FF2B5EF4-FFF2-40B4-BE49-F238E27FC236}">
              <a16:creationId xmlns:a16="http://schemas.microsoft.com/office/drawing/2014/main" id="{00000000-0008-0000-2000-0000E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2" name="197 CuadroTexto">
          <a:extLst>
            <a:ext uri="{FF2B5EF4-FFF2-40B4-BE49-F238E27FC236}">
              <a16:creationId xmlns:a16="http://schemas.microsoft.com/office/drawing/2014/main" id="{00000000-0008-0000-2000-0000E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3" name="198 CuadroTexto">
          <a:extLst>
            <a:ext uri="{FF2B5EF4-FFF2-40B4-BE49-F238E27FC236}">
              <a16:creationId xmlns:a16="http://schemas.microsoft.com/office/drawing/2014/main" id="{00000000-0008-0000-2000-0000E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4" name="199 CuadroTexto">
          <a:extLst>
            <a:ext uri="{FF2B5EF4-FFF2-40B4-BE49-F238E27FC236}">
              <a16:creationId xmlns:a16="http://schemas.microsoft.com/office/drawing/2014/main" id="{00000000-0008-0000-2000-0000E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5" name="200 CuadroTexto">
          <a:extLst>
            <a:ext uri="{FF2B5EF4-FFF2-40B4-BE49-F238E27FC236}">
              <a16:creationId xmlns:a16="http://schemas.microsoft.com/office/drawing/2014/main" id="{00000000-0008-0000-2000-0000E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6" name="201 CuadroTexto">
          <a:extLst>
            <a:ext uri="{FF2B5EF4-FFF2-40B4-BE49-F238E27FC236}">
              <a16:creationId xmlns:a16="http://schemas.microsoft.com/office/drawing/2014/main" id="{00000000-0008-0000-2000-0000E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7" name="202 CuadroTexto">
          <a:extLst>
            <a:ext uri="{FF2B5EF4-FFF2-40B4-BE49-F238E27FC236}">
              <a16:creationId xmlns:a16="http://schemas.microsoft.com/office/drawing/2014/main" id="{00000000-0008-0000-2000-0000E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8" name="203 CuadroTexto">
          <a:extLst>
            <a:ext uri="{FF2B5EF4-FFF2-40B4-BE49-F238E27FC236}">
              <a16:creationId xmlns:a16="http://schemas.microsoft.com/office/drawing/2014/main" id="{00000000-0008-0000-2000-0000E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9" name="204 CuadroTexto">
          <a:extLst>
            <a:ext uri="{FF2B5EF4-FFF2-40B4-BE49-F238E27FC236}">
              <a16:creationId xmlns:a16="http://schemas.microsoft.com/office/drawing/2014/main" id="{00000000-0008-0000-2000-0000E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0" name="205 CuadroTexto">
          <a:extLst>
            <a:ext uri="{FF2B5EF4-FFF2-40B4-BE49-F238E27FC236}">
              <a16:creationId xmlns:a16="http://schemas.microsoft.com/office/drawing/2014/main" id="{00000000-0008-0000-2000-0000E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1" name="206 CuadroTexto">
          <a:extLst>
            <a:ext uri="{FF2B5EF4-FFF2-40B4-BE49-F238E27FC236}">
              <a16:creationId xmlns:a16="http://schemas.microsoft.com/office/drawing/2014/main" id="{00000000-0008-0000-2000-0000E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2" name="207 CuadroTexto">
          <a:extLst>
            <a:ext uri="{FF2B5EF4-FFF2-40B4-BE49-F238E27FC236}">
              <a16:creationId xmlns:a16="http://schemas.microsoft.com/office/drawing/2014/main" id="{00000000-0008-0000-2000-0000E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3" name="208 CuadroTexto">
          <a:extLst>
            <a:ext uri="{FF2B5EF4-FFF2-40B4-BE49-F238E27FC236}">
              <a16:creationId xmlns:a16="http://schemas.microsoft.com/office/drawing/2014/main" id="{00000000-0008-0000-2000-0000E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4" name="209 CuadroTexto">
          <a:extLst>
            <a:ext uri="{FF2B5EF4-FFF2-40B4-BE49-F238E27FC236}">
              <a16:creationId xmlns:a16="http://schemas.microsoft.com/office/drawing/2014/main" id="{00000000-0008-0000-2000-0000E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5" name="210 CuadroTexto">
          <a:extLst>
            <a:ext uri="{FF2B5EF4-FFF2-40B4-BE49-F238E27FC236}">
              <a16:creationId xmlns:a16="http://schemas.microsoft.com/office/drawing/2014/main" id="{00000000-0008-0000-2000-0000E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6" name="211 CuadroTexto">
          <a:extLst>
            <a:ext uri="{FF2B5EF4-FFF2-40B4-BE49-F238E27FC236}">
              <a16:creationId xmlns:a16="http://schemas.microsoft.com/office/drawing/2014/main" id="{00000000-0008-0000-2000-0000F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7" name="212 CuadroTexto">
          <a:extLst>
            <a:ext uri="{FF2B5EF4-FFF2-40B4-BE49-F238E27FC236}">
              <a16:creationId xmlns:a16="http://schemas.microsoft.com/office/drawing/2014/main" id="{00000000-0008-0000-2000-0000F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8" name="213 CuadroTexto">
          <a:extLst>
            <a:ext uri="{FF2B5EF4-FFF2-40B4-BE49-F238E27FC236}">
              <a16:creationId xmlns:a16="http://schemas.microsoft.com/office/drawing/2014/main" id="{00000000-0008-0000-2000-0000F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9" name="214 CuadroTexto">
          <a:extLst>
            <a:ext uri="{FF2B5EF4-FFF2-40B4-BE49-F238E27FC236}">
              <a16:creationId xmlns:a16="http://schemas.microsoft.com/office/drawing/2014/main" id="{00000000-0008-0000-2000-0000F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0" name="215 CuadroTexto">
          <a:extLst>
            <a:ext uri="{FF2B5EF4-FFF2-40B4-BE49-F238E27FC236}">
              <a16:creationId xmlns:a16="http://schemas.microsoft.com/office/drawing/2014/main" id="{00000000-0008-0000-2000-0000F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1" name="216 CuadroTexto">
          <a:extLst>
            <a:ext uri="{FF2B5EF4-FFF2-40B4-BE49-F238E27FC236}">
              <a16:creationId xmlns:a16="http://schemas.microsoft.com/office/drawing/2014/main" id="{00000000-0008-0000-2000-0000F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2" name="217 CuadroTexto">
          <a:extLst>
            <a:ext uri="{FF2B5EF4-FFF2-40B4-BE49-F238E27FC236}">
              <a16:creationId xmlns:a16="http://schemas.microsoft.com/office/drawing/2014/main" id="{00000000-0008-0000-2000-0000F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3" name="218 CuadroTexto">
          <a:extLst>
            <a:ext uri="{FF2B5EF4-FFF2-40B4-BE49-F238E27FC236}">
              <a16:creationId xmlns:a16="http://schemas.microsoft.com/office/drawing/2014/main" id="{00000000-0008-0000-2000-0000F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4" name="219 CuadroTexto">
          <a:extLst>
            <a:ext uri="{FF2B5EF4-FFF2-40B4-BE49-F238E27FC236}">
              <a16:creationId xmlns:a16="http://schemas.microsoft.com/office/drawing/2014/main" id="{00000000-0008-0000-2000-0000F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5" name="220 CuadroTexto">
          <a:extLst>
            <a:ext uri="{FF2B5EF4-FFF2-40B4-BE49-F238E27FC236}">
              <a16:creationId xmlns:a16="http://schemas.microsoft.com/office/drawing/2014/main" id="{00000000-0008-0000-2000-0000F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6" name="221 CuadroTexto">
          <a:extLst>
            <a:ext uri="{FF2B5EF4-FFF2-40B4-BE49-F238E27FC236}">
              <a16:creationId xmlns:a16="http://schemas.microsoft.com/office/drawing/2014/main" id="{00000000-0008-0000-2000-0000F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7" name="222 CuadroTexto">
          <a:extLst>
            <a:ext uri="{FF2B5EF4-FFF2-40B4-BE49-F238E27FC236}">
              <a16:creationId xmlns:a16="http://schemas.microsoft.com/office/drawing/2014/main" id="{00000000-0008-0000-2000-0000F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8" name="223 CuadroTexto">
          <a:extLst>
            <a:ext uri="{FF2B5EF4-FFF2-40B4-BE49-F238E27FC236}">
              <a16:creationId xmlns:a16="http://schemas.microsoft.com/office/drawing/2014/main" id="{00000000-0008-0000-2000-0000F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9" name="224 CuadroTexto">
          <a:extLst>
            <a:ext uri="{FF2B5EF4-FFF2-40B4-BE49-F238E27FC236}">
              <a16:creationId xmlns:a16="http://schemas.microsoft.com/office/drawing/2014/main" id="{00000000-0008-0000-2000-0000F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0" name="225 CuadroTexto">
          <a:extLst>
            <a:ext uri="{FF2B5EF4-FFF2-40B4-BE49-F238E27FC236}">
              <a16:creationId xmlns:a16="http://schemas.microsoft.com/office/drawing/2014/main" id="{00000000-0008-0000-2000-0000F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1" name="226 CuadroTexto">
          <a:extLst>
            <a:ext uri="{FF2B5EF4-FFF2-40B4-BE49-F238E27FC236}">
              <a16:creationId xmlns:a16="http://schemas.microsoft.com/office/drawing/2014/main" id="{00000000-0008-0000-2000-0000F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2" name="227 CuadroTexto">
          <a:extLst>
            <a:ext uri="{FF2B5EF4-FFF2-40B4-BE49-F238E27FC236}">
              <a16:creationId xmlns:a16="http://schemas.microsoft.com/office/drawing/2014/main" id="{00000000-0008-0000-2000-00000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3" name="228 CuadroTexto">
          <a:extLst>
            <a:ext uri="{FF2B5EF4-FFF2-40B4-BE49-F238E27FC236}">
              <a16:creationId xmlns:a16="http://schemas.microsoft.com/office/drawing/2014/main" id="{00000000-0008-0000-2000-00000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4" name="229 CuadroTexto">
          <a:extLst>
            <a:ext uri="{FF2B5EF4-FFF2-40B4-BE49-F238E27FC236}">
              <a16:creationId xmlns:a16="http://schemas.microsoft.com/office/drawing/2014/main" id="{00000000-0008-0000-2000-00000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5" name="230 CuadroTexto">
          <a:extLst>
            <a:ext uri="{FF2B5EF4-FFF2-40B4-BE49-F238E27FC236}">
              <a16:creationId xmlns:a16="http://schemas.microsoft.com/office/drawing/2014/main" id="{00000000-0008-0000-2000-00000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6" name="231 CuadroTexto">
          <a:extLst>
            <a:ext uri="{FF2B5EF4-FFF2-40B4-BE49-F238E27FC236}">
              <a16:creationId xmlns:a16="http://schemas.microsoft.com/office/drawing/2014/main" id="{00000000-0008-0000-2000-00000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7" name="232 CuadroTexto">
          <a:extLst>
            <a:ext uri="{FF2B5EF4-FFF2-40B4-BE49-F238E27FC236}">
              <a16:creationId xmlns:a16="http://schemas.microsoft.com/office/drawing/2014/main" id="{00000000-0008-0000-2000-00000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8" name="233 CuadroTexto">
          <a:extLst>
            <a:ext uri="{FF2B5EF4-FFF2-40B4-BE49-F238E27FC236}">
              <a16:creationId xmlns:a16="http://schemas.microsoft.com/office/drawing/2014/main" id="{00000000-0008-0000-2000-00000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9" name="234 CuadroTexto">
          <a:extLst>
            <a:ext uri="{FF2B5EF4-FFF2-40B4-BE49-F238E27FC236}">
              <a16:creationId xmlns:a16="http://schemas.microsoft.com/office/drawing/2014/main" id="{00000000-0008-0000-2000-00000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0" name="235 CuadroTexto">
          <a:extLst>
            <a:ext uri="{FF2B5EF4-FFF2-40B4-BE49-F238E27FC236}">
              <a16:creationId xmlns:a16="http://schemas.microsoft.com/office/drawing/2014/main" id="{00000000-0008-0000-2000-00000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1" name="236 CuadroTexto">
          <a:extLst>
            <a:ext uri="{FF2B5EF4-FFF2-40B4-BE49-F238E27FC236}">
              <a16:creationId xmlns:a16="http://schemas.microsoft.com/office/drawing/2014/main" id="{00000000-0008-0000-2000-00000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2" name="237 CuadroTexto">
          <a:extLst>
            <a:ext uri="{FF2B5EF4-FFF2-40B4-BE49-F238E27FC236}">
              <a16:creationId xmlns:a16="http://schemas.microsoft.com/office/drawing/2014/main" id="{00000000-0008-0000-2000-00000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3" name="238 CuadroTexto">
          <a:extLst>
            <a:ext uri="{FF2B5EF4-FFF2-40B4-BE49-F238E27FC236}">
              <a16:creationId xmlns:a16="http://schemas.microsoft.com/office/drawing/2014/main" id="{00000000-0008-0000-2000-00000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4" name="239 CuadroTexto">
          <a:extLst>
            <a:ext uri="{FF2B5EF4-FFF2-40B4-BE49-F238E27FC236}">
              <a16:creationId xmlns:a16="http://schemas.microsoft.com/office/drawing/2014/main" id="{00000000-0008-0000-2000-00000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5" name="240 CuadroTexto">
          <a:extLst>
            <a:ext uri="{FF2B5EF4-FFF2-40B4-BE49-F238E27FC236}">
              <a16:creationId xmlns:a16="http://schemas.microsoft.com/office/drawing/2014/main" id="{00000000-0008-0000-2000-00000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6" name="241 CuadroTexto">
          <a:extLst>
            <a:ext uri="{FF2B5EF4-FFF2-40B4-BE49-F238E27FC236}">
              <a16:creationId xmlns:a16="http://schemas.microsoft.com/office/drawing/2014/main" id="{00000000-0008-0000-2000-00000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7" name="242 CuadroTexto">
          <a:extLst>
            <a:ext uri="{FF2B5EF4-FFF2-40B4-BE49-F238E27FC236}">
              <a16:creationId xmlns:a16="http://schemas.microsoft.com/office/drawing/2014/main" id="{00000000-0008-0000-2000-00000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8" name="243 CuadroTexto">
          <a:extLst>
            <a:ext uri="{FF2B5EF4-FFF2-40B4-BE49-F238E27FC236}">
              <a16:creationId xmlns:a16="http://schemas.microsoft.com/office/drawing/2014/main" id="{00000000-0008-0000-2000-00001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9" name="244 CuadroTexto">
          <a:extLst>
            <a:ext uri="{FF2B5EF4-FFF2-40B4-BE49-F238E27FC236}">
              <a16:creationId xmlns:a16="http://schemas.microsoft.com/office/drawing/2014/main" id="{00000000-0008-0000-2000-00001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0" name="245 CuadroTexto">
          <a:extLst>
            <a:ext uri="{FF2B5EF4-FFF2-40B4-BE49-F238E27FC236}">
              <a16:creationId xmlns:a16="http://schemas.microsoft.com/office/drawing/2014/main" id="{00000000-0008-0000-2000-00001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1" name="246 CuadroTexto">
          <a:extLst>
            <a:ext uri="{FF2B5EF4-FFF2-40B4-BE49-F238E27FC236}">
              <a16:creationId xmlns:a16="http://schemas.microsoft.com/office/drawing/2014/main" id="{00000000-0008-0000-2000-00001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2" name="247 CuadroTexto">
          <a:extLst>
            <a:ext uri="{FF2B5EF4-FFF2-40B4-BE49-F238E27FC236}">
              <a16:creationId xmlns:a16="http://schemas.microsoft.com/office/drawing/2014/main" id="{00000000-0008-0000-2000-00001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3" name="248 CuadroTexto">
          <a:extLst>
            <a:ext uri="{FF2B5EF4-FFF2-40B4-BE49-F238E27FC236}">
              <a16:creationId xmlns:a16="http://schemas.microsoft.com/office/drawing/2014/main" id="{00000000-0008-0000-2000-00001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4" name="249 CuadroTexto">
          <a:extLst>
            <a:ext uri="{FF2B5EF4-FFF2-40B4-BE49-F238E27FC236}">
              <a16:creationId xmlns:a16="http://schemas.microsoft.com/office/drawing/2014/main" id="{00000000-0008-0000-2000-00001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5" name="250 CuadroTexto">
          <a:extLst>
            <a:ext uri="{FF2B5EF4-FFF2-40B4-BE49-F238E27FC236}">
              <a16:creationId xmlns:a16="http://schemas.microsoft.com/office/drawing/2014/main" id="{00000000-0008-0000-2000-00001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6" name="251 CuadroTexto">
          <a:extLst>
            <a:ext uri="{FF2B5EF4-FFF2-40B4-BE49-F238E27FC236}">
              <a16:creationId xmlns:a16="http://schemas.microsoft.com/office/drawing/2014/main" id="{00000000-0008-0000-2000-00001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7" name="252 CuadroTexto">
          <a:extLst>
            <a:ext uri="{FF2B5EF4-FFF2-40B4-BE49-F238E27FC236}">
              <a16:creationId xmlns:a16="http://schemas.microsoft.com/office/drawing/2014/main" id="{00000000-0008-0000-2000-00001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8" name="253 CuadroTexto">
          <a:extLst>
            <a:ext uri="{FF2B5EF4-FFF2-40B4-BE49-F238E27FC236}">
              <a16:creationId xmlns:a16="http://schemas.microsoft.com/office/drawing/2014/main" id="{00000000-0008-0000-2000-00001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9" name="254 CuadroTexto">
          <a:extLst>
            <a:ext uri="{FF2B5EF4-FFF2-40B4-BE49-F238E27FC236}">
              <a16:creationId xmlns:a16="http://schemas.microsoft.com/office/drawing/2014/main" id="{00000000-0008-0000-2000-00001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0" name="255 CuadroTexto">
          <a:extLst>
            <a:ext uri="{FF2B5EF4-FFF2-40B4-BE49-F238E27FC236}">
              <a16:creationId xmlns:a16="http://schemas.microsoft.com/office/drawing/2014/main" id="{00000000-0008-0000-2000-00001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1" name="256 CuadroTexto">
          <a:extLst>
            <a:ext uri="{FF2B5EF4-FFF2-40B4-BE49-F238E27FC236}">
              <a16:creationId xmlns:a16="http://schemas.microsoft.com/office/drawing/2014/main" id="{00000000-0008-0000-2000-00001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2" name="257 CuadroTexto">
          <a:extLst>
            <a:ext uri="{FF2B5EF4-FFF2-40B4-BE49-F238E27FC236}">
              <a16:creationId xmlns:a16="http://schemas.microsoft.com/office/drawing/2014/main" id="{00000000-0008-0000-2000-00001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3" name="258 CuadroTexto">
          <a:extLst>
            <a:ext uri="{FF2B5EF4-FFF2-40B4-BE49-F238E27FC236}">
              <a16:creationId xmlns:a16="http://schemas.microsoft.com/office/drawing/2014/main" id="{00000000-0008-0000-2000-00001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4" name="259 CuadroTexto">
          <a:extLst>
            <a:ext uri="{FF2B5EF4-FFF2-40B4-BE49-F238E27FC236}">
              <a16:creationId xmlns:a16="http://schemas.microsoft.com/office/drawing/2014/main" id="{00000000-0008-0000-2000-00002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5" name="260 CuadroTexto">
          <a:extLst>
            <a:ext uri="{FF2B5EF4-FFF2-40B4-BE49-F238E27FC236}">
              <a16:creationId xmlns:a16="http://schemas.microsoft.com/office/drawing/2014/main" id="{00000000-0008-0000-2000-00002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6" name="261 CuadroTexto">
          <a:extLst>
            <a:ext uri="{FF2B5EF4-FFF2-40B4-BE49-F238E27FC236}">
              <a16:creationId xmlns:a16="http://schemas.microsoft.com/office/drawing/2014/main" id="{00000000-0008-0000-2000-00002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7" name="262 CuadroTexto">
          <a:extLst>
            <a:ext uri="{FF2B5EF4-FFF2-40B4-BE49-F238E27FC236}">
              <a16:creationId xmlns:a16="http://schemas.microsoft.com/office/drawing/2014/main" id="{00000000-0008-0000-2000-00002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8" name="263 CuadroTexto">
          <a:extLst>
            <a:ext uri="{FF2B5EF4-FFF2-40B4-BE49-F238E27FC236}">
              <a16:creationId xmlns:a16="http://schemas.microsoft.com/office/drawing/2014/main" id="{00000000-0008-0000-2000-00002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9" name="264 CuadroTexto">
          <a:extLst>
            <a:ext uri="{FF2B5EF4-FFF2-40B4-BE49-F238E27FC236}">
              <a16:creationId xmlns:a16="http://schemas.microsoft.com/office/drawing/2014/main" id="{00000000-0008-0000-2000-00002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0" name="265 CuadroTexto">
          <a:extLst>
            <a:ext uri="{FF2B5EF4-FFF2-40B4-BE49-F238E27FC236}">
              <a16:creationId xmlns:a16="http://schemas.microsoft.com/office/drawing/2014/main" id="{00000000-0008-0000-2000-00002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1" name="266 CuadroTexto">
          <a:extLst>
            <a:ext uri="{FF2B5EF4-FFF2-40B4-BE49-F238E27FC236}">
              <a16:creationId xmlns:a16="http://schemas.microsoft.com/office/drawing/2014/main" id="{00000000-0008-0000-2000-00002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2" name="267 CuadroTexto">
          <a:extLst>
            <a:ext uri="{FF2B5EF4-FFF2-40B4-BE49-F238E27FC236}">
              <a16:creationId xmlns:a16="http://schemas.microsoft.com/office/drawing/2014/main" id="{00000000-0008-0000-2000-00002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833" name="268 CuadroTexto">
          <a:extLst>
            <a:ext uri="{FF2B5EF4-FFF2-40B4-BE49-F238E27FC236}">
              <a16:creationId xmlns:a16="http://schemas.microsoft.com/office/drawing/2014/main" id="{00000000-0008-0000-2000-00002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4" name="269 CuadroTexto">
          <a:extLst>
            <a:ext uri="{FF2B5EF4-FFF2-40B4-BE49-F238E27FC236}">
              <a16:creationId xmlns:a16="http://schemas.microsoft.com/office/drawing/2014/main" id="{00000000-0008-0000-2000-00002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5" name="270 CuadroTexto">
          <a:extLst>
            <a:ext uri="{FF2B5EF4-FFF2-40B4-BE49-F238E27FC236}">
              <a16:creationId xmlns:a16="http://schemas.microsoft.com/office/drawing/2014/main" id="{00000000-0008-0000-2000-00002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6" name="271 CuadroTexto">
          <a:extLst>
            <a:ext uri="{FF2B5EF4-FFF2-40B4-BE49-F238E27FC236}">
              <a16:creationId xmlns:a16="http://schemas.microsoft.com/office/drawing/2014/main" id="{00000000-0008-0000-2000-00002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7" name="272 CuadroTexto">
          <a:extLst>
            <a:ext uri="{FF2B5EF4-FFF2-40B4-BE49-F238E27FC236}">
              <a16:creationId xmlns:a16="http://schemas.microsoft.com/office/drawing/2014/main" id="{00000000-0008-0000-2000-00002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8" name="273 CuadroTexto">
          <a:extLst>
            <a:ext uri="{FF2B5EF4-FFF2-40B4-BE49-F238E27FC236}">
              <a16:creationId xmlns:a16="http://schemas.microsoft.com/office/drawing/2014/main" id="{00000000-0008-0000-2000-00002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9" name="274 CuadroTexto">
          <a:extLst>
            <a:ext uri="{FF2B5EF4-FFF2-40B4-BE49-F238E27FC236}">
              <a16:creationId xmlns:a16="http://schemas.microsoft.com/office/drawing/2014/main" id="{00000000-0008-0000-2000-00002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0" name="275 CuadroTexto">
          <a:extLst>
            <a:ext uri="{FF2B5EF4-FFF2-40B4-BE49-F238E27FC236}">
              <a16:creationId xmlns:a16="http://schemas.microsoft.com/office/drawing/2014/main" id="{00000000-0008-0000-2000-00003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1" name="276 CuadroTexto">
          <a:extLst>
            <a:ext uri="{FF2B5EF4-FFF2-40B4-BE49-F238E27FC236}">
              <a16:creationId xmlns:a16="http://schemas.microsoft.com/office/drawing/2014/main" id="{00000000-0008-0000-2000-00003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2" name="277 CuadroTexto">
          <a:extLst>
            <a:ext uri="{FF2B5EF4-FFF2-40B4-BE49-F238E27FC236}">
              <a16:creationId xmlns:a16="http://schemas.microsoft.com/office/drawing/2014/main" id="{00000000-0008-0000-2000-00003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3" name="278 CuadroTexto">
          <a:extLst>
            <a:ext uri="{FF2B5EF4-FFF2-40B4-BE49-F238E27FC236}">
              <a16:creationId xmlns:a16="http://schemas.microsoft.com/office/drawing/2014/main" id="{00000000-0008-0000-2000-00003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4" name="279 CuadroTexto">
          <a:extLst>
            <a:ext uri="{FF2B5EF4-FFF2-40B4-BE49-F238E27FC236}">
              <a16:creationId xmlns:a16="http://schemas.microsoft.com/office/drawing/2014/main" id="{00000000-0008-0000-2000-00003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5" name="280 CuadroTexto">
          <a:extLst>
            <a:ext uri="{FF2B5EF4-FFF2-40B4-BE49-F238E27FC236}">
              <a16:creationId xmlns:a16="http://schemas.microsoft.com/office/drawing/2014/main" id="{00000000-0008-0000-2000-00003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6" name="281 CuadroTexto">
          <a:extLst>
            <a:ext uri="{FF2B5EF4-FFF2-40B4-BE49-F238E27FC236}">
              <a16:creationId xmlns:a16="http://schemas.microsoft.com/office/drawing/2014/main" id="{00000000-0008-0000-2000-00003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7" name="282 CuadroTexto">
          <a:extLst>
            <a:ext uri="{FF2B5EF4-FFF2-40B4-BE49-F238E27FC236}">
              <a16:creationId xmlns:a16="http://schemas.microsoft.com/office/drawing/2014/main" id="{00000000-0008-0000-2000-00003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8" name="283 CuadroTexto">
          <a:extLst>
            <a:ext uri="{FF2B5EF4-FFF2-40B4-BE49-F238E27FC236}">
              <a16:creationId xmlns:a16="http://schemas.microsoft.com/office/drawing/2014/main" id="{00000000-0008-0000-2000-00003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9" name="284 CuadroTexto">
          <a:extLst>
            <a:ext uri="{FF2B5EF4-FFF2-40B4-BE49-F238E27FC236}">
              <a16:creationId xmlns:a16="http://schemas.microsoft.com/office/drawing/2014/main" id="{00000000-0008-0000-2000-00003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50" name="285 CuadroTexto">
          <a:extLst>
            <a:ext uri="{FF2B5EF4-FFF2-40B4-BE49-F238E27FC236}">
              <a16:creationId xmlns:a16="http://schemas.microsoft.com/office/drawing/2014/main" id="{00000000-0008-0000-2000-00003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1" name="286 CuadroTexto">
          <a:extLst>
            <a:ext uri="{FF2B5EF4-FFF2-40B4-BE49-F238E27FC236}">
              <a16:creationId xmlns:a16="http://schemas.microsoft.com/office/drawing/2014/main" id="{00000000-0008-0000-2000-00003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2" name="287 CuadroTexto">
          <a:extLst>
            <a:ext uri="{FF2B5EF4-FFF2-40B4-BE49-F238E27FC236}">
              <a16:creationId xmlns:a16="http://schemas.microsoft.com/office/drawing/2014/main" id="{00000000-0008-0000-2000-00003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3" name="288 CuadroTexto">
          <a:extLst>
            <a:ext uri="{FF2B5EF4-FFF2-40B4-BE49-F238E27FC236}">
              <a16:creationId xmlns:a16="http://schemas.microsoft.com/office/drawing/2014/main" id="{00000000-0008-0000-2000-00003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4" name="289 CuadroTexto">
          <a:extLst>
            <a:ext uri="{FF2B5EF4-FFF2-40B4-BE49-F238E27FC236}">
              <a16:creationId xmlns:a16="http://schemas.microsoft.com/office/drawing/2014/main" id="{00000000-0008-0000-2000-00003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5" name="290 CuadroTexto">
          <a:extLst>
            <a:ext uri="{FF2B5EF4-FFF2-40B4-BE49-F238E27FC236}">
              <a16:creationId xmlns:a16="http://schemas.microsoft.com/office/drawing/2014/main" id="{00000000-0008-0000-2000-00003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6" name="291 CuadroTexto">
          <a:extLst>
            <a:ext uri="{FF2B5EF4-FFF2-40B4-BE49-F238E27FC236}">
              <a16:creationId xmlns:a16="http://schemas.microsoft.com/office/drawing/2014/main" id="{00000000-0008-0000-2000-00004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7" name="292 CuadroTexto">
          <a:extLst>
            <a:ext uri="{FF2B5EF4-FFF2-40B4-BE49-F238E27FC236}">
              <a16:creationId xmlns:a16="http://schemas.microsoft.com/office/drawing/2014/main" id="{00000000-0008-0000-2000-00004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8" name="293 CuadroTexto">
          <a:extLst>
            <a:ext uri="{FF2B5EF4-FFF2-40B4-BE49-F238E27FC236}">
              <a16:creationId xmlns:a16="http://schemas.microsoft.com/office/drawing/2014/main" id="{00000000-0008-0000-2000-00004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9" name="294 CuadroTexto">
          <a:extLst>
            <a:ext uri="{FF2B5EF4-FFF2-40B4-BE49-F238E27FC236}">
              <a16:creationId xmlns:a16="http://schemas.microsoft.com/office/drawing/2014/main" id="{00000000-0008-0000-2000-00004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0" name="295 CuadroTexto">
          <a:extLst>
            <a:ext uri="{FF2B5EF4-FFF2-40B4-BE49-F238E27FC236}">
              <a16:creationId xmlns:a16="http://schemas.microsoft.com/office/drawing/2014/main" id="{00000000-0008-0000-2000-00004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1" name="296 CuadroTexto">
          <a:extLst>
            <a:ext uri="{FF2B5EF4-FFF2-40B4-BE49-F238E27FC236}">
              <a16:creationId xmlns:a16="http://schemas.microsoft.com/office/drawing/2014/main" id="{00000000-0008-0000-2000-00004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862" name="301 CuadroTexto">
          <a:extLst>
            <a:ext uri="{FF2B5EF4-FFF2-40B4-BE49-F238E27FC236}">
              <a16:creationId xmlns:a16="http://schemas.microsoft.com/office/drawing/2014/main" id="{00000000-0008-0000-2000-00004607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3" name="17 CuadroTexto">
          <a:extLst>
            <a:ext uri="{FF2B5EF4-FFF2-40B4-BE49-F238E27FC236}">
              <a16:creationId xmlns:a16="http://schemas.microsoft.com/office/drawing/2014/main" id="{00000000-0008-0000-2000-00004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864" name="90 CuadroTexto">
          <a:extLst>
            <a:ext uri="{FF2B5EF4-FFF2-40B4-BE49-F238E27FC236}">
              <a16:creationId xmlns:a16="http://schemas.microsoft.com/office/drawing/2014/main" id="{00000000-0008-0000-2000-000048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5" name="91 CuadroTexto">
          <a:extLst>
            <a:ext uri="{FF2B5EF4-FFF2-40B4-BE49-F238E27FC236}">
              <a16:creationId xmlns:a16="http://schemas.microsoft.com/office/drawing/2014/main" id="{00000000-0008-0000-2000-000049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6" name="92 CuadroTexto">
          <a:extLst>
            <a:ext uri="{FF2B5EF4-FFF2-40B4-BE49-F238E27FC236}">
              <a16:creationId xmlns:a16="http://schemas.microsoft.com/office/drawing/2014/main" id="{00000000-0008-0000-2000-00004A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7" name="93 CuadroTexto">
          <a:extLst>
            <a:ext uri="{FF2B5EF4-FFF2-40B4-BE49-F238E27FC236}">
              <a16:creationId xmlns:a16="http://schemas.microsoft.com/office/drawing/2014/main" id="{00000000-0008-0000-2000-00004B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8" name="94 CuadroTexto">
          <a:extLst>
            <a:ext uri="{FF2B5EF4-FFF2-40B4-BE49-F238E27FC236}">
              <a16:creationId xmlns:a16="http://schemas.microsoft.com/office/drawing/2014/main" id="{00000000-0008-0000-2000-00004C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9" name="95 CuadroTexto">
          <a:extLst>
            <a:ext uri="{FF2B5EF4-FFF2-40B4-BE49-F238E27FC236}">
              <a16:creationId xmlns:a16="http://schemas.microsoft.com/office/drawing/2014/main" id="{00000000-0008-0000-2000-00004D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0" name="96 CuadroTexto">
          <a:extLst>
            <a:ext uri="{FF2B5EF4-FFF2-40B4-BE49-F238E27FC236}">
              <a16:creationId xmlns:a16="http://schemas.microsoft.com/office/drawing/2014/main" id="{00000000-0008-0000-2000-00004E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1" name="97 CuadroTexto">
          <a:extLst>
            <a:ext uri="{FF2B5EF4-FFF2-40B4-BE49-F238E27FC236}">
              <a16:creationId xmlns:a16="http://schemas.microsoft.com/office/drawing/2014/main" id="{00000000-0008-0000-2000-00004F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2" name="98 CuadroTexto">
          <a:extLst>
            <a:ext uri="{FF2B5EF4-FFF2-40B4-BE49-F238E27FC236}">
              <a16:creationId xmlns:a16="http://schemas.microsoft.com/office/drawing/2014/main" id="{00000000-0008-0000-2000-000050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3" name="99 CuadroTexto">
          <a:extLst>
            <a:ext uri="{FF2B5EF4-FFF2-40B4-BE49-F238E27FC236}">
              <a16:creationId xmlns:a16="http://schemas.microsoft.com/office/drawing/2014/main" id="{00000000-0008-0000-2000-000051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4" name="100 CuadroTexto">
          <a:extLst>
            <a:ext uri="{FF2B5EF4-FFF2-40B4-BE49-F238E27FC236}">
              <a16:creationId xmlns:a16="http://schemas.microsoft.com/office/drawing/2014/main" id="{00000000-0008-0000-2000-000052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5" name="101 CuadroTexto">
          <a:extLst>
            <a:ext uri="{FF2B5EF4-FFF2-40B4-BE49-F238E27FC236}">
              <a16:creationId xmlns:a16="http://schemas.microsoft.com/office/drawing/2014/main" id="{00000000-0008-0000-2000-000053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76" name="118 CuadroTexto">
          <a:extLst>
            <a:ext uri="{FF2B5EF4-FFF2-40B4-BE49-F238E27FC236}">
              <a16:creationId xmlns:a16="http://schemas.microsoft.com/office/drawing/2014/main" id="{00000000-0008-0000-2000-00005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7" name="119 CuadroTexto">
          <a:extLst>
            <a:ext uri="{FF2B5EF4-FFF2-40B4-BE49-F238E27FC236}">
              <a16:creationId xmlns:a16="http://schemas.microsoft.com/office/drawing/2014/main" id="{00000000-0008-0000-2000-00005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8" name="120 CuadroTexto">
          <a:extLst>
            <a:ext uri="{FF2B5EF4-FFF2-40B4-BE49-F238E27FC236}">
              <a16:creationId xmlns:a16="http://schemas.microsoft.com/office/drawing/2014/main" id="{00000000-0008-0000-2000-00005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9" name="121 CuadroTexto">
          <a:extLst>
            <a:ext uri="{FF2B5EF4-FFF2-40B4-BE49-F238E27FC236}">
              <a16:creationId xmlns:a16="http://schemas.microsoft.com/office/drawing/2014/main" id="{00000000-0008-0000-2000-00005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0" name="122 CuadroTexto">
          <a:extLst>
            <a:ext uri="{FF2B5EF4-FFF2-40B4-BE49-F238E27FC236}">
              <a16:creationId xmlns:a16="http://schemas.microsoft.com/office/drawing/2014/main" id="{00000000-0008-0000-2000-00005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1" name="123 CuadroTexto">
          <a:extLst>
            <a:ext uri="{FF2B5EF4-FFF2-40B4-BE49-F238E27FC236}">
              <a16:creationId xmlns:a16="http://schemas.microsoft.com/office/drawing/2014/main" id="{00000000-0008-0000-2000-00005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2" name="124 CuadroTexto">
          <a:extLst>
            <a:ext uri="{FF2B5EF4-FFF2-40B4-BE49-F238E27FC236}">
              <a16:creationId xmlns:a16="http://schemas.microsoft.com/office/drawing/2014/main" id="{00000000-0008-0000-2000-00005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3" name="125 CuadroTexto">
          <a:extLst>
            <a:ext uri="{FF2B5EF4-FFF2-40B4-BE49-F238E27FC236}">
              <a16:creationId xmlns:a16="http://schemas.microsoft.com/office/drawing/2014/main" id="{00000000-0008-0000-2000-00005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4" name="143 CuadroTexto">
          <a:extLst>
            <a:ext uri="{FF2B5EF4-FFF2-40B4-BE49-F238E27FC236}">
              <a16:creationId xmlns:a16="http://schemas.microsoft.com/office/drawing/2014/main" id="{00000000-0008-0000-2000-00005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5" name="144 CuadroTexto">
          <a:extLst>
            <a:ext uri="{FF2B5EF4-FFF2-40B4-BE49-F238E27FC236}">
              <a16:creationId xmlns:a16="http://schemas.microsoft.com/office/drawing/2014/main" id="{00000000-0008-0000-2000-00005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6" name="145 CuadroTexto">
          <a:extLst>
            <a:ext uri="{FF2B5EF4-FFF2-40B4-BE49-F238E27FC236}">
              <a16:creationId xmlns:a16="http://schemas.microsoft.com/office/drawing/2014/main" id="{00000000-0008-0000-2000-00005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7" name="146 CuadroTexto">
          <a:extLst>
            <a:ext uri="{FF2B5EF4-FFF2-40B4-BE49-F238E27FC236}">
              <a16:creationId xmlns:a16="http://schemas.microsoft.com/office/drawing/2014/main" id="{00000000-0008-0000-2000-00005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8" name="147 CuadroTexto">
          <a:extLst>
            <a:ext uri="{FF2B5EF4-FFF2-40B4-BE49-F238E27FC236}">
              <a16:creationId xmlns:a16="http://schemas.microsoft.com/office/drawing/2014/main" id="{00000000-0008-0000-2000-00006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9" name="148 CuadroTexto">
          <a:extLst>
            <a:ext uri="{FF2B5EF4-FFF2-40B4-BE49-F238E27FC236}">
              <a16:creationId xmlns:a16="http://schemas.microsoft.com/office/drawing/2014/main" id="{00000000-0008-0000-2000-00006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0" name="149 CuadroTexto">
          <a:extLst>
            <a:ext uri="{FF2B5EF4-FFF2-40B4-BE49-F238E27FC236}">
              <a16:creationId xmlns:a16="http://schemas.microsoft.com/office/drawing/2014/main" id="{00000000-0008-0000-2000-00006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1" name="150 CuadroTexto">
          <a:extLst>
            <a:ext uri="{FF2B5EF4-FFF2-40B4-BE49-F238E27FC236}">
              <a16:creationId xmlns:a16="http://schemas.microsoft.com/office/drawing/2014/main" id="{00000000-0008-0000-2000-00006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2" name="151 CuadroTexto">
          <a:extLst>
            <a:ext uri="{FF2B5EF4-FFF2-40B4-BE49-F238E27FC236}">
              <a16:creationId xmlns:a16="http://schemas.microsoft.com/office/drawing/2014/main" id="{00000000-0008-0000-2000-00006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3" name="152 CuadroTexto">
          <a:extLst>
            <a:ext uri="{FF2B5EF4-FFF2-40B4-BE49-F238E27FC236}">
              <a16:creationId xmlns:a16="http://schemas.microsoft.com/office/drawing/2014/main" id="{00000000-0008-0000-2000-00006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4" name="153 CuadroTexto">
          <a:extLst>
            <a:ext uri="{FF2B5EF4-FFF2-40B4-BE49-F238E27FC236}">
              <a16:creationId xmlns:a16="http://schemas.microsoft.com/office/drawing/2014/main" id="{00000000-0008-0000-2000-00006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5" name="154 CuadroTexto">
          <a:extLst>
            <a:ext uri="{FF2B5EF4-FFF2-40B4-BE49-F238E27FC236}">
              <a16:creationId xmlns:a16="http://schemas.microsoft.com/office/drawing/2014/main" id="{00000000-0008-0000-2000-00006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6" name="155 CuadroTexto">
          <a:extLst>
            <a:ext uri="{FF2B5EF4-FFF2-40B4-BE49-F238E27FC236}">
              <a16:creationId xmlns:a16="http://schemas.microsoft.com/office/drawing/2014/main" id="{00000000-0008-0000-2000-00006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7" name="156 CuadroTexto">
          <a:extLst>
            <a:ext uri="{FF2B5EF4-FFF2-40B4-BE49-F238E27FC236}">
              <a16:creationId xmlns:a16="http://schemas.microsoft.com/office/drawing/2014/main" id="{00000000-0008-0000-2000-00006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8" name="157 CuadroTexto">
          <a:extLst>
            <a:ext uri="{FF2B5EF4-FFF2-40B4-BE49-F238E27FC236}">
              <a16:creationId xmlns:a16="http://schemas.microsoft.com/office/drawing/2014/main" id="{00000000-0008-0000-2000-00006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9" name="158 CuadroTexto">
          <a:extLst>
            <a:ext uri="{FF2B5EF4-FFF2-40B4-BE49-F238E27FC236}">
              <a16:creationId xmlns:a16="http://schemas.microsoft.com/office/drawing/2014/main" id="{00000000-0008-0000-2000-00006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0" name="159 CuadroTexto">
          <a:extLst>
            <a:ext uri="{FF2B5EF4-FFF2-40B4-BE49-F238E27FC236}">
              <a16:creationId xmlns:a16="http://schemas.microsoft.com/office/drawing/2014/main" id="{00000000-0008-0000-2000-00006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1" name="160 CuadroTexto">
          <a:extLst>
            <a:ext uri="{FF2B5EF4-FFF2-40B4-BE49-F238E27FC236}">
              <a16:creationId xmlns:a16="http://schemas.microsoft.com/office/drawing/2014/main" id="{00000000-0008-0000-2000-00006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2" name="161 CuadroTexto">
          <a:extLst>
            <a:ext uri="{FF2B5EF4-FFF2-40B4-BE49-F238E27FC236}">
              <a16:creationId xmlns:a16="http://schemas.microsoft.com/office/drawing/2014/main" id="{00000000-0008-0000-2000-00006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3" name="162 CuadroTexto">
          <a:extLst>
            <a:ext uri="{FF2B5EF4-FFF2-40B4-BE49-F238E27FC236}">
              <a16:creationId xmlns:a16="http://schemas.microsoft.com/office/drawing/2014/main" id="{00000000-0008-0000-2000-00006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4" name="163 CuadroTexto">
          <a:extLst>
            <a:ext uri="{FF2B5EF4-FFF2-40B4-BE49-F238E27FC236}">
              <a16:creationId xmlns:a16="http://schemas.microsoft.com/office/drawing/2014/main" id="{00000000-0008-0000-2000-00007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5" name="164 CuadroTexto">
          <a:extLst>
            <a:ext uri="{FF2B5EF4-FFF2-40B4-BE49-F238E27FC236}">
              <a16:creationId xmlns:a16="http://schemas.microsoft.com/office/drawing/2014/main" id="{00000000-0008-0000-2000-00007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6" name="165 CuadroTexto">
          <a:extLst>
            <a:ext uri="{FF2B5EF4-FFF2-40B4-BE49-F238E27FC236}">
              <a16:creationId xmlns:a16="http://schemas.microsoft.com/office/drawing/2014/main" id="{00000000-0008-0000-2000-00007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7" name="166 CuadroTexto">
          <a:extLst>
            <a:ext uri="{FF2B5EF4-FFF2-40B4-BE49-F238E27FC236}">
              <a16:creationId xmlns:a16="http://schemas.microsoft.com/office/drawing/2014/main" id="{00000000-0008-0000-2000-00007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8" name="167 CuadroTexto">
          <a:extLst>
            <a:ext uri="{FF2B5EF4-FFF2-40B4-BE49-F238E27FC236}">
              <a16:creationId xmlns:a16="http://schemas.microsoft.com/office/drawing/2014/main" id="{00000000-0008-0000-2000-00007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9" name="168 CuadroTexto">
          <a:extLst>
            <a:ext uri="{FF2B5EF4-FFF2-40B4-BE49-F238E27FC236}">
              <a16:creationId xmlns:a16="http://schemas.microsoft.com/office/drawing/2014/main" id="{00000000-0008-0000-2000-00007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0" name="169 CuadroTexto">
          <a:extLst>
            <a:ext uri="{FF2B5EF4-FFF2-40B4-BE49-F238E27FC236}">
              <a16:creationId xmlns:a16="http://schemas.microsoft.com/office/drawing/2014/main" id="{00000000-0008-0000-2000-00007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1" name="170 CuadroTexto">
          <a:extLst>
            <a:ext uri="{FF2B5EF4-FFF2-40B4-BE49-F238E27FC236}">
              <a16:creationId xmlns:a16="http://schemas.microsoft.com/office/drawing/2014/main" id="{00000000-0008-0000-2000-00007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2" name="171 CuadroTexto">
          <a:extLst>
            <a:ext uri="{FF2B5EF4-FFF2-40B4-BE49-F238E27FC236}">
              <a16:creationId xmlns:a16="http://schemas.microsoft.com/office/drawing/2014/main" id="{00000000-0008-0000-2000-00007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3" name="172 CuadroTexto">
          <a:extLst>
            <a:ext uri="{FF2B5EF4-FFF2-40B4-BE49-F238E27FC236}">
              <a16:creationId xmlns:a16="http://schemas.microsoft.com/office/drawing/2014/main" id="{00000000-0008-0000-2000-00007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4" name="173 CuadroTexto">
          <a:extLst>
            <a:ext uri="{FF2B5EF4-FFF2-40B4-BE49-F238E27FC236}">
              <a16:creationId xmlns:a16="http://schemas.microsoft.com/office/drawing/2014/main" id="{00000000-0008-0000-2000-00007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5" name="174 CuadroTexto">
          <a:extLst>
            <a:ext uri="{FF2B5EF4-FFF2-40B4-BE49-F238E27FC236}">
              <a16:creationId xmlns:a16="http://schemas.microsoft.com/office/drawing/2014/main" id="{00000000-0008-0000-2000-00007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6" name="175 CuadroTexto">
          <a:extLst>
            <a:ext uri="{FF2B5EF4-FFF2-40B4-BE49-F238E27FC236}">
              <a16:creationId xmlns:a16="http://schemas.microsoft.com/office/drawing/2014/main" id="{00000000-0008-0000-2000-00007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7" name="176 CuadroTexto">
          <a:extLst>
            <a:ext uri="{FF2B5EF4-FFF2-40B4-BE49-F238E27FC236}">
              <a16:creationId xmlns:a16="http://schemas.microsoft.com/office/drawing/2014/main" id="{00000000-0008-0000-2000-00007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8" name="177 CuadroTexto">
          <a:extLst>
            <a:ext uri="{FF2B5EF4-FFF2-40B4-BE49-F238E27FC236}">
              <a16:creationId xmlns:a16="http://schemas.microsoft.com/office/drawing/2014/main" id="{00000000-0008-0000-2000-00007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9" name="178 CuadroTexto">
          <a:extLst>
            <a:ext uri="{FF2B5EF4-FFF2-40B4-BE49-F238E27FC236}">
              <a16:creationId xmlns:a16="http://schemas.microsoft.com/office/drawing/2014/main" id="{00000000-0008-0000-2000-00007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0" name="179 CuadroTexto">
          <a:extLst>
            <a:ext uri="{FF2B5EF4-FFF2-40B4-BE49-F238E27FC236}">
              <a16:creationId xmlns:a16="http://schemas.microsoft.com/office/drawing/2014/main" id="{00000000-0008-0000-2000-00008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1" name="180 CuadroTexto">
          <a:extLst>
            <a:ext uri="{FF2B5EF4-FFF2-40B4-BE49-F238E27FC236}">
              <a16:creationId xmlns:a16="http://schemas.microsoft.com/office/drawing/2014/main" id="{00000000-0008-0000-2000-00008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2" name="181 CuadroTexto">
          <a:extLst>
            <a:ext uri="{FF2B5EF4-FFF2-40B4-BE49-F238E27FC236}">
              <a16:creationId xmlns:a16="http://schemas.microsoft.com/office/drawing/2014/main" id="{00000000-0008-0000-2000-00008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3" name="182 CuadroTexto">
          <a:extLst>
            <a:ext uri="{FF2B5EF4-FFF2-40B4-BE49-F238E27FC236}">
              <a16:creationId xmlns:a16="http://schemas.microsoft.com/office/drawing/2014/main" id="{00000000-0008-0000-2000-00008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4" name="183 CuadroTexto">
          <a:extLst>
            <a:ext uri="{FF2B5EF4-FFF2-40B4-BE49-F238E27FC236}">
              <a16:creationId xmlns:a16="http://schemas.microsoft.com/office/drawing/2014/main" id="{00000000-0008-0000-2000-00008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5" name="184 CuadroTexto">
          <a:extLst>
            <a:ext uri="{FF2B5EF4-FFF2-40B4-BE49-F238E27FC236}">
              <a16:creationId xmlns:a16="http://schemas.microsoft.com/office/drawing/2014/main" id="{00000000-0008-0000-2000-00008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6" name="185 CuadroTexto">
          <a:extLst>
            <a:ext uri="{FF2B5EF4-FFF2-40B4-BE49-F238E27FC236}">
              <a16:creationId xmlns:a16="http://schemas.microsoft.com/office/drawing/2014/main" id="{00000000-0008-0000-2000-00008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7" name="186 CuadroTexto">
          <a:extLst>
            <a:ext uri="{FF2B5EF4-FFF2-40B4-BE49-F238E27FC236}">
              <a16:creationId xmlns:a16="http://schemas.microsoft.com/office/drawing/2014/main" id="{00000000-0008-0000-2000-00008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8" name="187 CuadroTexto">
          <a:extLst>
            <a:ext uri="{FF2B5EF4-FFF2-40B4-BE49-F238E27FC236}">
              <a16:creationId xmlns:a16="http://schemas.microsoft.com/office/drawing/2014/main" id="{00000000-0008-0000-2000-00008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9" name="188 CuadroTexto">
          <a:extLst>
            <a:ext uri="{FF2B5EF4-FFF2-40B4-BE49-F238E27FC236}">
              <a16:creationId xmlns:a16="http://schemas.microsoft.com/office/drawing/2014/main" id="{00000000-0008-0000-2000-00008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0" name="189 CuadroTexto">
          <a:extLst>
            <a:ext uri="{FF2B5EF4-FFF2-40B4-BE49-F238E27FC236}">
              <a16:creationId xmlns:a16="http://schemas.microsoft.com/office/drawing/2014/main" id="{00000000-0008-0000-2000-00008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1" name="190 CuadroTexto">
          <a:extLst>
            <a:ext uri="{FF2B5EF4-FFF2-40B4-BE49-F238E27FC236}">
              <a16:creationId xmlns:a16="http://schemas.microsoft.com/office/drawing/2014/main" id="{00000000-0008-0000-2000-00008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2" name="191 CuadroTexto">
          <a:extLst>
            <a:ext uri="{FF2B5EF4-FFF2-40B4-BE49-F238E27FC236}">
              <a16:creationId xmlns:a16="http://schemas.microsoft.com/office/drawing/2014/main" id="{00000000-0008-0000-2000-00008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3" name="192 CuadroTexto">
          <a:extLst>
            <a:ext uri="{FF2B5EF4-FFF2-40B4-BE49-F238E27FC236}">
              <a16:creationId xmlns:a16="http://schemas.microsoft.com/office/drawing/2014/main" id="{00000000-0008-0000-2000-00008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4" name="193 CuadroTexto">
          <a:extLst>
            <a:ext uri="{FF2B5EF4-FFF2-40B4-BE49-F238E27FC236}">
              <a16:creationId xmlns:a16="http://schemas.microsoft.com/office/drawing/2014/main" id="{00000000-0008-0000-2000-00008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5" name="194 CuadroTexto">
          <a:extLst>
            <a:ext uri="{FF2B5EF4-FFF2-40B4-BE49-F238E27FC236}">
              <a16:creationId xmlns:a16="http://schemas.microsoft.com/office/drawing/2014/main" id="{00000000-0008-0000-2000-00008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6" name="195 CuadroTexto">
          <a:extLst>
            <a:ext uri="{FF2B5EF4-FFF2-40B4-BE49-F238E27FC236}">
              <a16:creationId xmlns:a16="http://schemas.microsoft.com/office/drawing/2014/main" id="{00000000-0008-0000-2000-00009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7" name="196 CuadroTexto">
          <a:extLst>
            <a:ext uri="{FF2B5EF4-FFF2-40B4-BE49-F238E27FC236}">
              <a16:creationId xmlns:a16="http://schemas.microsoft.com/office/drawing/2014/main" id="{00000000-0008-0000-2000-00009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8" name="197 CuadroTexto">
          <a:extLst>
            <a:ext uri="{FF2B5EF4-FFF2-40B4-BE49-F238E27FC236}">
              <a16:creationId xmlns:a16="http://schemas.microsoft.com/office/drawing/2014/main" id="{00000000-0008-0000-2000-00009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9" name="198 CuadroTexto">
          <a:extLst>
            <a:ext uri="{FF2B5EF4-FFF2-40B4-BE49-F238E27FC236}">
              <a16:creationId xmlns:a16="http://schemas.microsoft.com/office/drawing/2014/main" id="{00000000-0008-0000-2000-00009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0" name="199 CuadroTexto">
          <a:extLst>
            <a:ext uri="{FF2B5EF4-FFF2-40B4-BE49-F238E27FC236}">
              <a16:creationId xmlns:a16="http://schemas.microsoft.com/office/drawing/2014/main" id="{00000000-0008-0000-2000-00009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1" name="200 CuadroTexto">
          <a:extLst>
            <a:ext uri="{FF2B5EF4-FFF2-40B4-BE49-F238E27FC236}">
              <a16:creationId xmlns:a16="http://schemas.microsoft.com/office/drawing/2014/main" id="{00000000-0008-0000-2000-00009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2" name="201 CuadroTexto">
          <a:extLst>
            <a:ext uri="{FF2B5EF4-FFF2-40B4-BE49-F238E27FC236}">
              <a16:creationId xmlns:a16="http://schemas.microsoft.com/office/drawing/2014/main" id="{00000000-0008-0000-2000-00009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3" name="202 CuadroTexto">
          <a:extLst>
            <a:ext uri="{FF2B5EF4-FFF2-40B4-BE49-F238E27FC236}">
              <a16:creationId xmlns:a16="http://schemas.microsoft.com/office/drawing/2014/main" id="{00000000-0008-0000-2000-00009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4" name="203 CuadroTexto">
          <a:extLst>
            <a:ext uri="{FF2B5EF4-FFF2-40B4-BE49-F238E27FC236}">
              <a16:creationId xmlns:a16="http://schemas.microsoft.com/office/drawing/2014/main" id="{00000000-0008-0000-2000-00009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5" name="204 CuadroTexto">
          <a:extLst>
            <a:ext uri="{FF2B5EF4-FFF2-40B4-BE49-F238E27FC236}">
              <a16:creationId xmlns:a16="http://schemas.microsoft.com/office/drawing/2014/main" id="{00000000-0008-0000-2000-00009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6" name="205 CuadroTexto">
          <a:extLst>
            <a:ext uri="{FF2B5EF4-FFF2-40B4-BE49-F238E27FC236}">
              <a16:creationId xmlns:a16="http://schemas.microsoft.com/office/drawing/2014/main" id="{00000000-0008-0000-2000-00009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7" name="206 CuadroTexto">
          <a:extLst>
            <a:ext uri="{FF2B5EF4-FFF2-40B4-BE49-F238E27FC236}">
              <a16:creationId xmlns:a16="http://schemas.microsoft.com/office/drawing/2014/main" id="{00000000-0008-0000-2000-00009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8" name="207 CuadroTexto">
          <a:extLst>
            <a:ext uri="{FF2B5EF4-FFF2-40B4-BE49-F238E27FC236}">
              <a16:creationId xmlns:a16="http://schemas.microsoft.com/office/drawing/2014/main" id="{00000000-0008-0000-2000-00009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9" name="208 CuadroTexto">
          <a:extLst>
            <a:ext uri="{FF2B5EF4-FFF2-40B4-BE49-F238E27FC236}">
              <a16:creationId xmlns:a16="http://schemas.microsoft.com/office/drawing/2014/main" id="{00000000-0008-0000-2000-00009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0" name="209 CuadroTexto">
          <a:extLst>
            <a:ext uri="{FF2B5EF4-FFF2-40B4-BE49-F238E27FC236}">
              <a16:creationId xmlns:a16="http://schemas.microsoft.com/office/drawing/2014/main" id="{00000000-0008-0000-2000-00009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1" name="210 CuadroTexto">
          <a:extLst>
            <a:ext uri="{FF2B5EF4-FFF2-40B4-BE49-F238E27FC236}">
              <a16:creationId xmlns:a16="http://schemas.microsoft.com/office/drawing/2014/main" id="{00000000-0008-0000-2000-00009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2" name="211 CuadroTexto">
          <a:extLst>
            <a:ext uri="{FF2B5EF4-FFF2-40B4-BE49-F238E27FC236}">
              <a16:creationId xmlns:a16="http://schemas.microsoft.com/office/drawing/2014/main" id="{00000000-0008-0000-2000-0000A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3" name="212 CuadroTexto">
          <a:extLst>
            <a:ext uri="{FF2B5EF4-FFF2-40B4-BE49-F238E27FC236}">
              <a16:creationId xmlns:a16="http://schemas.microsoft.com/office/drawing/2014/main" id="{00000000-0008-0000-2000-0000A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4" name="213 CuadroTexto">
          <a:extLst>
            <a:ext uri="{FF2B5EF4-FFF2-40B4-BE49-F238E27FC236}">
              <a16:creationId xmlns:a16="http://schemas.microsoft.com/office/drawing/2014/main" id="{00000000-0008-0000-2000-0000A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5" name="214 CuadroTexto">
          <a:extLst>
            <a:ext uri="{FF2B5EF4-FFF2-40B4-BE49-F238E27FC236}">
              <a16:creationId xmlns:a16="http://schemas.microsoft.com/office/drawing/2014/main" id="{00000000-0008-0000-2000-0000A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6" name="215 CuadroTexto">
          <a:extLst>
            <a:ext uri="{FF2B5EF4-FFF2-40B4-BE49-F238E27FC236}">
              <a16:creationId xmlns:a16="http://schemas.microsoft.com/office/drawing/2014/main" id="{00000000-0008-0000-2000-0000A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7" name="216 CuadroTexto">
          <a:extLst>
            <a:ext uri="{FF2B5EF4-FFF2-40B4-BE49-F238E27FC236}">
              <a16:creationId xmlns:a16="http://schemas.microsoft.com/office/drawing/2014/main" id="{00000000-0008-0000-2000-0000A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8" name="217 CuadroTexto">
          <a:extLst>
            <a:ext uri="{FF2B5EF4-FFF2-40B4-BE49-F238E27FC236}">
              <a16:creationId xmlns:a16="http://schemas.microsoft.com/office/drawing/2014/main" id="{00000000-0008-0000-2000-0000A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9" name="218 CuadroTexto">
          <a:extLst>
            <a:ext uri="{FF2B5EF4-FFF2-40B4-BE49-F238E27FC236}">
              <a16:creationId xmlns:a16="http://schemas.microsoft.com/office/drawing/2014/main" id="{00000000-0008-0000-2000-0000A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0" name="219 CuadroTexto">
          <a:extLst>
            <a:ext uri="{FF2B5EF4-FFF2-40B4-BE49-F238E27FC236}">
              <a16:creationId xmlns:a16="http://schemas.microsoft.com/office/drawing/2014/main" id="{00000000-0008-0000-2000-0000A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1" name="220 CuadroTexto">
          <a:extLst>
            <a:ext uri="{FF2B5EF4-FFF2-40B4-BE49-F238E27FC236}">
              <a16:creationId xmlns:a16="http://schemas.microsoft.com/office/drawing/2014/main" id="{00000000-0008-0000-2000-0000A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2" name="221 CuadroTexto">
          <a:extLst>
            <a:ext uri="{FF2B5EF4-FFF2-40B4-BE49-F238E27FC236}">
              <a16:creationId xmlns:a16="http://schemas.microsoft.com/office/drawing/2014/main" id="{00000000-0008-0000-2000-0000A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3" name="222 CuadroTexto">
          <a:extLst>
            <a:ext uri="{FF2B5EF4-FFF2-40B4-BE49-F238E27FC236}">
              <a16:creationId xmlns:a16="http://schemas.microsoft.com/office/drawing/2014/main" id="{00000000-0008-0000-2000-0000A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4" name="223 CuadroTexto">
          <a:extLst>
            <a:ext uri="{FF2B5EF4-FFF2-40B4-BE49-F238E27FC236}">
              <a16:creationId xmlns:a16="http://schemas.microsoft.com/office/drawing/2014/main" id="{00000000-0008-0000-2000-0000A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5" name="224 CuadroTexto">
          <a:extLst>
            <a:ext uri="{FF2B5EF4-FFF2-40B4-BE49-F238E27FC236}">
              <a16:creationId xmlns:a16="http://schemas.microsoft.com/office/drawing/2014/main" id="{00000000-0008-0000-2000-0000A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6" name="225 CuadroTexto">
          <a:extLst>
            <a:ext uri="{FF2B5EF4-FFF2-40B4-BE49-F238E27FC236}">
              <a16:creationId xmlns:a16="http://schemas.microsoft.com/office/drawing/2014/main" id="{00000000-0008-0000-2000-0000A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7" name="226 CuadroTexto">
          <a:extLst>
            <a:ext uri="{FF2B5EF4-FFF2-40B4-BE49-F238E27FC236}">
              <a16:creationId xmlns:a16="http://schemas.microsoft.com/office/drawing/2014/main" id="{00000000-0008-0000-2000-0000A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8" name="227 CuadroTexto">
          <a:extLst>
            <a:ext uri="{FF2B5EF4-FFF2-40B4-BE49-F238E27FC236}">
              <a16:creationId xmlns:a16="http://schemas.microsoft.com/office/drawing/2014/main" id="{00000000-0008-0000-2000-0000B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9" name="228 CuadroTexto">
          <a:extLst>
            <a:ext uri="{FF2B5EF4-FFF2-40B4-BE49-F238E27FC236}">
              <a16:creationId xmlns:a16="http://schemas.microsoft.com/office/drawing/2014/main" id="{00000000-0008-0000-2000-0000B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0" name="229 CuadroTexto">
          <a:extLst>
            <a:ext uri="{FF2B5EF4-FFF2-40B4-BE49-F238E27FC236}">
              <a16:creationId xmlns:a16="http://schemas.microsoft.com/office/drawing/2014/main" id="{00000000-0008-0000-2000-0000B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1" name="230 CuadroTexto">
          <a:extLst>
            <a:ext uri="{FF2B5EF4-FFF2-40B4-BE49-F238E27FC236}">
              <a16:creationId xmlns:a16="http://schemas.microsoft.com/office/drawing/2014/main" id="{00000000-0008-0000-2000-0000B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2" name="231 CuadroTexto">
          <a:extLst>
            <a:ext uri="{FF2B5EF4-FFF2-40B4-BE49-F238E27FC236}">
              <a16:creationId xmlns:a16="http://schemas.microsoft.com/office/drawing/2014/main" id="{00000000-0008-0000-2000-0000B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3" name="232 CuadroTexto">
          <a:extLst>
            <a:ext uri="{FF2B5EF4-FFF2-40B4-BE49-F238E27FC236}">
              <a16:creationId xmlns:a16="http://schemas.microsoft.com/office/drawing/2014/main" id="{00000000-0008-0000-2000-0000B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4" name="233 CuadroTexto">
          <a:extLst>
            <a:ext uri="{FF2B5EF4-FFF2-40B4-BE49-F238E27FC236}">
              <a16:creationId xmlns:a16="http://schemas.microsoft.com/office/drawing/2014/main" id="{00000000-0008-0000-2000-0000B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5" name="234 CuadroTexto">
          <a:extLst>
            <a:ext uri="{FF2B5EF4-FFF2-40B4-BE49-F238E27FC236}">
              <a16:creationId xmlns:a16="http://schemas.microsoft.com/office/drawing/2014/main" id="{00000000-0008-0000-2000-0000B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6" name="235 CuadroTexto">
          <a:extLst>
            <a:ext uri="{FF2B5EF4-FFF2-40B4-BE49-F238E27FC236}">
              <a16:creationId xmlns:a16="http://schemas.microsoft.com/office/drawing/2014/main" id="{00000000-0008-0000-2000-0000B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7" name="236 CuadroTexto">
          <a:extLst>
            <a:ext uri="{FF2B5EF4-FFF2-40B4-BE49-F238E27FC236}">
              <a16:creationId xmlns:a16="http://schemas.microsoft.com/office/drawing/2014/main" id="{00000000-0008-0000-2000-0000B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8" name="237 CuadroTexto">
          <a:extLst>
            <a:ext uri="{FF2B5EF4-FFF2-40B4-BE49-F238E27FC236}">
              <a16:creationId xmlns:a16="http://schemas.microsoft.com/office/drawing/2014/main" id="{00000000-0008-0000-2000-0000B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9" name="238 CuadroTexto">
          <a:extLst>
            <a:ext uri="{FF2B5EF4-FFF2-40B4-BE49-F238E27FC236}">
              <a16:creationId xmlns:a16="http://schemas.microsoft.com/office/drawing/2014/main" id="{00000000-0008-0000-2000-0000B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0" name="239 CuadroTexto">
          <a:extLst>
            <a:ext uri="{FF2B5EF4-FFF2-40B4-BE49-F238E27FC236}">
              <a16:creationId xmlns:a16="http://schemas.microsoft.com/office/drawing/2014/main" id="{00000000-0008-0000-2000-0000B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1" name="240 CuadroTexto">
          <a:extLst>
            <a:ext uri="{FF2B5EF4-FFF2-40B4-BE49-F238E27FC236}">
              <a16:creationId xmlns:a16="http://schemas.microsoft.com/office/drawing/2014/main" id="{00000000-0008-0000-2000-0000B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2" name="241 CuadroTexto">
          <a:extLst>
            <a:ext uri="{FF2B5EF4-FFF2-40B4-BE49-F238E27FC236}">
              <a16:creationId xmlns:a16="http://schemas.microsoft.com/office/drawing/2014/main" id="{00000000-0008-0000-2000-0000B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3" name="242 CuadroTexto">
          <a:extLst>
            <a:ext uri="{FF2B5EF4-FFF2-40B4-BE49-F238E27FC236}">
              <a16:creationId xmlns:a16="http://schemas.microsoft.com/office/drawing/2014/main" id="{00000000-0008-0000-2000-0000B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4" name="243 CuadroTexto">
          <a:extLst>
            <a:ext uri="{FF2B5EF4-FFF2-40B4-BE49-F238E27FC236}">
              <a16:creationId xmlns:a16="http://schemas.microsoft.com/office/drawing/2014/main" id="{00000000-0008-0000-2000-0000C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5" name="244 CuadroTexto">
          <a:extLst>
            <a:ext uri="{FF2B5EF4-FFF2-40B4-BE49-F238E27FC236}">
              <a16:creationId xmlns:a16="http://schemas.microsoft.com/office/drawing/2014/main" id="{00000000-0008-0000-2000-0000C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6" name="245 CuadroTexto">
          <a:extLst>
            <a:ext uri="{FF2B5EF4-FFF2-40B4-BE49-F238E27FC236}">
              <a16:creationId xmlns:a16="http://schemas.microsoft.com/office/drawing/2014/main" id="{00000000-0008-0000-2000-0000C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7" name="246 CuadroTexto">
          <a:extLst>
            <a:ext uri="{FF2B5EF4-FFF2-40B4-BE49-F238E27FC236}">
              <a16:creationId xmlns:a16="http://schemas.microsoft.com/office/drawing/2014/main" id="{00000000-0008-0000-2000-0000C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8" name="247 CuadroTexto">
          <a:extLst>
            <a:ext uri="{FF2B5EF4-FFF2-40B4-BE49-F238E27FC236}">
              <a16:creationId xmlns:a16="http://schemas.microsoft.com/office/drawing/2014/main" id="{00000000-0008-0000-2000-0000C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9" name="248 CuadroTexto">
          <a:extLst>
            <a:ext uri="{FF2B5EF4-FFF2-40B4-BE49-F238E27FC236}">
              <a16:creationId xmlns:a16="http://schemas.microsoft.com/office/drawing/2014/main" id="{00000000-0008-0000-2000-0000C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0" name="249 CuadroTexto">
          <a:extLst>
            <a:ext uri="{FF2B5EF4-FFF2-40B4-BE49-F238E27FC236}">
              <a16:creationId xmlns:a16="http://schemas.microsoft.com/office/drawing/2014/main" id="{00000000-0008-0000-2000-0000C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1" name="250 CuadroTexto">
          <a:extLst>
            <a:ext uri="{FF2B5EF4-FFF2-40B4-BE49-F238E27FC236}">
              <a16:creationId xmlns:a16="http://schemas.microsoft.com/office/drawing/2014/main" id="{00000000-0008-0000-2000-0000C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2" name="251 CuadroTexto">
          <a:extLst>
            <a:ext uri="{FF2B5EF4-FFF2-40B4-BE49-F238E27FC236}">
              <a16:creationId xmlns:a16="http://schemas.microsoft.com/office/drawing/2014/main" id="{00000000-0008-0000-2000-0000C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3" name="252 CuadroTexto">
          <a:extLst>
            <a:ext uri="{FF2B5EF4-FFF2-40B4-BE49-F238E27FC236}">
              <a16:creationId xmlns:a16="http://schemas.microsoft.com/office/drawing/2014/main" id="{00000000-0008-0000-2000-0000C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4" name="253 CuadroTexto">
          <a:extLst>
            <a:ext uri="{FF2B5EF4-FFF2-40B4-BE49-F238E27FC236}">
              <a16:creationId xmlns:a16="http://schemas.microsoft.com/office/drawing/2014/main" id="{00000000-0008-0000-2000-0000C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5" name="254 CuadroTexto">
          <a:extLst>
            <a:ext uri="{FF2B5EF4-FFF2-40B4-BE49-F238E27FC236}">
              <a16:creationId xmlns:a16="http://schemas.microsoft.com/office/drawing/2014/main" id="{00000000-0008-0000-2000-0000C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6" name="255 CuadroTexto">
          <a:extLst>
            <a:ext uri="{FF2B5EF4-FFF2-40B4-BE49-F238E27FC236}">
              <a16:creationId xmlns:a16="http://schemas.microsoft.com/office/drawing/2014/main" id="{00000000-0008-0000-2000-0000C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7" name="256 CuadroTexto">
          <a:extLst>
            <a:ext uri="{FF2B5EF4-FFF2-40B4-BE49-F238E27FC236}">
              <a16:creationId xmlns:a16="http://schemas.microsoft.com/office/drawing/2014/main" id="{00000000-0008-0000-2000-0000C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8" name="257 CuadroTexto">
          <a:extLst>
            <a:ext uri="{FF2B5EF4-FFF2-40B4-BE49-F238E27FC236}">
              <a16:creationId xmlns:a16="http://schemas.microsoft.com/office/drawing/2014/main" id="{00000000-0008-0000-2000-0000C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9" name="258 CuadroTexto">
          <a:extLst>
            <a:ext uri="{FF2B5EF4-FFF2-40B4-BE49-F238E27FC236}">
              <a16:creationId xmlns:a16="http://schemas.microsoft.com/office/drawing/2014/main" id="{00000000-0008-0000-2000-0000C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0" name="259 CuadroTexto">
          <a:extLst>
            <a:ext uri="{FF2B5EF4-FFF2-40B4-BE49-F238E27FC236}">
              <a16:creationId xmlns:a16="http://schemas.microsoft.com/office/drawing/2014/main" id="{00000000-0008-0000-2000-0000D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1" name="260 CuadroTexto">
          <a:extLst>
            <a:ext uri="{FF2B5EF4-FFF2-40B4-BE49-F238E27FC236}">
              <a16:creationId xmlns:a16="http://schemas.microsoft.com/office/drawing/2014/main" id="{00000000-0008-0000-2000-0000D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2" name="261 CuadroTexto">
          <a:extLst>
            <a:ext uri="{FF2B5EF4-FFF2-40B4-BE49-F238E27FC236}">
              <a16:creationId xmlns:a16="http://schemas.microsoft.com/office/drawing/2014/main" id="{00000000-0008-0000-2000-0000D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3" name="262 CuadroTexto">
          <a:extLst>
            <a:ext uri="{FF2B5EF4-FFF2-40B4-BE49-F238E27FC236}">
              <a16:creationId xmlns:a16="http://schemas.microsoft.com/office/drawing/2014/main" id="{00000000-0008-0000-2000-0000D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4" name="263 CuadroTexto">
          <a:extLst>
            <a:ext uri="{FF2B5EF4-FFF2-40B4-BE49-F238E27FC236}">
              <a16:creationId xmlns:a16="http://schemas.microsoft.com/office/drawing/2014/main" id="{00000000-0008-0000-2000-0000D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5" name="264 CuadroTexto">
          <a:extLst>
            <a:ext uri="{FF2B5EF4-FFF2-40B4-BE49-F238E27FC236}">
              <a16:creationId xmlns:a16="http://schemas.microsoft.com/office/drawing/2014/main" id="{00000000-0008-0000-2000-0000D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6" name="265 CuadroTexto">
          <a:extLst>
            <a:ext uri="{FF2B5EF4-FFF2-40B4-BE49-F238E27FC236}">
              <a16:creationId xmlns:a16="http://schemas.microsoft.com/office/drawing/2014/main" id="{00000000-0008-0000-2000-0000D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7" name="266 CuadroTexto">
          <a:extLst>
            <a:ext uri="{FF2B5EF4-FFF2-40B4-BE49-F238E27FC236}">
              <a16:creationId xmlns:a16="http://schemas.microsoft.com/office/drawing/2014/main" id="{00000000-0008-0000-2000-0000D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8" name="267 CuadroTexto">
          <a:extLst>
            <a:ext uri="{FF2B5EF4-FFF2-40B4-BE49-F238E27FC236}">
              <a16:creationId xmlns:a16="http://schemas.microsoft.com/office/drawing/2014/main" id="{00000000-0008-0000-2000-0000D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009" name="268 CuadroTexto">
          <a:extLst>
            <a:ext uri="{FF2B5EF4-FFF2-40B4-BE49-F238E27FC236}">
              <a16:creationId xmlns:a16="http://schemas.microsoft.com/office/drawing/2014/main" id="{00000000-0008-0000-2000-0000D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0" name="269 CuadroTexto">
          <a:extLst>
            <a:ext uri="{FF2B5EF4-FFF2-40B4-BE49-F238E27FC236}">
              <a16:creationId xmlns:a16="http://schemas.microsoft.com/office/drawing/2014/main" id="{00000000-0008-0000-2000-0000D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1" name="270 CuadroTexto">
          <a:extLst>
            <a:ext uri="{FF2B5EF4-FFF2-40B4-BE49-F238E27FC236}">
              <a16:creationId xmlns:a16="http://schemas.microsoft.com/office/drawing/2014/main" id="{00000000-0008-0000-2000-0000D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2" name="271 CuadroTexto">
          <a:extLst>
            <a:ext uri="{FF2B5EF4-FFF2-40B4-BE49-F238E27FC236}">
              <a16:creationId xmlns:a16="http://schemas.microsoft.com/office/drawing/2014/main" id="{00000000-0008-0000-2000-0000D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3" name="272 CuadroTexto">
          <a:extLst>
            <a:ext uri="{FF2B5EF4-FFF2-40B4-BE49-F238E27FC236}">
              <a16:creationId xmlns:a16="http://schemas.microsoft.com/office/drawing/2014/main" id="{00000000-0008-0000-2000-0000D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4" name="273 CuadroTexto">
          <a:extLst>
            <a:ext uri="{FF2B5EF4-FFF2-40B4-BE49-F238E27FC236}">
              <a16:creationId xmlns:a16="http://schemas.microsoft.com/office/drawing/2014/main" id="{00000000-0008-0000-2000-0000D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5" name="274 CuadroTexto">
          <a:extLst>
            <a:ext uri="{FF2B5EF4-FFF2-40B4-BE49-F238E27FC236}">
              <a16:creationId xmlns:a16="http://schemas.microsoft.com/office/drawing/2014/main" id="{00000000-0008-0000-2000-0000D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6" name="275 CuadroTexto">
          <a:extLst>
            <a:ext uri="{FF2B5EF4-FFF2-40B4-BE49-F238E27FC236}">
              <a16:creationId xmlns:a16="http://schemas.microsoft.com/office/drawing/2014/main" id="{00000000-0008-0000-2000-0000E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7" name="276 CuadroTexto">
          <a:extLst>
            <a:ext uri="{FF2B5EF4-FFF2-40B4-BE49-F238E27FC236}">
              <a16:creationId xmlns:a16="http://schemas.microsoft.com/office/drawing/2014/main" id="{00000000-0008-0000-2000-0000E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8" name="277 CuadroTexto">
          <a:extLst>
            <a:ext uri="{FF2B5EF4-FFF2-40B4-BE49-F238E27FC236}">
              <a16:creationId xmlns:a16="http://schemas.microsoft.com/office/drawing/2014/main" id="{00000000-0008-0000-2000-0000E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9" name="278 CuadroTexto">
          <a:extLst>
            <a:ext uri="{FF2B5EF4-FFF2-40B4-BE49-F238E27FC236}">
              <a16:creationId xmlns:a16="http://schemas.microsoft.com/office/drawing/2014/main" id="{00000000-0008-0000-2000-0000E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0" name="279 CuadroTexto">
          <a:extLst>
            <a:ext uri="{FF2B5EF4-FFF2-40B4-BE49-F238E27FC236}">
              <a16:creationId xmlns:a16="http://schemas.microsoft.com/office/drawing/2014/main" id="{00000000-0008-0000-2000-0000E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1" name="280 CuadroTexto">
          <a:extLst>
            <a:ext uri="{FF2B5EF4-FFF2-40B4-BE49-F238E27FC236}">
              <a16:creationId xmlns:a16="http://schemas.microsoft.com/office/drawing/2014/main" id="{00000000-0008-0000-2000-0000E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2" name="281 CuadroTexto">
          <a:extLst>
            <a:ext uri="{FF2B5EF4-FFF2-40B4-BE49-F238E27FC236}">
              <a16:creationId xmlns:a16="http://schemas.microsoft.com/office/drawing/2014/main" id="{00000000-0008-0000-2000-0000E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3" name="282 CuadroTexto">
          <a:extLst>
            <a:ext uri="{FF2B5EF4-FFF2-40B4-BE49-F238E27FC236}">
              <a16:creationId xmlns:a16="http://schemas.microsoft.com/office/drawing/2014/main" id="{00000000-0008-0000-2000-0000E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4" name="283 CuadroTexto">
          <a:extLst>
            <a:ext uri="{FF2B5EF4-FFF2-40B4-BE49-F238E27FC236}">
              <a16:creationId xmlns:a16="http://schemas.microsoft.com/office/drawing/2014/main" id="{00000000-0008-0000-2000-0000E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5" name="284 CuadroTexto">
          <a:extLst>
            <a:ext uri="{FF2B5EF4-FFF2-40B4-BE49-F238E27FC236}">
              <a16:creationId xmlns:a16="http://schemas.microsoft.com/office/drawing/2014/main" id="{00000000-0008-0000-2000-0000E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026" name="285 CuadroTexto">
          <a:extLst>
            <a:ext uri="{FF2B5EF4-FFF2-40B4-BE49-F238E27FC236}">
              <a16:creationId xmlns:a16="http://schemas.microsoft.com/office/drawing/2014/main" id="{00000000-0008-0000-2000-0000E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7" name="286 CuadroTexto">
          <a:extLst>
            <a:ext uri="{FF2B5EF4-FFF2-40B4-BE49-F238E27FC236}">
              <a16:creationId xmlns:a16="http://schemas.microsoft.com/office/drawing/2014/main" id="{00000000-0008-0000-2000-0000E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8" name="287 CuadroTexto">
          <a:extLst>
            <a:ext uri="{FF2B5EF4-FFF2-40B4-BE49-F238E27FC236}">
              <a16:creationId xmlns:a16="http://schemas.microsoft.com/office/drawing/2014/main" id="{00000000-0008-0000-2000-0000E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9" name="288 CuadroTexto">
          <a:extLst>
            <a:ext uri="{FF2B5EF4-FFF2-40B4-BE49-F238E27FC236}">
              <a16:creationId xmlns:a16="http://schemas.microsoft.com/office/drawing/2014/main" id="{00000000-0008-0000-2000-0000E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0" name="289 CuadroTexto">
          <a:extLst>
            <a:ext uri="{FF2B5EF4-FFF2-40B4-BE49-F238E27FC236}">
              <a16:creationId xmlns:a16="http://schemas.microsoft.com/office/drawing/2014/main" id="{00000000-0008-0000-2000-0000E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1" name="290 CuadroTexto">
          <a:extLst>
            <a:ext uri="{FF2B5EF4-FFF2-40B4-BE49-F238E27FC236}">
              <a16:creationId xmlns:a16="http://schemas.microsoft.com/office/drawing/2014/main" id="{00000000-0008-0000-2000-0000E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2" name="291 CuadroTexto">
          <a:extLst>
            <a:ext uri="{FF2B5EF4-FFF2-40B4-BE49-F238E27FC236}">
              <a16:creationId xmlns:a16="http://schemas.microsoft.com/office/drawing/2014/main" id="{00000000-0008-0000-2000-0000F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3" name="292 CuadroTexto">
          <a:extLst>
            <a:ext uri="{FF2B5EF4-FFF2-40B4-BE49-F238E27FC236}">
              <a16:creationId xmlns:a16="http://schemas.microsoft.com/office/drawing/2014/main" id="{00000000-0008-0000-2000-0000F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4" name="293 CuadroTexto">
          <a:extLst>
            <a:ext uri="{FF2B5EF4-FFF2-40B4-BE49-F238E27FC236}">
              <a16:creationId xmlns:a16="http://schemas.microsoft.com/office/drawing/2014/main" id="{00000000-0008-0000-2000-0000F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5" name="294 CuadroTexto">
          <a:extLst>
            <a:ext uri="{FF2B5EF4-FFF2-40B4-BE49-F238E27FC236}">
              <a16:creationId xmlns:a16="http://schemas.microsoft.com/office/drawing/2014/main" id="{00000000-0008-0000-2000-0000F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6" name="295 CuadroTexto">
          <a:extLst>
            <a:ext uri="{FF2B5EF4-FFF2-40B4-BE49-F238E27FC236}">
              <a16:creationId xmlns:a16="http://schemas.microsoft.com/office/drawing/2014/main" id="{00000000-0008-0000-2000-0000F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7" name="296 CuadroTexto">
          <a:extLst>
            <a:ext uri="{FF2B5EF4-FFF2-40B4-BE49-F238E27FC236}">
              <a16:creationId xmlns:a16="http://schemas.microsoft.com/office/drawing/2014/main" id="{00000000-0008-0000-2000-0000F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38" name="17 CuadroTexto">
          <a:extLst>
            <a:ext uri="{FF2B5EF4-FFF2-40B4-BE49-F238E27FC236}">
              <a16:creationId xmlns:a16="http://schemas.microsoft.com/office/drawing/2014/main" id="{00000000-0008-0000-2000-0000F607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7227" cy="217317"/>
    <xdr:sp macro="" textlink="">
      <xdr:nvSpPr>
        <xdr:cNvPr id="2039" name="90 CuadroTexto">
          <a:extLst>
            <a:ext uri="{FF2B5EF4-FFF2-40B4-BE49-F238E27FC236}">
              <a16:creationId xmlns:a16="http://schemas.microsoft.com/office/drawing/2014/main" id="{00000000-0008-0000-2000-0000F7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0" name="91 CuadroTexto">
          <a:extLst>
            <a:ext uri="{FF2B5EF4-FFF2-40B4-BE49-F238E27FC236}">
              <a16:creationId xmlns:a16="http://schemas.microsoft.com/office/drawing/2014/main" id="{00000000-0008-0000-2000-0000F8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1" name="92 CuadroTexto">
          <a:extLst>
            <a:ext uri="{FF2B5EF4-FFF2-40B4-BE49-F238E27FC236}">
              <a16:creationId xmlns:a16="http://schemas.microsoft.com/office/drawing/2014/main" id="{00000000-0008-0000-2000-0000F9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2" name="93 CuadroTexto">
          <a:extLst>
            <a:ext uri="{FF2B5EF4-FFF2-40B4-BE49-F238E27FC236}">
              <a16:creationId xmlns:a16="http://schemas.microsoft.com/office/drawing/2014/main" id="{00000000-0008-0000-2000-0000FA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3" name="94 CuadroTexto">
          <a:extLst>
            <a:ext uri="{FF2B5EF4-FFF2-40B4-BE49-F238E27FC236}">
              <a16:creationId xmlns:a16="http://schemas.microsoft.com/office/drawing/2014/main" id="{00000000-0008-0000-2000-0000FB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4" name="95 CuadroTexto">
          <a:extLst>
            <a:ext uri="{FF2B5EF4-FFF2-40B4-BE49-F238E27FC236}">
              <a16:creationId xmlns:a16="http://schemas.microsoft.com/office/drawing/2014/main" id="{00000000-0008-0000-2000-0000FC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5" name="96 CuadroTexto">
          <a:extLst>
            <a:ext uri="{FF2B5EF4-FFF2-40B4-BE49-F238E27FC236}">
              <a16:creationId xmlns:a16="http://schemas.microsoft.com/office/drawing/2014/main" id="{00000000-0008-0000-2000-0000FD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6" name="97 CuadroTexto">
          <a:extLst>
            <a:ext uri="{FF2B5EF4-FFF2-40B4-BE49-F238E27FC236}">
              <a16:creationId xmlns:a16="http://schemas.microsoft.com/office/drawing/2014/main" id="{00000000-0008-0000-2000-0000FE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7" name="98 CuadroTexto">
          <a:extLst>
            <a:ext uri="{FF2B5EF4-FFF2-40B4-BE49-F238E27FC236}">
              <a16:creationId xmlns:a16="http://schemas.microsoft.com/office/drawing/2014/main" id="{00000000-0008-0000-2000-0000FF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8" name="99 CuadroTexto">
          <a:extLst>
            <a:ext uri="{FF2B5EF4-FFF2-40B4-BE49-F238E27FC236}">
              <a16:creationId xmlns:a16="http://schemas.microsoft.com/office/drawing/2014/main" id="{00000000-0008-0000-2000-000000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9" name="100 CuadroTexto">
          <a:extLst>
            <a:ext uri="{FF2B5EF4-FFF2-40B4-BE49-F238E27FC236}">
              <a16:creationId xmlns:a16="http://schemas.microsoft.com/office/drawing/2014/main" id="{00000000-0008-0000-2000-000001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50" name="101 CuadroTexto">
          <a:extLst>
            <a:ext uri="{FF2B5EF4-FFF2-40B4-BE49-F238E27FC236}">
              <a16:creationId xmlns:a16="http://schemas.microsoft.com/office/drawing/2014/main" id="{00000000-0008-0000-2000-000002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051" name="118 CuadroTexto">
          <a:extLst>
            <a:ext uri="{FF2B5EF4-FFF2-40B4-BE49-F238E27FC236}">
              <a16:creationId xmlns:a16="http://schemas.microsoft.com/office/drawing/2014/main" id="{00000000-0008-0000-2000-00000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2" name="119 CuadroTexto">
          <a:extLst>
            <a:ext uri="{FF2B5EF4-FFF2-40B4-BE49-F238E27FC236}">
              <a16:creationId xmlns:a16="http://schemas.microsoft.com/office/drawing/2014/main" id="{00000000-0008-0000-2000-00000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3" name="120 CuadroTexto">
          <a:extLst>
            <a:ext uri="{FF2B5EF4-FFF2-40B4-BE49-F238E27FC236}">
              <a16:creationId xmlns:a16="http://schemas.microsoft.com/office/drawing/2014/main" id="{00000000-0008-0000-2000-00000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4" name="121 CuadroTexto">
          <a:extLst>
            <a:ext uri="{FF2B5EF4-FFF2-40B4-BE49-F238E27FC236}">
              <a16:creationId xmlns:a16="http://schemas.microsoft.com/office/drawing/2014/main" id="{00000000-0008-0000-2000-00000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5" name="122 CuadroTexto">
          <a:extLst>
            <a:ext uri="{FF2B5EF4-FFF2-40B4-BE49-F238E27FC236}">
              <a16:creationId xmlns:a16="http://schemas.microsoft.com/office/drawing/2014/main" id="{00000000-0008-0000-2000-00000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6" name="123 CuadroTexto">
          <a:extLst>
            <a:ext uri="{FF2B5EF4-FFF2-40B4-BE49-F238E27FC236}">
              <a16:creationId xmlns:a16="http://schemas.microsoft.com/office/drawing/2014/main" id="{00000000-0008-0000-2000-00000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7" name="124 CuadroTexto">
          <a:extLst>
            <a:ext uri="{FF2B5EF4-FFF2-40B4-BE49-F238E27FC236}">
              <a16:creationId xmlns:a16="http://schemas.microsoft.com/office/drawing/2014/main" id="{00000000-0008-0000-2000-00000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8" name="125 CuadroTexto">
          <a:extLst>
            <a:ext uri="{FF2B5EF4-FFF2-40B4-BE49-F238E27FC236}">
              <a16:creationId xmlns:a16="http://schemas.microsoft.com/office/drawing/2014/main" id="{00000000-0008-0000-2000-00000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9" name="143 CuadroTexto">
          <a:extLst>
            <a:ext uri="{FF2B5EF4-FFF2-40B4-BE49-F238E27FC236}">
              <a16:creationId xmlns:a16="http://schemas.microsoft.com/office/drawing/2014/main" id="{00000000-0008-0000-2000-00000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0" name="144 CuadroTexto">
          <a:extLst>
            <a:ext uri="{FF2B5EF4-FFF2-40B4-BE49-F238E27FC236}">
              <a16:creationId xmlns:a16="http://schemas.microsoft.com/office/drawing/2014/main" id="{00000000-0008-0000-2000-00000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1" name="145 CuadroTexto">
          <a:extLst>
            <a:ext uri="{FF2B5EF4-FFF2-40B4-BE49-F238E27FC236}">
              <a16:creationId xmlns:a16="http://schemas.microsoft.com/office/drawing/2014/main" id="{00000000-0008-0000-2000-00000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2" name="146 CuadroTexto">
          <a:extLst>
            <a:ext uri="{FF2B5EF4-FFF2-40B4-BE49-F238E27FC236}">
              <a16:creationId xmlns:a16="http://schemas.microsoft.com/office/drawing/2014/main" id="{00000000-0008-0000-2000-00000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3" name="147 CuadroTexto">
          <a:extLst>
            <a:ext uri="{FF2B5EF4-FFF2-40B4-BE49-F238E27FC236}">
              <a16:creationId xmlns:a16="http://schemas.microsoft.com/office/drawing/2014/main" id="{00000000-0008-0000-2000-00000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4" name="148 CuadroTexto">
          <a:extLst>
            <a:ext uri="{FF2B5EF4-FFF2-40B4-BE49-F238E27FC236}">
              <a16:creationId xmlns:a16="http://schemas.microsoft.com/office/drawing/2014/main" id="{00000000-0008-0000-2000-00001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5" name="149 CuadroTexto">
          <a:extLst>
            <a:ext uri="{FF2B5EF4-FFF2-40B4-BE49-F238E27FC236}">
              <a16:creationId xmlns:a16="http://schemas.microsoft.com/office/drawing/2014/main" id="{00000000-0008-0000-2000-00001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6" name="150 CuadroTexto">
          <a:extLst>
            <a:ext uri="{FF2B5EF4-FFF2-40B4-BE49-F238E27FC236}">
              <a16:creationId xmlns:a16="http://schemas.microsoft.com/office/drawing/2014/main" id="{00000000-0008-0000-2000-00001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7" name="151 CuadroTexto">
          <a:extLst>
            <a:ext uri="{FF2B5EF4-FFF2-40B4-BE49-F238E27FC236}">
              <a16:creationId xmlns:a16="http://schemas.microsoft.com/office/drawing/2014/main" id="{00000000-0008-0000-2000-00001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8" name="152 CuadroTexto">
          <a:extLst>
            <a:ext uri="{FF2B5EF4-FFF2-40B4-BE49-F238E27FC236}">
              <a16:creationId xmlns:a16="http://schemas.microsoft.com/office/drawing/2014/main" id="{00000000-0008-0000-2000-00001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9" name="153 CuadroTexto">
          <a:extLst>
            <a:ext uri="{FF2B5EF4-FFF2-40B4-BE49-F238E27FC236}">
              <a16:creationId xmlns:a16="http://schemas.microsoft.com/office/drawing/2014/main" id="{00000000-0008-0000-2000-00001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0" name="154 CuadroTexto">
          <a:extLst>
            <a:ext uri="{FF2B5EF4-FFF2-40B4-BE49-F238E27FC236}">
              <a16:creationId xmlns:a16="http://schemas.microsoft.com/office/drawing/2014/main" id="{00000000-0008-0000-2000-00001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1" name="155 CuadroTexto">
          <a:extLst>
            <a:ext uri="{FF2B5EF4-FFF2-40B4-BE49-F238E27FC236}">
              <a16:creationId xmlns:a16="http://schemas.microsoft.com/office/drawing/2014/main" id="{00000000-0008-0000-2000-00001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2" name="156 CuadroTexto">
          <a:extLst>
            <a:ext uri="{FF2B5EF4-FFF2-40B4-BE49-F238E27FC236}">
              <a16:creationId xmlns:a16="http://schemas.microsoft.com/office/drawing/2014/main" id="{00000000-0008-0000-2000-00001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3" name="157 CuadroTexto">
          <a:extLst>
            <a:ext uri="{FF2B5EF4-FFF2-40B4-BE49-F238E27FC236}">
              <a16:creationId xmlns:a16="http://schemas.microsoft.com/office/drawing/2014/main" id="{00000000-0008-0000-2000-00001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4" name="158 CuadroTexto">
          <a:extLst>
            <a:ext uri="{FF2B5EF4-FFF2-40B4-BE49-F238E27FC236}">
              <a16:creationId xmlns:a16="http://schemas.microsoft.com/office/drawing/2014/main" id="{00000000-0008-0000-2000-00001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5" name="159 CuadroTexto">
          <a:extLst>
            <a:ext uri="{FF2B5EF4-FFF2-40B4-BE49-F238E27FC236}">
              <a16:creationId xmlns:a16="http://schemas.microsoft.com/office/drawing/2014/main" id="{00000000-0008-0000-2000-00001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6" name="160 CuadroTexto">
          <a:extLst>
            <a:ext uri="{FF2B5EF4-FFF2-40B4-BE49-F238E27FC236}">
              <a16:creationId xmlns:a16="http://schemas.microsoft.com/office/drawing/2014/main" id="{00000000-0008-0000-2000-00001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7" name="161 CuadroTexto">
          <a:extLst>
            <a:ext uri="{FF2B5EF4-FFF2-40B4-BE49-F238E27FC236}">
              <a16:creationId xmlns:a16="http://schemas.microsoft.com/office/drawing/2014/main" id="{00000000-0008-0000-2000-00001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8" name="162 CuadroTexto">
          <a:extLst>
            <a:ext uri="{FF2B5EF4-FFF2-40B4-BE49-F238E27FC236}">
              <a16:creationId xmlns:a16="http://schemas.microsoft.com/office/drawing/2014/main" id="{00000000-0008-0000-2000-00001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9" name="163 CuadroTexto">
          <a:extLst>
            <a:ext uri="{FF2B5EF4-FFF2-40B4-BE49-F238E27FC236}">
              <a16:creationId xmlns:a16="http://schemas.microsoft.com/office/drawing/2014/main" id="{00000000-0008-0000-2000-00001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0" name="164 CuadroTexto">
          <a:extLst>
            <a:ext uri="{FF2B5EF4-FFF2-40B4-BE49-F238E27FC236}">
              <a16:creationId xmlns:a16="http://schemas.microsoft.com/office/drawing/2014/main" id="{00000000-0008-0000-2000-00002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1" name="165 CuadroTexto">
          <a:extLst>
            <a:ext uri="{FF2B5EF4-FFF2-40B4-BE49-F238E27FC236}">
              <a16:creationId xmlns:a16="http://schemas.microsoft.com/office/drawing/2014/main" id="{00000000-0008-0000-2000-00002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2" name="166 CuadroTexto">
          <a:extLst>
            <a:ext uri="{FF2B5EF4-FFF2-40B4-BE49-F238E27FC236}">
              <a16:creationId xmlns:a16="http://schemas.microsoft.com/office/drawing/2014/main" id="{00000000-0008-0000-2000-00002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3" name="167 CuadroTexto">
          <a:extLst>
            <a:ext uri="{FF2B5EF4-FFF2-40B4-BE49-F238E27FC236}">
              <a16:creationId xmlns:a16="http://schemas.microsoft.com/office/drawing/2014/main" id="{00000000-0008-0000-2000-00002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4" name="168 CuadroTexto">
          <a:extLst>
            <a:ext uri="{FF2B5EF4-FFF2-40B4-BE49-F238E27FC236}">
              <a16:creationId xmlns:a16="http://schemas.microsoft.com/office/drawing/2014/main" id="{00000000-0008-0000-2000-00002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5" name="169 CuadroTexto">
          <a:extLst>
            <a:ext uri="{FF2B5EF4-FFF2-40B4-BE49-F238E27FC236}">
              <a16:creationId xmlns:a16="http://schemas.microsoft.com/office/drawing/2014/main" id="{00000000-0008-0000-2000-00002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6" name="170 CuadroTexto">
          <a:extLst>
            <a:ext uri="{FF2B5EF4-FFF2-40B4-BE49-F238E27FC236}">
              <a16:creationId xmlns:a16="http://schemas.microsoft.com/office/drawing/2014/main" id="{00000000-0008-0000-2000-00002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7" name="171 CuadroTexto">
          <a:extLst>
            <a:ext uri="{FF2B5EF4-FFF2-40B4-BE49-F238E27FC236}">
              <a16:creationId xmlns:a16="http://schemas.microsoft.com/office/drawing/2014/main" id="{00000000-0008-0000-2000-00002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8" name="172 CuadroTexto">
          <a:extLst>
            <a:ext uri="{FF2B5EF4-FFF2-40B4-BE49-F238E27FC236}">
              <a16:creationId xmlns:a16="http://schemas.microsoft.com/office/drawing/2014/main" id="{00000000-0008-0000-2000-00002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9" name="173 CuadroTexto">
          <a:extLst>
            <a:ext uri="{FF2B5EF4-FFF2-40B4-BE49-F238E27FC236}">
              <a16:creationId xmlns:a16="http://schemas.microsoft.com/office/drawing/2014/main" id="{00000000-0008-0000-2000-00002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0" name="174 CuadroTexto">
          <a:extLst>
            <a:ext uri="{FF2B5EF4-FFF2-40B4-BE49-F238E27FC236}">
              <a16:creationId xmlns:a16="http://schemas.microsoft.com/office/drawing/2014/main" id="{00000000-0008-0000-2000-00002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1" name="175 CuadroTexto">
          <a:extLst>
            <a:ext uri="{FF2B5EF4-FFF2-40B4-BE49-F238E27FC236}">
              <a16:creationId xmlns:a16="http://schemas.microsoft.com/office/drawing/2014/main" id="{00000000-0008-0000-2000-00002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2" name="176 CuadroTexto">
          <a:extLst>
            <a:ext uri="{FF2B5EF4-FFF2-40B4-BE49-F238E27FC236}">
              <a16:creationId xmlns:a16="http://schemas.microsoft.com/office/drawing/2014/main" id="{00000000-0008-0000-2000-00002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3" name="177 CuadroTexto">
          <a:extLst>
            <a:ext uri="{FF2B5EF4-FFF2-40B4-BE49-F238E27FC236}">
              <a16:creationId xmlns:a16="http://schemas.microsoft.com/office/drawing/2014/main" id="{00000000-0008-0000-2000-00002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4" name="178 CuadroTexto">
          <a:extLst>
            <a:ext uri="{FF2B5EF4-FFF2-40B4-BE49-F238E27FC236}">
              <a16:creationId xmlns:a16="http://schemas.microsoft.com/office/drawing/2014/main" id="{00000000-0008-0000-2000-00002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5" name="179 CuadroTexto">
          <a:extLst>
            <a:ext uri="{FF2B5EF4-FFF2-40B4-BE49-F238E27FC236}">
              <a16:creationId xmlns:a16="http://schemas.microsoft.com/office/drawing/2014/main" id="{00000000-0008-0000-2000-00002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6" name="180 CuadroTexto">
          <a:extLst>
            <a:ext uri="{FF2B5EF4-FFF2-40B4-BE49-F238E27FC236}">
              <a16:creationId xmlns:a16="http://schemas.microsoft.com/office/drawing/2014/main" id="{00000000-0008-0000-2000-00003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7" name="181 CuadroTexto">
          <a:extLst>
            <a:ext uri="{FF2B5EF4-FFF2-40B4-BE49-F238E27FC236}">
              <a16:creationId xmlns:a16="http://schemas.microsoft.com/office/drawing/2014/main" id="{00000000-0008-0000-2000-00003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8" name="182 CuadroTexto">
          <a:extLst>
            <a:ext uri="{FF2B5EF4-FFF2-40B4-BE49-F238E27FC236}">
              <a16:creationId xmlns:a16="http://schemas.microsoft.com/office/drawing/2014/main" id="{00000000-0008-0000-2000-00003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9" name="183 CuadroTexto">
          <a:extLst>
            <a:ext uri="{FF2B5EF4-FFF2-40B4-BE49-F238E27FC236}">
              <a16:creationId xmlns:a16="http://schemas.microsoft.com/office/drawing/2014/main" id="{00000000-0008-0000-2000-00003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0" name="184 CuadroTexto">
          <a:extLst>
            <a:ext uri="{FF2B5EF4-FFF2-40B4-BE49-F238E27FC236}">
              <a16:creationId xmlns:a16="http://schemas.microsoft.com/office/drawing/2014/main" id="{00000000-0008-0000-2000-00003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1" name="185 CuadroTexto">
          <a:extLst>
            <a:ext uri="{FF2B5EF4-FFF2-40B4-BE49-F238E27FC236}">
              <a16:creationId xmlns:a16="http://schemas.microsoft.com/office/drawing/2014/main" id="{00000000-0008-0000-2000-00003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2" name="186 CuadroTexto">
          <a:extLst>
            <a:ext uri="{FF2B5EF4-FFF2-40B4-BE49-F238E27FC236}">
              <a16:creationId xmlns:a16="http://schemas.microsoft.com/office/drawing/2014/main" id="{00000000-0008-0000-2000-00003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3" name="187 CuadroTexto">
          <a:extLst>
            <a:ext uri="{FF2B5EF4-FFF2-40B4-BE49-F238E27FC236}">
              <a16:creationId xmlns:a16="http://schemas.microsoft.com/office/drawing/2014/main" id="{00000000-0008-0000-2000-00003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4" name="188 CuadroTexto">
          <a:extLst>
            <a:ext uri="{FF2B5EF4-FFF2-40B4-BE49-F238E27FC236}">
              <a16:creationId xmlns:a16="http://schemas.microsoft.com/office/drawing/2014/main" id="{00000000-0008-0000-2000-00003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5" name="189 CuadroTexto">
          <a:extLst>
            <a:ext uri="{FF2B5EF4-FFF2-40B4-BE49-F238E27FC236}">
              <a16:creationId xmlns:a16="http://schemas.microsoft.com/office/drawing/2014/main" id="{00000000-0008-0000-2000-00003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6" name="190 CuadroTexto">
          <a:extLst>
            <a:ext uri="{FF2B5EF4-FFF2-40B4-BE49-F238E27FC236}">
              <a16:creationId xmlns:a16="http://schemas.microsoft.com/office/drawing/2014/main" id="{00000000-0008-0000-2000-00003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7" name="191 CuadroTexto">
          <a:extLst>
            <a:ext uri="{FF2B5EF4-FFF2-40B4-BE49-F238E27FC236}">
              <a16:creationId xmlns:a16="http://schemas.microsoft.com/office/drawing/2014/main" id="{00000000-0008-0000-2000-00003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8" name="192 CuadroTexto">
          <a:extLst>
            <a:ext uri="{FF2B5EF4-FFF2-40B4-BE49-F238E27FC236}">
              <a16:creationId xmlns:a16="http://schemas.microsoft.com/office/drawing/2014/main" id="{00000000-0008-0000-2000-00003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9" name="193 CuadroTexto">
          <a:extLst>
            <a:ext uri="{FF2B5EF4-FFF2-40B4-BE49-F238E27FC236}">
              <a16:creationId xmlns:a16="http://schemas.microsoft.com/office/drawing/2014/main" id="{00000000-0008-0000-2000-00003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0" name="194 CuadroTexto">
          <a:extLst>
            <a:ext uri="{FF2B5EF4-FFF2-40B4-BE49-F238E27FC236}">
              <a16:creationId xmlns:a16="http://schemas.microsoft.com/office/drawing/2014/main" id="{00000000-0008-0000-2000-00003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1" name="195 CuadroTexto">
          <a:extLst>
            <a:ext uri="{FF2B5EF4-FFF2-40B4-BE49-F238E27FC236}">
              <a16:creationId xmlns:a16="http://schemas.microsoft.com/office/drawing/2014/main" id="{00000000-0008-0000-2000-00003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2" name="196 CuadroTexto">
          <a:extLst>
            <a:ext uri="{FF2B5EF4-FFF2-40B4-BE49-F238E27FC236}">
              <a16:creationId xmlns:a16="http://schemas.microsoft.com/office/drawing/2014/main" id="{00000000-0008-0000-2000-00004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3" name="197 CuadroTexto">
          <a:extLst>
            <a:ext uri="{FF2B5EF4-FFF2-40B4-BE49-F238E27FC236}">
              <a16:creationId xmlns:a16="http://schemas.microsoft.com/office/drawing/2014/main" id="{00000000-0008-0000-2000-00004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4" name="198 CuadroTexto">
          <a:extLst>
            <a:ext uri="{FF2B5EF4-FFF2-40B4-BE49-F238E27FC236}">
              <a16:creationId xmlns:a16="http://schemas.microsoft.com/office/drawing/2014/main" id="{00000000-0008-0000-2000-00004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5" name="199 CuadroTexto">
          <a:extLst>
            <a:ext uri="{FF2B5EF4-FFF2-40B4-BE49-F238E27FC236}">
              <a16:creationId xmlns:a16="http://schemas.microsoft.com/office/drawing/2014/main" id="{00000000-0008-0000-2000-00004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6" name="200 CuadroTexto">
          <a:extLst>
            <a:ext uri="{FF2B5EF4-FFF2-40B4-BE49-F238E27FC236}">
              <a16:creationId xmlns:a16="http://schemas.microsoft.com/office/drawing/2014/main" id="{00000000-0008-0000-2000-00004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7" name="201 CuadroTexto">
          <a:extLst>
            <a:ext uri="{FF2B5EF4-FFF2-40B4-BE49-F238E27FC236}">
              <a16:creationId xmlns:a16="http://schemas.microsoft.com/office/drawing/2014/main" id="{00000000-0008-0000-2000-00004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8" name="202 CuadroTexto">
          <a:extLst>
            <a:ext uri="{FF2B5EF4-FFF2-40B4-BE49-F238E27FC236}">
              <a16:creationId xmlns:a16="http://schemas.microsoft.com/office/drawing/2014/main" id="{00000000-0008-0000-2000-00004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9" name="203 CuadroTexto">
          <a:extLst>
            <a:ext uri="{FF2B5EF4-FFF2-40B4-BE49-F238E27FC236}">
              <a16:creationId xmlns:a16="http://schemas.microsoft.com/office/drawing/2014/main" id="{00000000-0008-0000-2000-00004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0" name="204 CuadroTexto">
          <a:extLst>
            <a:ext uri="{FF2B5EF4-FFF2-40B4-BE49-F238E27FC236}">
              <a16:creationId xmlns:a16="http://schemas.microsoft.com/office/drawing/2014/main" id="{00000000-0008-0000-2000-00004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1" name="205 CuadroTexto">
          <a:extLst>
            <a:ext uri="{FF2B5EF4-FFF2-40B4-BE49-F238E27FC236}">
              <a16:creationId xmlns:a16="http://schemas.microsoft.com/office/drawing/2014/main" id="{00000000-0008-0000-2000-00004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2" name="206 CuadroTexto">
          <a:extLst>
            <a:ext uri="{FF2B5EF4-FFF2-40B4-BE49-F238E27FC236}">
              <a16:creationId xmlns:a16="http://schemas.microsoft.com/office/drawing/2014/main" id="{00000000-0008-0000-2000-00004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3" name="207 CuadroTexto">
          <a:extLst>
            <a:ext uri="{FF2B5EF4-FFF2-40B4-BE49-F238E27FC236}">
              <a16:creationId xmlns:a16="http://schemas.microsoft.com/office/drawing/2014/main" id="{00000000-0008-0000-2000-00004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4" name="208 CuadroTexto">
          <a:extLst>
            <a:ext uri="{FF2B5EF4-FFF2-40B4-BE49-F238E27FC236}">
              <a16:creationId xmlns:a16="http://schemas.microsoft.com/office/drawing/2014/main" id="{00000000-0008-0000-2000-00004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5" name="209 CuadroTexto">
          <a:extLst>
            <a:ext uri="{FF2B5EF4-FFF2-40B4-BE49-F238E27FC236}">
              <a16:creationId xmlns:a16="http://schemas.microsoft.com/office/drawing/2014/main" id="{00000000-0008-0000-2000-00004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6" name="210 CuadroTexto">
          <a:extLst>
            <a:ext uri="{FF2B5EF4-FFF2-40B4-BE49-F238E27FC236}">
              <a16:creationId xmlns:a16="http://schemas.microsoft.com/office/drawing/2014/main" id="{00000000-0008-0000-2000-00004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7" name="211 CuadroTexto">
          <a:extLst>
            <a:ext uri="{FF2B5EF4-FFF2-40B4-BE49-F238E27FC236}">
              <a16:creationId xmlns:a16="http://schemas.microsoft.com/office/drawing/2014/main" id="{00000000-0008-0000-2000-00004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8" name="212 CuadroTexto">
          <a:extLst>
            <a:ext uri="{FF2B5EF4-FFF2-40B4-BE49-F238E27FC236}">
              <a16:creationId xmlns:a16="http://schemas.microsoft.com/office/drawing/2014/main" id="{00000000-0008-0000-2000-00005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9" name="213 CuadroTexto">
          <a:extLst>
            <a:ext uri="{FF2B5EF4-FFF2-40B4-BE49-F238E27FC236}">
              <a16:creationId xmlns:a16="http://schemas.microsoft.com/office/drawing/2014/main" id="{00000000-0008-0000-2000-00005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0" name="214 CuadroTexto">
          <a:extLst>
            <a:ext uri="{FF2B5EF4-FFF2-40B4-BE49-F238E27FC236}">
              <a16:creationId xmlns:a16="http://schemas.microsoft.com/office/drawing/2014/main" id="{00000000-0008-0000-2000-00005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1" name="215 CuadroTexto">
          <a:extLst>
            <a:ext uri="{FF2B5EF4-FFF2-40B4-BE49-F238E27FC236}">
              <a16:creationId xmlns:a16="http://schemas.microsoft.com/office/drawing/2014/main" id="{00000000-0008-0000-2000-00005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2" name="216 CuadroTexto">
          <a:extLst>
            <a:ext uri="{FF2B5EF4-FFF2-40B4-BE49-F238E27FC236}">
              <a16:creationId xmlns:a16="http://schemas.microsoft.com/office/drawing/2014/main" id="{00000000-0008-0000-2000-00005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3" name="217 CuadroTexto">
          <a:extLst>
            <a:ext uri="{FF2B5EF4-FFF2-40B4-BE49-F238E27FC236}">
              <a16:creationId xmlns:a16="http://schemas.microsoft.com/office/drawing/2014/main" id="{00000000-0008-0000-2000-00005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4" name="218 CuadroTexto">
          <a:extLst>
            <a:ext uri="{FF2B5EF4-FFF2-40B4-BE49-F238E27FC236}">
              <a16:creationId xmlns:a16="http://schemas.microsoft.com/office/drawing/2014/main" id="{00000000-0008-0000-2000-00005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5" name="219 CuadroTexto">
          <a:extLst>
            <a:ext uri="{FF2B5EF4-FFF2-40B4-BE49-F238E27FC236}">
              <a16:creationId xmlns:a16="http://schemas.microsoft.com/office/drawing/2014/main" id="{00000000-0008-0000-2000-00005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6" name="220 CuadroTexto">
          <a:extLst>
            <a:ext uri="{FF2B5EF4-FFF2-40B4-BE49-F238E27FC236}">
              <a16:creationId xmlns:a16="http://schemas.microsoft.com/office/drawing/2014/main" id="{00000000-0008-0000-2000-00005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7" name="221 CuadroTexto">
          <a:extLst>
            <a:ext uri="{FF2B5EF4-FFF2-40B4-BE49-F238E27FC236}">
              <a16:creationId xmlns:a16="http://schemas.microsoft.com/office/drawing/2014/main" id="{00000000-0008-0000-2000-00005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8" name="222 CuadroTexto">
          <a:extLst>
            <a:ext uri="{FF2B5EF4-FFF2-40B4-BE49-F238E27FC236}">
              <a16:creationId xmlns:a16="http://schemas.microsoft.com/office/drawing/2014/main" id="{00000000-0008-0000-2000-00005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9" name="223 CuadroTexto">
          <a:extLst>
            <a:ext uri="{FF2B5EF4-FFF2-40B4-BE49-F238E27FC236}">
              <a16:creationId xmlns:a16="http://schemas.microsoft.com/office/drawing/2014/main" id="{00000000-0008-0000-2000-00005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0" name="224 CuadroTexto">
          <a:extLst>
            <a:ext uri="{FF2B5EF4-FFF2-40B4-BE49-F238E27FC236}">
              <a16:creationId xmlns:a16="http://schemas.microsoft.com/office/drawing/2014/main" id="{00000000-0008-0000-2000-00005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1" name="225 CuadroTexto">
          <a:extLst>
            <a:ext uri="{FF2B5EF4-FFF2-40B4-BE49-F238E27FC236}">
              <a16:creationId xmlns:a16="http://schemas.microsoft.com/office/drawing/2014/main" id="{00000000-0008-0000-2000-00005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2" name="226 CuadroTexto">
          <a:extLst>
            <a:ext uri="{FF2B5EF4-FFF2-40B4-BE49-F238E27FC236}">
              <a16:creationId xmlns:a16="http://schemas.microsoft.com/office/drawing/2014/main" id="{00000000-0008-0000-2000-00005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3" name="227 CuadroTexto">
          <a:extLst>
            <a:ext uri="{FF2B5EF4-FFF2-40B4-BE49-F238E27FC236}">
              <a16:creationId xmlns:a16="http://schemas.microsoft.com/office/drawing/2014/main" id="{00000000-0008-0000-2000-00005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4" name="228 CuadroTexto">
          <a:extLst>
            <a:ext uri="{FF2B5EF4-FFF2-40B4-BE49-F238E27FC236}">
              <a16:creationId xmlns:a16="http://schemas.microsoft.com/office/drawing/2014/main" id="{00000000-0008-0000-2000-00006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5" name="229 CuadroTexto">
          <a:extLst>
            <a:ext uri="{FF2B5EF4-FFF2-40B4-BE49-F238E27FC236}">
              <a16:creationId xmlns:a16="http://schemas.microsoft.com/office/drawing/2014/main" id="{00000000-0008-0000-2000-00006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6" name="230 CuadroTexto">
          <a:extLst>
            <a:ext uri="{FF2B5EF4-FFF2-40B4-BE49-F238E27FC236}">
              <a16:creationId xmlns:a16="http://schemas.microsoft.com/office/drawing/2014/main" id="{00000000-0008-0000-2000-00006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7" name="231 CuadroTexto">
          <a:extLst>
            <a:ext uri="{FF2B5EF4-FFF2-40B4-BE49-F238E27FC236}">
              <a16:creationId xmlns:a16="http://schemas.microsoft.com/office/drawing/2014/main" id="{00000000-0008-0000-2000-00006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8" name="232 CuadroTexto">
          <a:extLst>
            <a:ext uri="{FF2B5EF4-FFF2-40B4-BE49-F238E27FC236}">
              <a16:creationId xmlns:a16="http://schemas.microsoft.com/office/drawing/2014/main" id="{00000000-0008-0000-2000-00006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9" name="233 CuadroTexto">
          <a:extLst>
            <a:ext uri="{FF2B5EF4-FFF2-40B4-BE49-F238E27FC236}">
              <a16:creationId xmlns:a16="http://schemas.microsoft.com/office/drawing/2014/main" id="{00000000-0008-0000-2000-00006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0" name="234 CuadroTexto">
          <a:extLst>
            <a:ext uri="{FF2B5EF4-FFF2-40B4-BE49-F238E27FC236}">
              <a16:creationId xmlns:a16="http://schemas.microsoft.com/office/drawing/2014/main" id="{00000000-0008-0000-2000-00006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1" name="235 CuadroTexto">
          <a:extLst>
            <a:ext uri="{FF2B5EF4-FFF2-40B4-BE49-F238E27FC236}">
              <a16:creationId xmlns:a16="http://schemas.microsoft.com/office/drawing/2014/main" id="{00000000-0008-0000-2000-00006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2" name="236 CuadroTexto">
          <a:extLst>
            <a:ext uri="{FF2B5EF4-FFF2-40B4-BE49-F238E27FC236}">
              <a16:creationId xmlns:a16="http://schemas.microsoft.com/office/drawing/2014/main" id="{00000000-0008-0000-2000-00006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3" name="237 CuadroTexto">
          <a:extLst>
            <a:ext uri="{FF2B5EF4-FFF2-40B4-BE49-F238E27FC236}">
              <a16:creationId xmlns:a16="http://schemas.microsoft.com/office/drawing/2014/main" id="{00000000-0008-0000-2000-00006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4" name="238 CuadroTexto">
          <a:extLst>
            <a:ext uri="{FF2B5EF4-FFF2-40B4-BE49-F238E27FC236}">
              <a16:creationId xmlns:a16="http://schemas.microsoft.com/office/drawing/2014/main" id="{00000000-0008-0000-2000-00006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5" name="239 CuadroTexto">
          <a:extLst>
            <a:ext uri="{FF2B5EF4-FFF2-40B4-BE49-F238E27FC236}">
              <a16:creationId xmlns:a16="http://schemas.microsoft.com/office/drawing/2014/main" id="{00000000-0008-0000-2000-00006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6" name="240 CuadroTexto">
          <a:extLst>
            <a:ext uri="{FF2B5EF4-FFF2-40B4-BE49-F238E27FC236}">
              <a16:creationId xmlns:a16="http://schemas.microsoft.com/office/drawing/2014/main" id="{00000000-0008-0000-2000-00006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7" name="241 CuadroTexto">
          <a:extLst>
            <a:ext uri="{FF2B5EF4-FFF2-40B4-BE49-F238E27FC236}">
              <a16:creationId xmlns:a16="http://schemas.microsoft.com/office/drawing/2014/main" id="{00000000-0008-0000-2000-00006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8" name="242 CuadroTexto">
          <a:extLst>
            <a:ext uri="{FF2B5EF4-FFF2-40B4-BE49-F238E27FC236}">
              <a16:creationId xmlns:a16="http://schemas.microsoft.com/office/drawing/2014/main" id="{00000000-0008-0000-2000-00006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9" name="243 CuadroTexto">
          <a:extLst>
            <a:ext uri="{FF2B5EF4-FFF2-40B4-BE49-F238E27FC236}">
              <a16:creationId xmlns:a16="http://schemas.microsoft.com/office/drawing/2014/main" id="{00000000-0008-0000-2000-00006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0" name="244 CuadroTexto">
          <a:extLst>
            <a:ext uri="{FF2B5EF4-FFF2-40B4-BE49-F238E27FC236}">
              <a16:creationId xmlns:a16="http://schemas.microsoft.com/office/drawing/2014/main" id="{00000000-0008-0000-2000-00007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1" name="245 CuadroTexto">
          <a:extLst>
            <a:ext uri="{FF2B5EF4-FFF2-40B4-BE49-F238E27FC236}">
              <a16:creationId xmlns:a16="http://schemas.microsoft.com/office/drawing/2014/main" id="{00000000-0008-0000-2000-00007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2" name="246 CuadroTexto">
          <a:extLst>
            <a:ext uri="{FF2B5EF4-FFF2-40B4-BE49-F238E27FC236}">
              <a16:creationId xmlns:a16="http://schemas.microsoft.com/office/drawing/2014/main" id="{00000000-0008-0000-2000-00007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3" name="247 CuadroTexto">
          <a:extLst>
            <a:ext uri="{FF2B5EF4-FFF2-40B4-BE49-F238E27FC236}">
              <a16:creationId xmlns:a16="http://schemas.microsoft.com/office/drawing/2014/main" id="{00000000-0008-0000-2000-00007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4" name="248 CuadroTexto">
          <a:extLst>
            <a:ext uri="{FF2B5EF4-FFF2-40B4-BE49-F238E27FC236}">
              <a16:creationId xmlns:a16="http://schemas.microsoft.com/office/drawing/2014/main" id="{00000000-0008-0000-2000-00007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5" name="249 CuadroTexto">
          <a:extLst>
            <a:ext uri="{FF2B5EF4-FFF2-40B4-BE49-F238E27FC236}">
              <a16:creationId xmlns:a16="http://schemas.microsoft.com/office/drawing/2014/main" id="{00000000-0008-0000-2000-00007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6" name="250 CuadroTexto">
          <a:extLst>
            <a:ext uri="{FF2B5EF4-FFF2-40B4-BE49-F238E27FC236}">
              <a16:creationId xmlns:a16="http://schemas.microsoft.com/office/drawing/2014/main" id="{00000000-0008-0000-2000-00007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7" name="251 CuadroTexto">
          <a:extLst>
            <a:ext uri="{FF2B5EF4-FFF2-40B4-BE49-F238E27FC236}">
              <a16:creationId xmlns:a16="http://schemas.microsoft.com/office/drawing/2014/main" id="{00000000-0008-0000-2000-00007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8" name="252 CuadroTexto">
          <a:extLst>
            <a:ext uri="{FF2B5EF4-FFF2-40B4-BE49-F238E27FC236}">
              <a16:creationId xmlns:a16="http://schemas.microsoft.com/office/drawing/2014/main" id="{00000000-0008-0000-2000-00007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9" name="253 CuadroTexto">
          <a:extLst>
            <a:ext uri="{FF2B5EF4-FFF2-40B4-BE49-F238E27FC236}">
              <a16:creationId xmlns:a16="http://schemas.microsoft.com/office/drawing/2014/main" id="{00000000-0008-0000-2000-00007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0" name="254 CuadroTexto">
          <a:extLst>
            <a:ext uri="{FF2B5EF4-FFF2-40B4-BE49-F238E27FC236}">
              <a16:creationId xmlns:a16="http://schemas.microsoft.com/office/drawing/2014/main" id="{00000000-0008-0000-2000-00007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1" name="255 CuadroTexto">
          <a:extLst>
            <a:ext uri="{FF2B5EF4-FFF2-40B4-BE49-F238E27FC236}">
              <a16:creationId xmlns:a16="http://schemas.microsoft.com/office/drawing/2014/main" id="{00000000-0008-0000-2000-00007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2" name="256 CuadroTexto">
          <a:extLst>
            <a:ext uri="{FF2B5EF4-FFF2-40B4-BE49-F238E27FC236}">
              <a16:creationId xmlns:a16="http://schemas.microsoft.com/office/drawing/2014/main" id="{00000000-0008-0000-2000-00007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3" name="257 CuadroTexto">
          <a:extLst>
            <a:ext uri="{FF2B5EF4-FFF2-40B4-BE49-F238E27FC236}">
              <a16:creationId xmlns:a16="http://schemas.microsoft.com/office/drawing/2014/main" id="{00000000-0008-0000-2000-00007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4" name="258 CuadroTexto">
          <a:extLst>
            <a:ext uri="{FF2B5EF4-FFF2-40B4-BE49-F238E27FC236}">
              <a16:creationId xmlns:a16="http://schemas.microsoft.com/office/drawing/2014/main" id="{00000000-0008-0000-2000-00007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5" name="259 CuadroTexto">
          <a:extLst>
            <a:ext uri="{FF2B5EF4-FFF2-40B4-BE49-F238E27FC236}">
              <a16:creationId xmlns:a16="http://schemas.microsoft.com/office/drawing/2014/main" id="{00000000-0008-0000-2000-00007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6" name="260 CuadroTexto">
          <a:extLst>
            <a:ext uri="{FF2B5EF4-FFF2-40B4-BE49-F238E27FC236}">
              <a16:creationId xmlns:a16="http://schemas.microsoft.com/office/drawing/2014/main" id="{00000000-0008-0000-2000-00008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7" name="261 CuadroTexto">
          <a:extLst>
            <a:ext uri="{FF2B5EF4-FFF2-40B4-BE49-F238E27FC236}">
              <a16:creationId xmlns:a16="http://schemas.microsoft.com/office/drawing/2014/main" id="{00000000-0008-0000-2000-00008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8" name="262 CuadroTexto">
          <a:extLst>
            <a:ext uri="{FF2B5EF4-FFF2-40B4-BE49-F238E27FC236}">
              <a16:creationId xmlns:a16="http://schemas.microsoft.com/office/drawing/2014/main" id="{00000000-0008-0000-2000-00008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9" name="263 CuadroTexto">
          <a:extLst>
            <a:ext uri="{FF2B5EF4-FFF2-40B4-BE49-F238E27FC236}">
              <a16:creationId xmlns:a16="http://schemas.microsoft.com/office/drawing/2014/main" id="{00000000-0008-0000-2000-00008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0" name="264 CuadroTexto">
          <a:extLst>
            <a:ext uri="{FF2B5EF4-FFF2-40B4-BE49-F238E27FC236}">
              <a16:creationId xmlns:a16="http://schemas.microsoft.com/office/drawing/2014/main" id="{00000000-0008-0000-2000-00008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1" name="265 CuadroTexto">
          <a:extLst>
            <a:ext uri="{FF2B5EF4-FFF2-40B4-BE49-F238E27FC236}">
              <a16:creationId xmlns:a16="http://schemas.microsoft.com/office/drawing/2014/main" id="{00000000-0008-0000-2000-00008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2" name="266 CuadroTexto">
          <a:extLst>
            <a:ext uri="{FF2B5EF4-FFF2-40B4-BE49-F238E27FC236}">
              <a16:creationId xmlns:a16="http://schemas.microsoft.com/office/drawing/2014/main" id="{00000000-0008-0000-2000-00008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3" name="267 CuadroTexto">
          <a:extLst>
            <a:ext uri="{FF2B5EF4-FFF2-40B4-BE49-F238E27FC236}">
              <a16:creationId xmlns:a16="http://schemas.microsoft.com/office/drawing/2014/main" id="{00000000-0008-0000-2000-00008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2366" cy="207869"/>
    <xdr:sp macro="" textlink="">
      <xdr:nvSpPr>
        <xdr:cNvPr id="2184" name="268 CuadroTexto">
          <a:extLst>
            <a:ext uri="{FF2B5EF4-FFF2-40B4-BE49-F238E27FC236}">
              <a16:creationId xmlns:a16="http://schemas.microsoft.com/office/drawing/2014/main" id="{00000000-0008-0000-2000-00008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5" name="269 CuadroTexto">
          <a:extLst>
            <a:ext uri="{FF2B5EF4-FFF2-40B4-BE49-F238E27FC236}">
              <a16:creationId xmlns:a16="http://schemas.microsoft.com/office/drawing/2014/main" id="{00000000-0008-0000-2000-000089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6" name="270 CuadroTexto">
          <a:extLst>
            <a:ext uri="{FF2B5EF4-FFF2-40B4-BE49-F238E27FC236}">
              <a16:creationId xmlns:a16="http://schemas.microsoft.com/office/drawing/2014/main" id="{00000000-0008-0000-2000-00008A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7" name="271 CuadroTexto">
          <a:extLst>
            <a:ext uri="{FF2B5EF4-FFF2-40B4-BE49-F238E27FC236}">
              <a16:creationId xmlns:a16="http://schemas.microsoft.com/office/drawing/2014/main" id="{00000000-0008-0000-2000-00008B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8" name="272 CuadroTexto">
          <a:extLst>
            <a:ext uri="{FF2B5EF4-FFF2-40B4-BE49-F238E27FC236}">
              <a16:creationId xmlns:a16="http://schemas.microsoft.com/office/drawing/2014/main" id="{00000000-0008-0000-2000-00008C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9" name="273 CuadroTexto">
          <a:extLst>
            <a:ext uri="{FF2B5EF4-FFF2-40B4-BE49-F238E27FC236}">
              <a16:creationId xmlns:a16="http://schemas.microsoft.com/office/drawing/2014/main" id="{00000000-0008-0000-2000-00008D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0" name="274 CuadroTexto">
          <a:extLst>
            <a:ext uri="{FF2B5EF4-FFF2-40B4-BE49-F238E27FC236}">
              <a16:creationId xmlns:a16="http://schemas.microsoft.com/office/drawing/2014/main" id="{00000000-0008-0000-2000-00008E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1" name="275 CuadroTexto">
          <a:extLst>
            <a:ext uri="{FF2B5EF4-FFF2-40B4-BE49-F238E27FC236}">
              <a16:creationId xmlns:a16="http://schemas.microsoft.com/office/drawing/2014/main" id="{00000000-0008-0000-2000-00008F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2" name="276 CuadroTexto">
          <a:extLst>
            <a:ext uri="{FF2B5EF4-FFF2-40B4-BE49-F238E27FC236}">
              <a16:creationId xmlns:a16="http://schemas.microsoft.com/office/drawing/2014/main" id="{00000000-0008-0000-2000-000090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3" name="277 CuadroTexto">
          <a:extLst>
            <a:ext uri="{FF2B5EF4-FFF2-40B4-BE49-F238E27FC236}">
              <a16:creationId xmlns:a16="http://schemas.microsoft.com/office/drawing/2014/main" id="{00000000-0008-0000-2000-000091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4" name="278 CuadroTexto">
          <a:extLst>
            <a:ext uri="{FF2B5EF4-FFF2-40B4-BE49-F238E27FC236}">
              <a16:creationId xmlns:a16="http://schemas.microsoft.com/office/drawing/2014/main" id="{00000000-0008-0000-2000-000092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5" name="279 CuadroTexto">
          <a:extLst>
            <a:ext uri="{FF2B5EF4-FFF2-40B4-BE49-F238E27FC236}">
              <a16:creationId xmlns:a16="http://schemas.microsoft.com/office/drawing/2014/main" id="{00000000-0008-0000-2000-000093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6" name="280 CuadroTexto">
          <a:extLst>
            <a:ext uri="{FF2B5EF4-FFF2-40B4-BE49-F238E27FC236}">
              <a16:creationId xmlns:a16="http://schemas.microsoft.com/office/drawing/2014/main" id="{00000000-0008-0000-2000-000094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7" name="281 CuadroTexto">
          <a:extLst>
            <a:ext uri="{FF2B5EF4-FFF2-40B4-BE49-F238E27FC236}">
              <a16:creationId xmlns:a16="http://schemas.microsoft.com/office/drawing/2014/main" id="{00000000-0008-0000-2000-000095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8" name="282 CuadroTexto">
          <a:extLst>
            <a:ext uri="{FF2B5EF4-FFF2-40B4-BE49-F238E27FC236}">
              <a16:creationId xmlns:a16="http://schemas.microsoft.com/office/drawing/2014/main" id="{00000000-0008-0000-2000-000096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9" name="283 CuadroTexto">
          <a:extLst>
            <a:ext uri="{FF2B5EF4-FFF2-40B4-BE49-F238E27FC236}">
              <a16:creationId xmlns:a16="http://schemas.microsoft.com/office/drawing/2014/main" id="{00000000-0008-0000-2000-000097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200" name="284 CuadroTexto">
          <a:extLst>
            <a:ext uri="{FF2B5EF4-FFF2-40B4-BE49-F238E27FC236}">
              <a16:creationId xmlns:a16="http://schemas.microsoft.com/office/drawing/2014/main" id="{00000000-0008-0000-2000-00009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201" name="285 CuadroTexto">
          <a:extLst>
            <a:ext uri="{FF2B5EF4-FFF2-40B4-BE49-F238E27FC236}">
              <a16:creationId xmlns:a16="http://schemas.microsoft.com/office/drawing/2014/main" id="{00000000-0008-0000-2000-00009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2" name="286 CuadroTexto">
          <a:extLst>
            <a:ext uri="{FF2B5EF4-FFF2-40B4-BE49-F238E27FC236}">
              <a16:creationId xmlns:a16="http://schemas.microsoft.com/office/drawing/2014/main" id="{00000000-0008-0000-2000-00009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3" name="287 CuadroTexto">
          <a:extLst>
            <a:ext uri="{FF2B5EF4-FFF2-40B4-BE49-F238E27FC236}">
              <a16:creationId xmlns:a16="http://schemas.microsoft.com/office/drawing/2014/main" id="{00000000-0008-0000-2000-00009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4" name="288 CuadroTexto">
          <a:extLst>
            <a:ext uri="{FF2B5EF4-FFF2-40B4-BE49-F238E27FC236}">
              <a16:creationId xmlns:a16="http://schemas.microsoft.com/office/drawing/2014/main" id="{00000000-0008-0000-2000-00009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5" name="289 CuadroTexto">
          <a:extLst>
            <a:ext uri="{FF2B5EF4-FFF2-40B4-BE49-F238E27FC236}">
              <a16:creationId xmlns:a16="http://schemas.microsoft.com/office/drawing/2014/main" id="{00000000-0008-0000-2000-00009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6" name="290 CuadroTexto">
          <a:extLst>
            <a:ext uri="{FF2B5EF4-FFF2-40B4-BE49-F238E27FC236}">
              <a16:creationId xmlns:a16="http://schemas.microsoft.com/office/drawing/2014/main" id="{00000000-0008-0000-2000-00009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7" name="291 CuadroTexto">
          <a:extLst>
            <a:ext uri="{FF2B5EF4-FFF2-40B4-BE49-F238E27FC236}">
              <a16:creationId xmlns:a16="http://schemas.microsoft.com/office/drawing/2014/main" id="{00000000-0008-0000-2000-00009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8" name="292 CuadroTexto">
          <a:extLst>
            <a:ext uri="{FF2B5EF4-FFF2-40B4-BE49-F238E27FC236}">
              <a16:creationId xmlns:a16="http://schemas.microsoft.com/office/drawing/2014/main" id="{00000000-0008-0000-2000-0000A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9" name="293 CuadroTexto">
          <a:extLst>
            <a:ext uri="{FF2B5EF4-FFF2-40B4-BE49-F238E27FC236}">
              <a16:creationId xmlns:a16="http://schemas.microsoft.com/office/drawing/2014/main" id="{00000000-0008-0000-2000-0000A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0" name="294 CuadroTexto">
          <a:extLst>
            <a:ext uri="{FF2B5EF4-FFF2-40B4-BE49-F238E27FC236}">
              <a16:creationId xmlns:a16="http://schemas.microsoft.com/office/drawing/2014/main" id="{00000000-0008-0000-2000-0000A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1" name="295 CuadroTexto">
          <a:extLst>
            <a:ext uri="{FF2B5EF4-FFF2-40B4-BE49-F238E27FC236}">
              <a16:creationId xmlns:a16="http://schemas.microsoft.com/office/drawing/2014/main" id="{00000000-0008-0000-2000-0000A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2" name="296 CuadroTexto">
          <a:extLst>
            <a:ext uri="{FF2B5EF4-FFF2-40B4-BE49-F238E27FC236}">
              <a16:creationId xmlns:a16="http://schemas.microsoft.com/office/drawing/2014/main" id="{00000000-0008-0000-2000-0000A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3" name="17 CuadroTexto">
          <a:extLst>
            <a:ext uri="{FF2B5EF4-FFF2-40B4-BE49-F238E27FC236}">
              <a16:creationId xmlns:a16="http://schemas.microsoft.com/office/drawing/2014/main" id="{00000000-0008-0000-2000-0000A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214" name="90 CuadroTexto">
          <a:extLst>
            <a:ext uri="{FF2B5EF4-FFF2-40B4-BE49-F238E27FC236}">
              <a16:creationId xmlns:a16="http://schemas.microsoft.com/office/drawing/2014/main" id="{00000000-0008-0000-2000-0000A6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5" name="91 CuadroTexto">
          <a:extLst>
            <a:ext uri="{FF2B5EF4-FFF2-40B4-BE49-F238E27FC236}">
              <a16:creationId xmlns:a16="http://schemas.microsoft.com/office/drawing/2014/main" id="{00000000-0008-0000-2000-0000A7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6" name="92 CuadroTexto">
          <a:extLst>
            <a:ext uri="{FF2B5EF4-FFF2-40B4-BE49-F238E27FC236}">
              <a16:creationId xmlns:a16="http://schemas.microsoft.com/office/drawing/2014/main" id="{00000000-0008-0000-2000-0000A8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7" name="93 CuadroTexto">
          <a:extLst>
            <a:ext uri="{FF2B5EF4-FFF2-40B4-BE49-F238E27FC236}">
              <a16:creationId xmlns:a16="http://schemas.microsoft.com/office/drawing/2014/main" id="{00000000-0008-0000-2000-0000A9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8" name="94 CuadroTexto">
          <a:extLst>
            <a:ext uri="{FF2B5EF4-FFF2-40B4-BE49-F238E27FC236}">
              <a16:creationId xmlns:a16="http://schemas.microsoft.com/office/drawing/2014/main" id="{00000000-0008-0000-2000-0000AA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9" name="95 CuadroTexto">
          <a:extLst>
            <a:ext uri="{FF2B5EF4-FFF2-40B4-BE49-F238E27FC236}">
              <a16:creationId xmlns:a16="http://schemas.microsoft.com/office/drawing/2014/main" id="{00000000-0008-0000-2000-0000AB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0" name="96 CuadroTexto">
          <a:extLst>
            <a:ext uri="{FF2B5EF4-FFF2-40B4-BE49-F238E27FC236}">
              <a16:creationId xmlns:a16="http://schemas.microsoft.com/office/drawing/2014/main" id="{00000000-0008-0000-2000-0000AC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1" name="97 CuadroTexto">
          <a:extLst>
            <a:ext uri="{FF2B5EF4-FFF2-40B4-BE49-F238E27FC236}">
              <a16:creationId xmlns:a16="http://schemas.microsoft.com/office/drawing/2014/main" id="{00000000-0008-0000-2000-0000AD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2" name="98 CuadroTexto">
          <a:extLst>
            <a:ext uri="{FF2B5EF4-FFF2-40B4-BE49-F238E27FC236}">
              <a16:creationId xmlns:a16="http://schemas.microsoft.com/office/drawing/2014/main" id="{00000000-0008-0000-2000-0000AE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3" name="99 CuadroTexto">
          <a:extLst>
            <a:ext uri="{FF2B5EF4-FFF2-40B4-BE49-F238E27FC236}">
              <a16:creationId xmlns:a16="http://schemas.microsoft.com/office/drawing/2014/main" id="{00000000-0008-0000-2000-0000AF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4" name="100 CuadroTexto">
          <a:extLst>
            <a:ext uri="{FF2B5EF4-FFF2-40B4-BE49-F238E27FC236}">
              <a16:creationId xmlns:a16="http://schemas.microsoft.com/office/drawing/2014/main" id="{00000000-0008-0000-2000-0000B0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5" name="101 CuadroTexto">
          <a:extLst>
            <a:ext uri="{FF2B5EF4-FFF2-40B4-BE49-F238E27FC236}">
              <a16:creationId xmlns:a16="http://schemas.microsoft.com/office/drawing/2014/main" id="{00000000-0008-0000-2000-0000B1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226" name="118 CuadroTexto">
          <a:extLst>
            <a:ext uri="{FF2B5EF4-FFF2-40B4-BE49-F238E27FC236}">
              <a16:creationId xmlns:a16="http://schemas.microsoft.com/office/drawing/2014/main" id="{00000000-0008-0000-2000-0000B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7" name="119 CuadroTexto">
          <a:extLst>
            <a:ext uri="{FF2B5EF4-FFF2-40B4-BE49-F238E27FC236}">
              <a16:creationId xmlns:a16="http://schemas.microsoft.com/office/drawing/2014/main" id="{00000000-0008-0000-2000-0000B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8" name="120 CuadroTexto">
          <a:extLst>
            <a:ext uri="{FF2B5EF4-FFF2-40B4-BE49-F238E27FC236}">
              <a16:creationId xmlns:a16="http://schemas.microsoft.com/office/drawing/2014/main" id="{00000000-0008-0000-2000-0000B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9" name="121 CuadroTexto">
          <a:extLst>
            <a:ext uri="{FF2B5EF4-FFF2-40B4-BE49-F238E27FC236}">
              <a16:creationId xmlns:a16="http://schemas.microsoft.com/office/drawing/2014/main" id="{00000000-0008-0000-2000-0000B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0" name="122 CuadroTexto">
          <a:extLst>
            <a:ext uri="{FF2B5EF4-FFF2-40B4-BE49-F238E27FC236}">
              <a16:creationId xmlns:a16="http://schemas.microsoft.com/office/drawing/2014/main" id="{00000000-0008-0000-2000-0000B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1" name="123 CuadroTexto">
          <a:extLst>
            <a:ext uri="{FF2B5EF4-FFF2-40B4-BE49-F238E27FC236}">
              <a16:creationId xmlns:a16="http://schemas.microsoft.com/office/drawing/2014/main" id="{00000000-0008-0000-2000-0000B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2" name="124 CuadroTexto">
          <a:extLst>
            <a:ext uri="{FF2B5EF4-FFF2-40B4-BE49-F238E27FC236}">
              <a16:creationId xmlns:a16="http://schemas.microsoft.com/office/drawing/2014/main" id="{00000000-0008-0000-2000-0000B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3" name="125 CuadroTexto">
          <a:extLst>
            <a:ext uri="{FF2B5EF4-FFF2-40B4-BE49-F238E27FC236}">
              <a16:creationId xmlns:a16="http://schemas.microsoft.com/office/drawing/2014/main" id="{00000000-0008-0000-2000-0000B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4" name="143 CuadroTexto">
          <a:extLst>
            <a:ext uri="{FF2B5EF4-FFF2-40B4-BE49-F238E27FC236}">
              <a16:creationId xmlns:a16="http://schemas.microsoft.com/office/drawing/2014/main" id="{00000000-0008-0000-2000-0000B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5" name="144 CuadroTexto">
          <a:extLst>
            <a:ext uri="{FF2B5EF4-FFF2-40B4-BE49-F238E27FC236}">
              <a16:creationId xmlns:a16="http://schemas.microsoft.com/office/drawing/2014/main" id="{00000000-0008-0000-2000-0000B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6" name="145 CuadroTexto">
          <a:extLst>
            <a:ext uri="{FF2B5EF4-FFF2-40B4-BE49-F238E27FC236}">
              <a16:creationId xmlns:a16="http://schemas.microsoft.com/office/drawing/2014/main" id="{00000000-0008-0000-2000-0000B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7" name="146 CuadroTexto">
          <a:extLst>
            <a:ext uri="{FF2B5EF4-FFF2-40B4-BE49-F238E27FC236}">
              <a16:creationId xmlns:a16="http://schemas.microsoft.com/office/drawing/2014/main" id="{00000000-0008-0000-2000-0000B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8" name="147 CuadroTexto">
          <a:extLst>
            <a:ext uri="{FF2B5EF4-FFF2-40B4-BE49-F238E27FC236}">
              <a16:creationId xmlns:a16="http://schemas.microsoft.com/office/drawing/2014/main" id="{00000000-0008-0000-2000-0000B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9" name="148 CuadroTexto">
          <a:extLst>
            <a:ext uri="{FF2B5EF4-FFF2-40B4-BE49-F238E27FC236}">
              <a16:creationId xmlns:a16="http://schemas.microsoft.com/office/drawing/2014/main" id="{00000000-0008-0000-2000-0000B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0" name="149 CuadroTexto">
          <a:extLst>
            <a:ext uri="{FF2B5EF4-FFF2-40B4-BE49-F238E27FC236}">
              <a16:creationId xmlns:a16="http://schemas.microsoft.com/office/drawing/2014/main" id="{00000000-0008-0000-2000-0000C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1" name="150 CuadroTexto">
          <a:extLst>
            <a:ext uri="{FF2B5EF4-FFF2-40B4-BE49-F238E27FC236}">
              <a16:creationId xmlns:a16="http://schemas.microsoft.com/office/drawing/2014/main" id="{00000000-0008-0000-2000-0000C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2" name="151 CuadroTexto">
          <a:extLst>
            <a:ext uri="{FF2B5EF4-FFF2-40B4-BE49-F238E27FC236}">
              <a16:creationId xmlns:a16="http://schemas.microsoft.com/office/drawing/2014/main" id="{00000000-0008-0000-2000-0000C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3" name="152 CuadroTexto">
          <a:extLst>
            <a:ext uri="{FF2B5EF4-FFF2-40B4-BE49-F238E27FC236}">
              <a16:creationId xmlns:a16="http://schemas.microsoft.com/office/drawing/2014/main" id="{00000000-0008-0000-2000-0000C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4" name="153 CuadroTexto">
          <a:extLst>
            <a:ext uri="{FF2B5EF4-FFF2-40B4-BE49-F238E27FC236}">
              <a16:creationId xmlns:a16="http://schemas.microsoft.com/office/drawing/2014/main" id="{00000000-0008-0000-2000-0000C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5" name="154 CuadroTexto">
          <a:extLst>
            <a:ext uri="{FF2B5EF4-FFF2-40B4-BE49-F238E27FC236}">
              <a16:creationId xmlns:a16="http://schemas.microsoft.com/office/drawing/2014/main" id="{00000000-0008-0000-2000-0000C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6" name="155 CuadroTexto">
          <a:extLst>
            <a:ext uri="{FF2B5EF4-FFF2-40B4-BE49-F238E27FC236}">
              <a16:creationId xmlns:a16="http://schemas.microsoft.com/office/drawing/2014/main" id="{00000000-0008-0000-2000-0000C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7" name="156 CuadroTexto">
          <a:extLst>
            <a:ext uri="{FF2B5EF4-FFF2-40B4-BE49-F238E27FC236}">
              <a16:creationId xmlns:a16="http://schemas.microsoft.com/office/drawing/2014/main" id="{00000000-0008-0000-2000-0000C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8" name="157 CuadroTexto">
          <a:extLst>
            <a:ext uri="{FF2B5EF4-FFF2-40B4-BE49-F238E27FC236}">
              <a16:creationId xmlns:a16="http://schemas.microsoft.com/office/drawing/2014/main" id="{00000000-0008-0000-2000-0000C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9" name="158 CuadroTexto">
          <a:extLst>
            <a:ext uri="{FF2B5EF4-FFF2-40B4-BE49-F238E27FC236}">
              <a16:creationId xmlns:a16="http://schemas.microsoft.com/office/drawing/2014/main" id="{00000000-0008-0000-2000-0000C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0" name="159 CuadroTexto">
          <a:extLst>
            <a:ext uri="{FF2B5EF4-FFF2-40B4-BE49-F238E27FC236}">
              <a16:creationId xmlns:a16="http://schemas.microsoft.com/office/drawing/2014/main" id="{00000000-0008-0000-2000-0000C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1" name="160 CuadroTexto">
          <a:extLst>
            <a:ext uri="{FF2B5EF4-FFF2-40B4-BE49-F238E27FC236}">
              <a16:creationId xmlns:a16="http://schemas.microsoft.com/office/drawing/2014/main" id="{00000000-0008-0000-2000-0000C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2" name="161 CuadroTexto">
          <a:extLst>
            <a:ext uri="{FF2B5EF4-FFF2-40B4-BE49-F238E27FC236}">
              <a16:creationId xmlns:a16="http://schemas.microsoft.com/office/drawing/2014/main" id="{00000000-0008-0000-2000-0000C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3" name="162 CuadroTexto">
          <a:extLst>
            <a:ext uri="{FF2B5EF4-FFF2-40B4-BE49-F238E27FC236}">
              <a16:creationId xmlns:a16="http://schemas.microsoft.com/office/drawing/2014/main" id="{00000000-0008-0000-2000-0000C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4" name="163 CuadroTexto">
          <a:extLst>
            <a:ext uri="{FF2B5EF4-FFF2-40B4-BE49-F238E27FC236}">
              <a16:creationId xmlns:a16="http://schemas.microsoft.com/office/drawing/2014/main" id="{00000000-0008-0000-2000-0000C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5" name="164 CuadroTexto">
          <a:extLst>
            <a:ext uri="{FF2B5EF4-FFF2-40B4-BE49-F238E27FC236}">
              <a16:creationId xmlns:a16="http://schemas.microsoft.com/office/drawing/2014/main" id="{00000000-0008-0000-2000-0000C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6" name="165 CuadroTexto">
          <a:extLst>
            <a:ext uri="{FF2B5EF4-FFF2-40B4-BE49-F238E27FC236}">
              <a16:creationId xmlns:a16="http://schemas.microsoft.com/office/drawing/2014/main" id="{00000000-0008-0000-2000-0000D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7" name="166 CuadroTexto">
          <a:extLst>
            <a:ext uri="{FF2B5EF4-FFF2-40B4-BE49-F238E27FC236}">
              <a16:creationId xmlns:a16="http://schemas.microsoft.com/office/drawing/2014/main" id="{00000000-0008-0000-2000-0000D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8" name="167 CuadroTexto">
          <a:extLst>
            <a:ext uri="{FF2B5EF4-FFF2-40B4-BE49-F238E27FC236}">
              <a16:creationId xmlns:a16="http://schemas.microsoft.com/office/drawing/2014/main" id="{00000000-0008-0000-2000-0000D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9" name="168 CuadroTexto">
          <a:extLst>
            <a:ext uri="{FF2B5EF4-FFF2-40B4-BE49-F238E27FC236}">
              <a16:creationId xmlns:a16="http://schemas.microsoft.com/office/drawing/2014/main" id="{00000000-0008-0000-2000-0000D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0" name="169 CuadroTexto">
          <a:extLst>
            <a:ext uri="{FF2B5EF4-FFF2-40B4-BE49-F238E27FC236}">
              <a16:creationId xmlns:a16="http://schemas.microsoft.com/office/drawing/2014/main" id="{00000000-0008-0000-2000-0000D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1" name="170 CuadroTexto">
          <a:extLst>
            <a:ext uri="{FF2B5EF4-FFF2-40B4-BE49-F238E27FC236}">
              <a16:creationId xmlns:a16="http://schemas.microsoft.com/office/drawing/2014/main" id="{00000000-0008-0000-2000-0000D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2" name="171 CuadroTexto">
          <a:extLst>
            <a:ext uri="{FF2B5EF4-FFF2-40B4-BE49-F238E27FC236}">
              <a16:creationId xmlns:a16="http://schemas.microsoft.com/office/drawing/2014/main" id="{00000000-0008-0000-2000-0000D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3" name="172 CuadroTexto">
          <a:extLst>
            <a:ext uri="{FF2B5EF4-FFF2-40B4-BE49-F238E27FC236}">
              <a16:creationId xmlns:a16="http://schemas.microsoft.com/office/drawing/2014/main" id="{00000000-0008-0000-2000-0000D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4" name="173 CuadroTexto">
          <a:extLst>
            <a:ext uri="{FF2B5EF4-FFF2-40B4-BE49-F238E27FC236}">
              <a16:creationId xmlns:a16="http://schemas.microsoft.com/office/drawing/2014/main" id="{00000000-0008-0000-2000-0000D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5" name="174 CuadroTexto">
          <a:extLst>
            <a:ext uri="{FF2B5EF4-FFF2-40B4-BE49-F238E27FC236}">
              <a16:creationId xmlns:a16="http://schemas.microsoft.com/office/drawing/2014/main" id="{00000000-0008-0000-2000-0000D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6" name="175 CuadroTexto">
          <a:extLst>
            <a:ext uri="{FF2B5EF4-FFF2-40B4-BE49-F238E27FC236}">
              <a16:creationId xmlns:a16="http://schemas.microsoft.com/office/drawing/2014/main" id="{00000000-0008-0000-2000-0000D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7" name="176 CuadroTexto">
          <a:extLst>
            <a:ext uri="{FF2B5EF4-FFF2-40B4-BE49-F238E27FC236}">
              <a16:creationId xmlns:a16="http://schemas.microsoft.com/office/drawing/2014/main" id="{00000000-0008-0000-2000-0000D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8" name="177 CuadroTexto">
          <a:extLst>
            <a:ext uri="{FF2B5EF4-FFF2-40B4-BE49-F238E27FC236}">
              <a16:creationId xmlns:a16="http://schemas.microsoft.com/office/drawing/2014/main" id="{00000000-0008-0000-2000-0000D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9" name="178 CuadroTexto">
          <a:extLst>
            <a:ext uri="{FF2B5EF4-FFF2-40B4-BE49-F238E27FC236}">
              <a16:creationId xmlns:a16="http://schemas.microsoft.com/office/drawing/2014/main" id="{00000000-0008-0000-2000-0000D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0" name="179 CuadroTexto">
          <a:extLst>
            <a:ext uri="{FF2B5EF4-FFF2-40B4-BE49-F238E27FC236}">
              <a16:creationId xmlns:a16="http://schemas.microsoft.com/office/drawing/2014/main" id="{00000000-0008-0000-2000-0000D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1" name="180 CuadroTexto">
          <a:extLst>
            <a:ext uri="{FF2B5EF4-FFF2-40B4-BE49-F238E27FC236}">
              <a16:creationId xmlns:a16="http://schemas.microsoft.com/office/drawing/2014/main" id="{00000000-0008-0000-2000-0000D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2" name="181 CuadroTexto">
          <a:extLst>
            <a:ext uri="{FF2B5EF4-FFF2-40B4-BE49-F238E27FC236}">
              <a16:creationId xmlns:a16="http://schemas.microsoft.com/office/drawing/2014/main" id="{00000000-0008-0000-2000-0000E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3" name="182 CuadroTexto">
          <a:extLst>
            <a:ext uri="{FF2B5EF4-FFF2-40B4-BE49-F238E27FC236}">
              <a16:creationId xmlns:a16="http://schemas.microsoft.com/office/drawing/2014/main" id="{00000000-0008-0000-2000-0000E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4" name="183 CuadroTexto">
          <a:extLst>
            <a:ext uri="{FF2B5EF4-FFF2-40B4-BE49-F238E27FC236}">
              <a16:creationId xmlns:a16="http://schemas.microsoft.com/office/drawing/2014/main" id="{00000000-0008-0000-2000-0000E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5" name="184 CuadroTexto">
          <a:extLst>
            <a:ext uri="{FF2B5EF4-FFF2-40B4-BE49-F238E27FC236}">
              <a16:creationId xmlns:a16="http://schemas.microsoft.com/office/drawing/2014/main" id="{00000000-0008-0000-2000-0000E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6" name="185 CuadroTexto">
          <a:extLst>
            <a:ext uri="{FF2B5EF4-FFF2-40B4-BE49-F238E27FC236}">
              <a16:creationId xmlns:a16="http://schemas.microsoft.com/office/drawing/2014/main" id="{00000000-0008-0000-2000-0000E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7" name="186 CuadroTexto">
          <a:extLst>
            <a:ext uri="{FF2B5EF4-FFF2-40B4-BE49-F238E27FC236}">
              <a16:creationId xmlns:a16="http://schemas.microsoft.com/office/drawing/2014/main" id="{00000000-0008-0000-2000-0000E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8" name="187 CuadroTexto">
          <a:extLst>
            <a:ext uri="{FF2B5EF4-FFF2-40B4-BE49-F238E27FC236}">
              <a16:creationId xmlns:a16="http://schemas.microsoft.com/office/drawing/2014/main" id="{00000000-0008-0000-2000-0000E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9" name="188 CuadroTexto">
          <a:extLst>
            <a:ext uri="{FF2B5EF4-FFF2-40B4-BE49-F238E27FC236}">
              <a16:creationId xmlns:a16="http://schemas.microsoft.com/office/drawing/2014/main" id="{00000000-0008-0000-2000-0000E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0" name="189 CuadroTexto">
          <a:extLst>
            <a:ext uri="{FF2B5EF4-FFF2-40B4-BE49-F238E27FC236}">
              <a16:creationId xmlns:a16="http://schemas.microsoft.com/office/drawing/2014/main" id="{00000000-0008-0000-2000-0000E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1" name="190 CuadroTexto">
          <a:extLst>
            <a:ext uri="{FF2B5EF4-FFF2-40B4-BE49-F238E27FC236}">
              <a16:creationId xmlns:a16="http://schemas.microsoft.com/office/drawing/2014/main" id="{00000000-0008-0000-2000-0000E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2" name="191 CuadroTexto">
          <a:extLst>
            <a:ext uri="{FF2B5EF4-FFF2-40B4-BE49-F238E27FC236}">
              <a16:creationId xmlns:a16="http://schemas.microsoft.com/office/drawing/2014/main" id="{00000000-0008-0000-2000-0000E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3" name="192 CuadroTexto">
          <a:extLst>
            <a:ext uri="{FF2B5EF4-FFF2-40B4-BE49-F238E27FC236}">
              <a16:creationId xmlns:a16="http://schemas.microsoft.com/office/drawing/2014/main" id="{00000000-0008-0000-2000-0000E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4" name="193 CuadroTexto">
          <a:extLst>
            <a:ext uri="{FF2B5EF4-FFF2-40B4-BE49-F238E27FC236}">
              <a16:creationId xmlns:a16="http://schemas.microsoft.com/office/drawing/2014/main" id="{00000000-0008-0000-2000-0000E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5" name="194 CuadroTexto">
          <a:extLst>
            <a:ext uri="{FF2B5EF4-FFF2-40B4-BE49-F238E27FC236}">
              <a16:creationId xmlns:a16="http://schemas.microsoft.com/office/drawing/2014/main" id="{00000000-0008-0000-2000-0000E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6" name="195 CuadroTexto">
          <a:extLst>
            <a:ext uri="{FF2B5EF4-FFF2-40B4-BE49-F238E27FC236}">
              <a16:creationId xmlns:a16="http://schemas.microsoft.com/office/drawing/2014/main" id="{00000000-0008-0000-2000-0000E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7" name="196 CuadroTexto">
          <a:extLst>
            <a:ext uri="{FF2B5EF4-FFF2-40B4-BE49-F238E27FC236}">
              <a16:creationId xmlns:a16="http://schemas.microsoft.com/office/drawing/2014/main" id="{00000000-0008-0000-2000-0000E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8" name="197 CuadroTexto">
          <a:extLst>
            <a:ext uri="{FF2B5EF4-FFF2-40B4-BE49-F238E27FC236}">
              <a16:creationId xmlns:a16="http://schemas.microsoft.com/office/drawing/2014/main" id="{00000000-0008-0000-2000-0000F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9" name="198 CuadroTexto">
          <a:extLst>
            <a:ext uri="{FF2B5EF4-FFF2-40B4-BE49-F238E27FC236}">
              <a16:creationId xmlns:a16="http://schemas.microsoft.com/office/drawing/2014/main" id="{00000000-0008-0000-2000-0000F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0" name="199 CuadroTexto">
          <a:extLst>
            <a:ext uri="{FF2B5EF4-FFF2-40B4-BE49-F238E27FC236}">
              <a16:creationId xmlns:a16="http://schemas.microsoft.com/office/drawing/2014/main" id="{00000000-0008-0000-2000-0000F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1" name="200 CuadroTexto">
          <a:extLst>
            <a:ext uri="{FF2B5EF4-FFF2-40B4-BE49-F238E27FC236}">
              <a16:creationId xmlns:a16="http://schemas.microsoft.com/office/drawing/2014/main" id="{00000000-0008-0000-2000-0000F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2" name="201 CuadroTexto">
          <a:extLst>
            <a:ext uri="{FF2B5EF4-FFF2-40B4-BE49-F238E27FC236}">
              <a16:creationId xmlns:a16="http://schemas.microsoft.com/office/drawing/2014/main" id="{00000000-0008-0000-2000-0000F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3" name="202 CuadroTexto">
          <a:extLst>
            <a:ext uri="{FF2B5EF4-FFF2-40B4-BE49-F238E27FC236}">
              <a16:creationId xmlns:a16="http://schemas.microsoft.com/office/drawing/2014/main" id="{00000000-0008-0000-2000-0000F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4" name="203 CuadroTexto">
          <a:extLst>
            <a:ext uri="{FF2B5EF4-FFF2-40B4-BE49-F238E27FC236}">
              <a16:creationId xmlns:a16="http://schemas.microsoft.com/office/drawing/2014/main" id="{00000000-0008-0000-2000-0000F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5" name="204 CuadroTexto">
          <a:extLst>
            <a:ext uri="{FF2B5EF4-FFF2-40B4-BE49-F238E27FC236}">
              <a16:creationId xmlns:a16="http://schemas.microsoft.com/office/drawing/2014/main" id="{00000000-0008-0000-2000-0000F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6" name="205 CuadroTexto">
          <a:extLst>
            <a:ext uri="{FF2B5EF4-FFF2-40B4-BE49-F238E27FC236}">
              <a16:creationId xmlns:a16="http://schemas.microsoft.com/office/drawing/2014/main" id="{00000000-0008-0000-2000-0000F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7" name="206 CuadroTexto">
          <a:extLst>
            <a:ext uri="{FF2B5EF4-FFF2-40B4-BE49-F238E27FC236}">
              <a16:creationId xmlns:a16="http://schemas.microsoft.com/office/drawing/2014/main" id="{00000000-0008-0000-2000-0000F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8" name="207 CuadroTexto">
          <a:extLst>
            <a:ext uri="{FF2B5EF4-FFF2-40B4-BE49-F238E27FC236}">
              <a16:creationId xmlns:a16="http://schemas.microsoft.com/office/drawing/2014/main" id="{00000000-0008-0000-2000-0000F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9" name="208 CuadroTexto">
          <a:extLst>
            <a:ext uri="{FF2B5EF4-FFF2-40B4-BE49-F238E27FC236}">
              <a16:creationId xmlns:a16="http://schemas.microsoft.com/office/drawing/2014/main" id="{00000000-0008-0000-2000-0000F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0" name="209 CuadroTexto">
          <a:extLst>
            <a:ext uri="{FF2B5EF4-FFF2-40B4-BE49-F238E27FC236}">
              <a16:creationId xmlns:a16="http://schemas.microsoft.com/office/drawing/2014/main" id="{00000000-0008-0000-2000-0000F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1" name="210 CuadroTexto">
          <a:extLst>
            <a:ext uri="{FF2B5EF4-FFF2-40B4-BE49-F238E27FC236}">
              <a16:creationId xmlns:a16="http://schemas.microsoft.com/office/drawing/2014/main" id="{00000000-0008-0000-2000-0000F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2" name="211 CuadroTexto">
          <a:extLst>
            <a:ext uri="{FF2B5EF4-FFF2-40B4-BE49-F238E27FC236}">
              <a16:creationId xmlns:a16="http://schemas.microsoft.com/office/drawing/2014/main" id="{00000000-0008-0000-2000-0000F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3" name="212 CuadroTexto">
          <a:extLst>
            <a:ext uri="{FF2B5EF4-FFF2-40B4-BE49-F238E27FC236}">
              <a16:creationId xmlns:a16="http://schemas.microsoft.com/office/drawing/2014/main" id="{00000000-0008-0000-2000-0000F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4" name="213 CuadroTexto">
          <a:extLst>
            <a:ext uri="{FF2B5EF4-FFF2-40B4-BE49-F238E27FC236}">
              <a16:creationId xmlns:a16="http://schemas.microsoft.com/office/drawing/2014/main" id="{00000000-0008-0000-2000-00000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5" name="214 CuadroTexto">
          <a:extLst>
            <a:ext uri="{FF2B5EF4-FFF2-40B4-BE49-F238E27FC236}">
              <a16:creationId xmlns:a16="http://schemas.microsoft.com/office/drawing/2014/main" id="{00000000-0008-0000-2000-00000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6" name="215 CuadroTexto">
          <a:extLst>
            <a:ext uri="{FF2B5EF4-FFF2-40B4-BE49-F238E27FC236}">
              <a16:creationId xmlns:a16="http://schemas.microsoft.com/office/drawing/2014/main" id="{00000000-0008-0000-2000-00000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7" name="216 CuadroTexto">
          <a:extLst>
            <a:ext uri="{FF2B5EF4-FFF2-40B4-BE49-F238E27FC236}">
              <a16:creationId xmlns:a16="http://schemas.microsoft.com/office/drawing/2014/main" id="{00000000-0008-0000-2000-00000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8" name="217 CuadroTexto">
          <a:extLst>
            <a:ext uri="{FF2B5EF4-FFF2-40B4-BE49-F238E27FC236}">
              <a16:creationId xmlns:a16="http://schemas.microsoft.com/office/drawing/2014/main" id="{00000000-0008-0000-2000-00000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9" name="218 CuadroTexto">
          <a:extLst>
            <a:ext uri="{FF2B5EF4-FFF2-40B4-BE49-F238E27FC236}">
              <a16:creationId xmlns:a16="http://schemas.microsoft.com/office/drawing/2014/main" id="{00000000-0008-0000-2000-00000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0" name="219 CuadroTexto">
          <a:extLst>
            <a:ext uri="{FF2B5EF4-FFF2-40B4-BE49-F238E27FC236}">
              <a16:creationId xmlns:a16="http://schemas.microsoft.com/office/drawing/2014/main" id="{00000000-0008-0000-2000-00000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1" name="220 CuadroTexto">
          <a:extLst>
            <a:ext uri="{FF2B5EF4-FFF2-40B4-BE49-F238E27FC236}">
              <a16:creationId xmlns:a16="http://schemas.microsoft.com/office/drawing/2014/main" id="{00000000-0008-0000-2000-00000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2" name="221 CuadroTexto">
          <a:extLst>
            <a:ext uri="{FF2B5EF4-FFF2-40B4-BE49-F238E27FC236}">
              <a16:creationId xmlns:a16="http://schemas.microsoft.com/office/drawing/2014/main" id="{00000000-0008-0000-2000-00000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3" name="222 CuadroTexto">
          <a:extLst>
            <a:ext uri="{FF2B5EF4-FFF2-40B4-BE49-F238E27FC236}">
              <a16:creationId xmlns:a16="http://schemas.microsoft.com/office/drawing/2014/main" id="{00000000-0008-0000-2000-00000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4" name="223 CuadroTexto">
          <a:extLst>
            <a:ext uri="{FF2B5EF4-FFF2-40B4-BE49-F238E27FC236}">
              <a16:creationId xmlns:a16="http://schemas.microsoft.com/office/drawing/2014/main" id="{00000000-0008-0000-2000-00000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5" name="224 CuadroTexto">
          <a:extLst>
            <a:ext uri="{FF2B5EF4-FFF2-40B4-BE49-F238E27FC236}">
              <a16:creationId xmlns:a16="http://schemas.microsoft.com/office/drawing/2014/main" id="{00000000-0008-0000-2000-00000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6" name="225 CuadroTexto">
          <a:extLst>
            <a:ext uri="{FF2B5EF4-FFF2-40B4-BE49-F238E27FC236}">
              <a16:creationId xmlns:a16="http://schemas.microsoft.com/office/drawing/2014/main" id="{00000000-0008-0000-2000-00000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7" name="226 CuadroTexto">
          <a:extLst>
            <a:ext uri="{FF2B5EF4-FFF2-40B4-BE49-F238E27FC236}">
              <a16:creationId xmlns:a16="http://schemas.microsoft.com/office/drawing/2014/main" id="{00000000-0008-0000-2000-00000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8" name="227 CuadroTexto">
          <a:extLst>
            <a:ext uri="{FF2B5EF4-FFF2-40B4-BE49-F238E27FC236}">
              <a16:creationId xmlns:a16="http://schemas.microsoft.com/office/drawing/2014/main" id="{00000000-0008-0000-2000-00000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9" name="228 CuadroTexto">
          <a:extLst>
            <a:ext uri="{FF2B5EF4-FFF2-40B4-BE49-F238E27FC236}">
              <a16:creationId xmlns:a16="http://schemas.microsoft.com/office/drawing/2014/main" id="{00000000-0008-0000-2000-00000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0" name="229 CuadroTexto">
          <a:extLst>
            <a:ext uri="{FF2B5EF4-FFF2-40B4-BE49-F238E27FC236}">
              <a16:creationId xmlns:a16="http://schemas.microsoft.com/office/drawing/2014/main" id="{00000000-0008-0000-2000-00001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1" name="230 CuadroTexto">
          <a:extLst>
            <a:ext uri="{FF2B5EF4-FFF2-40B4-BE49-F238E27FC236}">
              <a16:creationId xmlns:a16="http://schemas.microsoft.com/office/drawing/2014/main" id="{00000000-0008-0000-2000-00001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2" name="231 CuadroTexto">
          <a:extLst>
            <a:ext uri="{FF2B5EF4-FFF2-40B4-BE49-F238E27FC236}">
              <a16:creationId xmlns:a16="http://schemas.microsoft.com/office/drawing/2014/main" id="{00000000-0008-0000-2000-00001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3" name="232 CuadroTexto">
          <a:extLst>
            <a:ext uri="{FF2B5EF4-FFF2-40B4-BE49-F238E27FC236}">
              <a16:creationId xmlns:a16="http://schemas.microsoft.com/office/drawing/2014/main" id="{00000000-0008-0000-2000-00001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4" name="233 CuadroTexto">
          <a:extLst>
            <a:ext uri="{FF2B5EF4-FFF2-40B4-BE49-F238E27FC236}">
              <a16:creationId xmlns:a16="http://schemas.microsoft.com/office/drawing/2014/main" id="{00000000-0008-0000-2000-00001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5" name="234 CuadroTexto">
          <a:extLst>
            <a:ext uri="{FF2B5EF4-FFF2-40B4-BE49-F238E27FC236}">
              <a16:creationId xmlns:a16="http://schemas.microsoft.com/office/drawing/2014/main" id="{00000000-0008-0000-2000-00001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6" name="235 CuadroTexto">
          <a:extLst>
            <a:ext uri="{FF2B5EF4-FFF2-40B4-BE49-F238E27FC236}">
              <a16:creationId xmlns:a16="http://schemas.microsoft.com/office/drawing/2014/main" id="{00000000-0008-0000-2000-00001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7" name="236 CuadroTexto">
          <a:extLst>
            <a:ext uri="{FF2B5EF4-FFF2-40B4-BE49-F238E27FC236}">
              <a16:creationId xmlns:a16="http://schemas.microsoft.com/office/drawing/2014/main" id="{00000000-0008-0000-2000-00001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8" name="237 CuadroTexto">
          <a:extLst>
            <a:ext uri="{FF2B5EF4-FFF2-40B4-BE49-F238E27FC236}">
              <a16:creationId xmlns:a16="http://schemas.microsoft.com/office/drawing/2014/main" id="{00000000-0008-0000-2000-00001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9" name="238 CuadroTexto">
          <a:extLst>
            <a:ext uri="{FF2B5EF4-FFF2-40B4-BE49-F238E27FC236}">
              <a16:creationId xmlns:a16="http://schemas.microsoft.com/office/drawing/2014/main" id="{00000000-0008-0000-2000-00001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0" name="239 CuadroTexto">
          <a:extLst>
            <a:ext uri="{FF2B5EF4-FFF2-40B4-BE49-F238E27FC236}">
              <a16:creationId xmlns:a16="http://schemas.microsoft.com/office/drawing/2014/main" id="{00000000-0008-0000-2000-00001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1" name="240 CuadroTexto">
          <a:extLst>
            <a:ext uri="{FF2B5EF4-FFF2-40B4-BE49-F238E27FC236}">
              <a16:creationId xmlns:a16="http://schemas.microsoft.com/office/drawing/2014/main" id="{00000000-0008-0000-2000-00001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2" name="241 CuadroTexto">
          <a:extLst>
            <a:ext uri="{FF2B5EF4-FFF2-40B4-BE49-F238E27FC236}">
              <a16:creationId xmlns:a16="http://schemas.microsoft.com/office/drawing/2014/main" id="{00000000-0008-0000-2000-00001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3" name="242 CuadroTexto">
          <a:extLst>
            <a:ext uri="{FF2B5EF4-FFF2-40B4-BE49-F238E27FC236}">
              <a16:creationId xmlns:a16="http://schemas.microsoft.com/office/drawing/2014/main" id="{00000000-0008-0000-2000-00001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4" name="243 CuadroTexto">
          <a:extLst>
            <a:ext uri="{FF2B5EF4-FFF2-40B4-BE49-F238E27FC236}">
              <a16:creationId xmlns:a16="http://schemas.microsoft.com/office/drawing/2014/main" id="{00000000-0008-0000-2000-00001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5" name="244 CuadroTexto">
          <a:extLst>
            <a:ext uri="{FF2B5EF4-FFF2-40B4-BE49-F238E27FC236}">
              <a16:creationId xmlns:a16="http://schemas.microsoft.com/office/drawing/2014/main" id="{00000000-0008-0000-2000-00001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6" name="245 CuadroTexto">
          <a:extLst>
            <a:ext uri="{FF2B5EF4-FFF2-40B4-BE49-F238E27FC236}">
              <a16:creationId xmlns:a16="http://schemas.microsoft.com/office/drawing/2014/main" id="{00000000-0008-0000-2000-00002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7" name="246 CuadroTexto">
          <a:extLst>
            <a:ext uri="{FF2B5EF4-FFF2-40B4-BE49-F238E27FC236}">
              <a16:creationId xmlns:a16="http://schemas.microsoft.com/office/drawing/2014/main" id="{00000000-0008-0000-2000-00002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8" name="247 CuadroTexto">
          <a:extLst>
            <a:ext uri="{FF2B5EF4-FFF2-40B4-BE49-F238E27FC236}">
              <a16:creationId xmlns:a16="http://schemas.microsoft.com/office/drawing/2014/main" id="{00000000-0008-0000-2000-00002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9" name="248 CuadroTexto">
          <a:extLst>
            <a:ext uri="{FF2B5EF4-FFF2-40B4-BE49-F238E27FC236}">
              <a16:creationId xmlns:a16="http://schemas.microsoft.com/office/drawing/2014/main" id="{00000000-0008-0000-2000-00002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0" name="249 CuadroTexto">
          <a:extLst>
            <a:ext uri="{FF2B5EF4-FFF2-40B4-BE49-F238E27FC236}">
              <a16:creationId xmlns:a16="http://schemas.microsoft.com/office/drawing/2014/main" id="{00000000-0008-0000-2000-00002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1" name="250 CuadroTexto">
          <a:extLst>
            <a:ext uri="{FF2B5EF4-FFF2-40B4-BE49-F238E27FC236}">
              <a16:creationId xmlns:a16="http://schemas.microsoft.com/office/drawing/2014/main" id="{00000000-0008-0000-2000-00002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2" name="251 CuadroTexto">
          <a:extLst>
            <a:ext uri="{FF2B5EF4-FFF2-40B4-BE49-F238E27FC236}">
              <a16:creationId xmlns:a16="http://schemas.microsoft.com/office/drawing/2014/main" id="{00000000-0008-0000-2000-00002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3" name="252 CuadroTexto">
          <a:extLst>
            <a:ext uri="{FF2B5EF4-FFF2-40B4-BE49-F238E27FC236}">
              <a16:creationId xmlns:a16="http://schemas.microsoft.com/office/drawing/2014/main" id="{00000000-0008-0000-2000-00002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4" name="253 CuadroTexto">
          <a:extLst>
            <a:ext uri="{FF2B5EF4-FFF2-40B4-BE49-F238E27FC236}">
              <a16:creationId xmlns:a16="http://schemas.microsoft.com/office/drawing/2014/main" id="{00000000-0008-0000-2000-00002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5" name="254 CuadroTexto">
          <a:extLst>
            <a:ext uri="{FF2B5EF4-FFF2-40B4-BE49-F238E27FC236}">
              <a16:creationId xmlns:a16="http://schemas.microsoft.com/office/drawing/2014/main" id="{00000000-0008-0000-2000-00002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6" name="255 CuadroTexto">
          <a:extLst>
            <a:ext uri="{FF2B5EF4-FFF2-40B4-BE49-F238E27FC236}">
              <a16:creationId xmlns:a16="http://schemas.microsoft.com/office/drawing/2014/main" id="{00000000-0008-0000-2000-00002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7" name="256 CuadroTexto">
          <a:extLst>
            <a:ext uri="{FF2B5EF4-FFF2-40B4-BE49-F238E27FC236}">
              <a16:creationId xmlns:a16="http://schemas.microsoft.com/office/drawing/2014/main" id="{00000000-0008-0000-2000-00002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8" name="257 CuadroTexto">
          <a:extLst>
            <a:ext uri="{FF2B5EF4-FFF2-40B4-BE49-F238E27FC236}">
              <a16:creationId xmlns:a16="http://schemas.microsoft.com/office/drawing/2014/main" id="{00000000-0008-0000-2000-00002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9" name="258 CuadroTexto">
          <a:extLst>
            <a:ext uri="{FF2B5EF4-FFF2-40B4-BE49-F238E27FC236}">
              <a16:creationId xmlns:a16="http://schemas.microsoft.com/office/drawing/2014/main" id="{00000000-0008-0000-2000-00002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0" name="259 CuadroTexto">
          <a:extLst>
            <a:ext uri="{FF2B5EF4-FFF2-40B4-BE49-F238E27FC236}">
              <a16:creationId xmlns:a16="http://schemas.microsoft.com/office/drawing/2014/main" id="{00000000-0008-0000-2000-00002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1" name="260 CuadroTexto">
          <a:extLst>
            <a:ext uri="{FF2B5EF4-FFF2-40B4-BE49-F238E27FC236}">
              <a16:creationId xmlns:a16="http://schemas.microsoft.com/office/drawing/2014/main" id="{00000000-0008-0000-2000-00002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2" name="261 CuadroTexto">
          <a:extLst>
            <a:ext uri="{FF2B5EF4-FFF2-40B4-BE49-F238E27FC236}">
              <a16:creationId xmlns:a16="http://schemas.microsoft.com/office/drawing/2014/main" id="{00000000-0008-0000-2000-00003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3" name="262 CuadroTexto">
          <a:extLst>
            <a:ext uri="{FF2B5EF4-FFF2-40B4-BE49-F238E27FC236}">
              <a16:creationId xmlns:a16="http://schemas.microsoft.com/office/drawing/2014/main" id="{00000000-0008-0000-2000-00003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4" name="263 CuadroTexto">
          <a:extLst>
            <a:ext uri="{FF2B5EF4-FFF2-40B4-BE49-F238E27FC236}">
              <a16:creationId xmlns:a16="http://schemas.microsoft.com/office/drawing/2014/main" id="{00000000-0008-0000-2000-00003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5" name="264 CuadroTexto">
          <a:extLst>
            <a:ext uri="{FF2B5EF4-FFF2-40B4-BE49-F238E27FC236}">
              <a16:creationId xmlns:a16="http://schemas.microsoft.com/office/drawing/2014/main" id="{00000000-0008-0000-2000-00003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6" name="265 CuadroTexto">
          <a:extLst>
            <a:ext uri="{FF2B5EF4-FFF2-40B4-BE49-F238E27FC236}">
              <a16:creationId xmlns:a16="http://schemas.microsoft.com/office/drawing/2014/main" id="{00000000-0008-0000-2000-00003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7" name="266 CuadroTexto">
          <a:extLst>
            <a:ext uri="{FF2B5EF4-FFF2-40B4-BE49-F238E27FC236}">
              <a16:creationId xmlns:a16="http://schemas.microsoft.com/office/drawing/2014/main" id="{00000000-0008-0000-2000-00003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8" name="267 CuadroTexto">
          <a:extLst>
            <a:ext uri="{FF2B5EF4-FFF2-40B4-BE49-F238E27FC236}">
              <a16:creationId xmlns:a16="http://schemas.microsoft.com/office/drawing/2014/main" id="{00000000-0008-0000-2000-00003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359" name="268 CuadroTexto">
          <a:extLst>
            <a:ext uri="{FF2B5EF4-FFF2-40B4-BE49-F238E27FC236}">
              <a16:creationId xmlns:a16="http://schemas.microsoft.com/office/drawing/2014/main" id="{00000000-0008-0000-2000-00003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0" name="269 CuadroTexto">
          <a:extLst>
            <a:ext uri="{FF2B5EF4-FFF2-40B4-BE49-F238E27FC236}">
              <a16:creationId xmlns:a16="http://schemas.microsoft.com/office/drawing/2014/main" id="{00000000-0008-0000-2000-00003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1" name="270 CuadroTexto">
          <a:extLst>
            <a:ext uri="{FF2B5EF4-FFF2-40B4-BE49-F238E27FC236}">
              <a16:creationId xmlns:a16="http://schemas.microsoft.com/office/drawing/2014/main" id="{00000000-0008-0000-2000-00003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2" name="271 CuadroTexto">
          <a:extLst>
            <a:ext uri="{FF2B5EF4-FFF2-40B4-BE49-F238E27FC236}">
              <a16:creationId xmlns:a16="http://schemas.microsoft.com/office/drawing/2014/main" id="{00000000-0008-0000-2000-00003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3" name="272 CuadroTexto">
          <a:extLst>
            <a:ext uri="{FF2B5EF4-FFF2-40B4-BE49-F238E27FC236}">
              <a16:creationId xmlns:a16="http://schemas.microsoft.com/office/drawing/2014/main" id="{00000000-0008-0000-2000-00003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4" name="273 CuadroTexto">
          <a:extLst>
            <a:ext uri="{FF2B5EF4-FFF2-40B4-BE49-F238E27FC236}">
              <a16:creationId xmlns:a16="http://schemas.microsoft.com/office/drawing/2014/main" id="{00000000-0008-0000-2000-00003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5" name="274 CuadroTexto">
          <a:extLst>
            <a:ext uri="{FF2B5EF4-FFF2-40B4-BE49-F238E27FC236}">
              <a16:creationId xmlns:a16="http://schemas.microsoft.com/office/drawing/2014/main" id="{00000000-0008-0000-2000-00003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6" name="275 CuadroTexto">
          <a:extLst>
            <a:ext uri="{FF2B5EF4-FFF2-40B4-BE49-F238E27FC236}">
              <a16:creationId xmlns:a16="http://schemas.microsoft.com/office/drawing/2014/main" id="{00000000-0008-0000-2000-00003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7" name="276 CuadroTexto">
          <a:extLst>
            <a:ext uri="{FF2B5EF4-FFF2-40B4-BE49-F238E27FC236}">
              <a16:creationId xmlns:a16="http://schemas.microsoft.com/office/drawing/2014/main" id="{00000000-0008-0000-2000-00003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8" name="277 CuadroTexto">
          <a:extLst>
            <a:ext uri="{FF2B5EF4-FFF2-40B4-BE49-F238E27FC236}">
              <a16:creationId xmlns:a16="http://schemas.microsoft.com/office/drawing/2014/main" id="{00000000-0008-0000-2000-00004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9" name="278 CuadroTexto">
          <a:extLst>
            <a:ext uri="{FF2B5EF4-FFF2-40B4-BE49-F238E27FC236}">
              <a16:creationId xmlns:a16="http://schemas.microsoft.com/office/drawing/2014/main" id="{00000000-0008-0000-2000-00004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0" name="279 CuadroTexto">
          <a:extLst>
            <a:ext uri="{FF2B5EF4-FFF2-40B4-BE49-F238E27FC236}">
              <a16:creationId xmlns:a16="http://schemas.microsoft.com/office/drawing/2014/main" id="{00000000-0008-0000-2000-00004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1" name="280 CuadroTexto">
          <a:extLst>
            <a:ext uri="{FF2B5EF4-FFF2-40B4-BE49-F238E27FC236}">
              <a16:creationId xmlns:a16="http://schemas.microsoft.com/office/drawing/2014/main" id="{00000000-0008-0000-2000-00004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2" name="281 CuadroTexto">
          <a:extLst>
            <a:ext uri="{FF2B5EF4-FFF2-40B4-BE49-F238E27FC236}">
              <a16:creationId xmlns:a16="http://schemas.microsoft.com/office/drawing/2014/main" id="{00000000-0008-0000-2000-00004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3" name="282 CuadroTexto">
          <a:extLst>
            <a:ext uri="{FF2B5EF4-FFF2-40B4-BE49-F238E27FC236}">
              <a16:creationId xmlns:a16="http://schemas.microsoft.com/office/drawing/2014/main" id="{00000000-0008-0000-2000-00004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4" name="283 CuadroTexto">
          <a:extLst>
            <a:ext uri="{FF2B5EF4-FFF2-40B4-BE49-F238E27FC236}">
              <a16:creationId xmlns:a16="http://schemas.microsoft.com/office/drawing/2014/main" id="{00000000-0008-0000-2000-00004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5" name="284 CuadroTexto">
          <a:extLst>
            <a:ext uri="{FF2B5EF4-FFF2-40B4-BE49-F238E27FC236}">
              <a16:creationId xmlns:a16="http://schemas.microsoft.com/office/drawing/2014/main" id="{00000000-0008-0000-2000-00004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376" name="285 CuadroTexto">
          <a:extLst>
            <a:ext uri="{FF2B5EF4-FFF2-40B4-BE49-F238E27FC236}">
              <a16:creationId xmlns:a16="http://schemas.microsoft.com/office/drawing/2014/main" id="{00000000-0008-0000-2000-00004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7" name="286 CuadroTexto">
          <a:extLst>
            <a:ext uri="{FF2B5EF4-FFF2-40B4-BE49-F238E27FC236}">
              <a16:creationId xmlns:a16="http://schemas.microsoft.com/office/drawing/2014/main" id="{00000000-0008-0000-2000-00004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8" name="287 CuadroTexto">
          <a:extLst>
            <a:ext uri="{FF2B5EF4-FFF2-40B4-BE49-F238E27FC236}">
              <a16:creationId xmlns:a16="http://schemas.microsoft.com/office/drawing/2014/main" id="{00000000-0008-0000-2000-00004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9" name="288 CuadroTexto">
          <a:extLst>
            <a:ext uri="{FF2B5EF4-FFF2-40B4-BE49-F238E27FC236}">
              <a16:creationId xmlns:a16="http://schemas.microsoft.com/office/drawing/2014/main" id="{00000000-0008-0000-2000-00004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0" name="289 CuadroTexto">
          <a:extLst>
            <a:ext uri="{FF2B5EF4-FFF2-40B4-BE49-F238E27FC236}">
              <a16:creationId xmlns:a16="http://schemas.microsoft.com/office/drawing/2014/main" id="{00000000-0008-0000-2000-00004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1" name="290 CuadroTexto">
          <a:extLst>
            <a:ext uri="{FF2B5EF4-FFF2-40B4-BE49-F238E27FC236}">
              <a16:creationId xmlns:a16="http://schemas.microsoft.com/office/drawing/2014/main" id="{00000000-0008-0000-2000-00004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2" name="291 CuadroTexto">
          <a:extLst>
            <a:ext uri="{FF2B5EF4-FFF2-40B4-BE49-F238E27FC236}">
              <a16:creationId xmlns:a16="http://schemas.microsoft.com/office/drawing/2014/main" id="{00000000-0008-0000-2000-00004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3" name="292 CuadroTexto">
          <a:extLst>
            <a:ext uri="{FF2B5EF4-FFF2-40B4-BE49-F238E27FC236}">
              <a16:creationId xmlns:a16="http://schemas.microsoft.com/office/drawing/2014/main" id="{00000000-0008-0000-2000-00004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4" name="293 CuadroTexto">
          <a:extLst>
            <a:ext uri="{FF2B5EF4-FFF2-40B4-BE49-F238E27FC236}">
              <a16:creationId xmlns:a16="http://schemas.microsoft.com/office/drawing/2014/main" id="{00000000-0008-0000-2000-00005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5" name="294 CuadroTexto">
          <a:extLst>
            <a:ext uri="{FF2B5EF4-FFF2-40B4-BE49-F238E27FC236}">
              <a16:creationId xmlns:a16="http://schemas.microsoft.com/office/drawing/2014/main" id="{00000000-0008-0000-2000-00005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6" name="295 CuadroTexto">
          <a:extLst>
            <a:ext uri="{FF2B5EF4-FFF2-40B4-BE49-F238E27FC236}">
              <a16:creationId xmlns:a16="http://schemas.microsoft.com/office/drawing/2014/main" id="{00000000-0008-0000-2000-00005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7" name="296 CuadroTexto">
          <a:extLst>
            <a:ext uri="{FF2B5EF4-FFF2-40B4-BE49-F238E27FC236}">
              <a16:creationId xmlns:a16="http://schemas.microsoft.com/office/drawing/2014/main" id="{00000000-0008-0000-2000-00005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8" name="301 CuadroTexto">
          <a:extLst>
            <a:ext uri="{FF2B5EF4-FFF2-40B4-BE49-F238E27FC236}">
              <a16:creationId xmlns:a16="http://schemas.microsoft.com/office/drawing/2014/main" id="{00000000-0008-0000-2000-00005409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9" name="302 CuadroTexto">
          <a:extLst>
            <a:ext uri="{FF2B5EF4-FFF2-40B4-BE49-F238E27FC236}">
              <a16:creationId xmlns:a16="http://schemas.microsoft.com/office/drawing/2014/main" id="{00000000-0008-0000-2000-00005509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0" name="17 CuadroTexto">
          <a:extLst>
            <a:ext uri="{FF2B5EF4-FFF2-40B4-BE49-F238E27FC236}">
              <a16:creationId xmlns:a16="http://schemas.microsoft.com/office/drawing/2014/main" id="{00000000-0008-0000-2000-00005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391" name="90 CuadroTexto">
          <a:extLst>
            <a:ext uri="{FF2B5EF4-FFF2-40B4-BE49-F238E27FC236}">
              <a16:creationId xmlns:a16="http://schemas.microsoft.com/office/drawing/2014/main" id="{00000000-0008-0000-2000-000057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2" name="91 CuadroTexto">
          <a:extLst>
            <a:ext uri="{FF2B5EF4-FFF2-40B4-BE49-F238E27FC236}">
              <a16:creationId xmlns:a16="http://schemas.microsoft.com/office/drawing/2014/main" id="{00000000-0008-0000-2000-000058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3" name="92 CuadroTexto">
          <a:extLst>
            <a:ext uri="{FF2B5EF4-FFF2-40B4-BE49-F238E27FC236}">
              <a16:creationId xmlns:a16="http://schemas.microsoft.com/office/drawing/2014/main" id="{00000000-0008-0000-2000-000059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4" name="93 CuadroTexto">
          <a:extLst>
            <a:ext uri="{FF2B5EF4-FFF2-40B4-BE49-F238E27FC236}">
              <a16:creationId xmlns:a16="http://schemas.microsoft.com/office/drawing/2014/main" id="{00000000-0008-0000-2000-00005A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5" name="94 CuadroTexto">
          <a:extLst>
            <a:ext uri="{FF2B5EF4-FFF2-40B4-BE49-F238E27FC236}">
              <a16:creationId xmlns:a16="http://schemas.microsoft.com/office/drawing/2014/main" id="{00000000-0008-0000-2000-00005B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6" name="95 CuadroTexto">
          <a:extLst>
            <a:ext uri="{FF2B5EF4-FFF2-40B4-BE49-F238E27FC236}">
              <a16:creationId xmlns:a16="http://schemas.microsoft.com/office/drawing/2014/main" id="{00000000-0008-0000-2000-00005C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7" name="96 CuadroTexto">
          <a:extLst>
            <a:ext uri="{FF2B5EF4-FFF2-40B4-BE49-F238E27FC236}">
              <a16:creationId xmlns:a16="http://schemas.microsoft.com/office/drawing/2014/main" id="{00000000-0008-0000-2000-00005D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8" name="97 CuadroTexto">
          <a:extLst>
            <a:ext uri="{FF2B5EF4-FFF2-40B4-BE49-F238E27FC236}">
              <a16:creationId xmlns:a16="http://schemas.microsoft.com/office/drawing/2014/main" id="{00000000-0008-0000-2000-00005E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9" name="98 CuadroTexto">
          <a:extLst>
            <a:ext uri="{FF2B5EF4-FFF2-40B4-BE49-F238E27FC236}">
              <a16:creationId xmlns:a16="http://schemas.microsoft.com/office/drawing/2014/main" id="{00000000-0008-0000-2000-00005F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0" name="99 CuadroTexto">
          <a:extLst>
            <a:ext uri="{FF2B5EF4-FFF2-40B4-BE49-F238E27FC236}">
              <a16:creationId xmlns:a16="http://schemas.microsoft.com/office/drawing/2014/main" id="{00000000-0008-0000-2000-000060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1" name="100 CuadroTexto">
          <a:extLst>
            <a:ext uri="{FF2B5EF4-FFF2-40B4-BE49-F238E27FC236}">
              <a16:creationId xmlns:a16="http://schemas.microsoft.com/office/drawing/2014/main" id="{00000000-0008-0000-2000-000061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2" name="101 CuadroTexto">
          <a:extLst>
            <a:ext uri="{FF2B5EF4-FFF2-40B4-BE49-F238E27FC236}">
              <a16:creationId xmlns:a16="http://schemas.microsoft.com/office/drawing/2014/main" id="{00000000-0008-0000-2000-000062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403" name="118 CuadroTexto">
          <a:extLst>
            <a:ext uri="{FF2B5EF4-FFF2-40B4-BE49-F238E27FC236}">
              <a16:creationId xmlns:a16="http://schemas.microsoft.com/office/drawing/2014/main" id="{00000000-0008-0000-2000-00006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4" name="119 CuadroTexto">
          <a:extLst>
            <a:ext uri="{FF2B5EF4-FFF2-40B4-BE49-F238E27FC236}">
              <a16:creationId xmlns:a16="http://schemas.microsoft.com/office/drawing/2014/main" id="{00000000-0008-0000-2000-00006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5" name="120 CuadroTexto">
          <a:extLst>
            <a:ext uri="{FF2B5EF4-FFF2-40B4-BE49-F238E27FC236}">
              <a16:creationId xmlns:a16="http://schemas.microsoft.com/office/drawing/2014/main" id="{00000000-0008-0000-2000-00006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6" name="121 CuadroTexto">
          <a:extLst>
            <a:ext uri="{FF2B5EF4-FFF2-40B4-BE49-F238E27FC236}">
              <a16:creationId xmlns:a16="http://schemas.microsoft.com/office/drawing/2014/main" id="{00000000-0008-0000-2000-00006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7" name="122 CuadroTexto">
          <a:extLst>
            <a:ext uri="{FF2B5EF4-FFF2-40B4-BE49-F238E27FC236}">
              <a16:creationId xmlns:a16="http://schemas.microsoft.com/office/drawing/2014/main" id="{00000000-0008-0000-2000-00006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8" name="123 CuadroTexto">
          <a:extLst>
            <a:ext uri="{FF2B5EF4-FFF2-40B4-BE49-F238E27FC236}">
              <a16:creationId xmlns:a16="http://schemas.microsoft.com/office/drawing/2014/main" id="{00000000-0008-0000-2000-00006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9" name="124 CuadroTexto">
          <a:extLst>
            <a:ext uri="{FF2B5EF4-FFF2-40B4-BE49-F238E27FC236}">
              <a16:creationId xmlns:a16="http://schemas.microsoft.com/office/drawing/2014/main" id="{00000000-0008-0000-2000-00006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0" name="125 CuadroTexto">
          <a:extLst>
            <a:ext uri="{FF2B5EF4-FFF2-40B4-BE49-F238E27FC236}">
              <a16:creationId xmlns:a16="http://schemas.microsoft.com/office/drawing/2014/main" id="{00000000-0008-0000-2000-00006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1" name="143 CuadroTexto">
          <a:extLst>
            <a:ext uri="{FF2B5EF4-FFF2-40B4-BE49-F238E27FC236}">
              <a16:creationId xmlns:a16="http://schemas.microsoft.com/office/drawing/2014/main" id="{00000000-0008-0000-2000-00006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2" name="144 CuadroTexto">
          <a:extLst>
            <a:ext uri="{FF2B5EF4-FFF2-40B4-BE49-F238E27FC236}">
              <a16:creationId xmlns:a16="http://schemas.microsoft.com/office/drawing/2014/main" id="{00000000-0008-0000-2000-00006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3" name="145 CuadroTexto">
          <a:extLst>
            <a:ext uri="{FF2B5EF4-FFF2-40B4-BE49-F238E27FC236}">
              <a16:creationId xmlns:a16="http://schemas.microsoft.com/office/drawing/2014/main" id="{00000000-0008-0000-2000-00006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4" name="146 CuadroTexto">
          <a:extLst>
            <a:ext uri="{FF2B5EF4-FFF2-40B4-BE49-F238E27FC236}">
              <a16:creationId xmlns:a16="http://schemas.microsoft.com/office/drawing/2014/main" id="{00000000-0008-0000-2000-00006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5" name="147 CuadroTexto">
          <a:extLst>
            <a:ext uri="{FF2B5EF4-FFF2-40B4-BE49-F238E27FC236}">
              <a16:creationId xmlns:a16="http://schemas.microsoft.com/office/drawing/2014/main" id="{00000000-0008-0000-2000-00006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6" name="148 CuadroTexto">
          <a:extLst>
            <a:ext uri="{FF2B5EF4-FFF2-40B4-BE49-F238E27FC236}">
              <a16:creationId xmlns:a16="http://schemas.microsoft.com/office/drawing/2014/main" id="{00000000-0008-0000-2000-00007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7" name="149 CuadroTexto">
          <a:extLst>
            <a:ext uri="{FF2B5EF4-FFF2-40B4-BE49-F238E27FC236}">
              <a16:creationId xmlns:a16="http://schemas.microsoft.com/office/drawing/2014/main" id="{00000000-0008-0000-2000-00007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8" name="150 CuadroTexto">
          <a:extLst>
            <a:ext uri="{FF2B5EF4-FFF2-40B4-BE49-F238E27FC236}">
              <a16:creationId xmlns:a16="http://schemas.microsoft.com/office/drawing/2014/main" id="{00000000-0008-0000-2000-00007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9" name="151 CuadroTexto">
          <a:extLst>
            <a:ext uri="{FF2B5EF4-FFF2-40B4-BE49-F238E27FC236}">
              <a16:creationId xmlns:a16="http://schemas.microsoft.com/office/drawing/2014/main" id="{00000000-0008-0000-2000-00007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0" name="152 CuadroTexto">
          <a:extLst>
            <a:ext uri="{FF2B5EF4-FFF2-40B4-BE49-F238E27FC236}">
              <a16:creationId xmlns:a16="http://schemas.microsoft.com/office/drawing/2014/main" id="{00000000-0008-0000-2000-00007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1" name="153 CuadroTexto">
          <a:extLst>
            <a:ext uri="{FF2B5EF4-FFF2-40B4-BE49-F238E27FC236}">
              <a16:creationId xmlns:a16="http://schemas.microsoft.com/office/drawing/2014/main" id="{00000000-0008-0000-2000-00007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2" name="154 CuadroTexto">
          <a:extLst>
            <a:ext uri="{FF2B5EF4-FFF2-40B4-BE49-F238E27FC236}">
              <a16:creationId xmlns:a16="http://schemas.microsoft.com/office/drawing/2014/main" id="{00000000-0008-0000-2000-00007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3" name="155 CuadroTexto">
          <a:extLst>
            <a:ext uri="{FF2B5EF4-FFF2-40B4-BE49-F238E27FC236}">
              <a16:creationId xmlns:a16="http://schemas.microsoft.com/office/drawing/2014/main" id="{00000000-0008-0000-2000-00007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4" name="156 CuadroTexto">
          <a:extLst>
            <a:ext uri="{FF2B5EF4-FFF2-40B4-BE49-F238E27FC236}">
              <a16:creationId xmlns:a16="http://schemas.microsoft.com/office/drawing/2014/main" id="{00000000-0008-0000-2000-00007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5" name="157 CuadroTexto">
          <a:extLst>
            <a:ext uri="{FF2B5EF4-FFF2-40B4-BE49-F238E27FC236}">
              <a16:creationId xmlns:a16="http://schemas.microsoft.com/office/drawing/2014/main" id="{00000000-0008-0000-2000-00007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6" name="158 CuadroTexto">
          <a:extLst>
            <a:ext uri="{FF2B5EF4-FFF2-40B4-BE49-F238E27FC236}">
              <a16:creationId xmlns:a16="http://schemas.microsoft.com/office/drawing/2014/main" id="{00000000-0008-0000-2000-00007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7" name="159 CuadroTexto">
          <a:extLst>
            <a:ext uri="{FF2B5EF4-FFF2-40B4-BE49-F238E27FC236}">
              <a16:creationId xmlns:a16="http://schemas.microsoft.com/office/drawing/2014/main" id="{00000000-0008-0000-2000-00007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8" name="160 CuadroTexto">
          <a:extLst>
            <a:ext uri="{FF2B5EF4-FFF2-40B4-BE49-F238E27FC236}">
              <a16:creationId xmlns:a16="http://schemas.microsoft.com/office/drawing/2014/main" id="{00000000-0008-0000-2000-00007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9" name="161 CuadroTexto">
          <a:extLst>
            <a:ext uri="{FF2B5EF4-FFF2-40B4-BE49-F238E27FC236}">
              <a16:creationId xmlns:a16="http://schemas.microsoft.com/office/drawing/2014/main" id="{00000000-0008-0000-2000-00007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0" name="162 CuadroTexto">
          <a:extLst>
            <a:ext uri="{FF2B5EF4-FFF2-40B4-BE49-F238E27FC236}">
              <a16:creationId xmlns:a16="http://schemas.microsoft.com/office/drawing/2014/main" id="{00000000-0008-0000-2000-00007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1" name="163 CuadroTexto">
          <a:extLst>
            <a:ext uri="{FF2B5EF4-FFF2-40B4-BE49-F238E27FC236}">
              <a16:creationId xmlns:a16="http://schemas.microsoft.com/office/drawing/2014/main" id="{00000000-0008-0000-2000-00007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2" name="164 CuadroTexto">
          <a:extLst>
            <a:ext uri="{FF2B5EF4-FFF2-40B4-BE49-F238E27FC236}">
              <a16:creationId xmlns:a16="http://schemas.microsoft.com/office/drawing/2014/main" id="{00000000-0008-0000-2000-00008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3" name="165 CuadroTexto">
          <a:extLst>
            <a:ext uri="{FF2B5EF4-FFF2-40B4-BE49-F238E27FC236}">
              <a16:creationId xmlns:a16="http://schemas.microsoft.com/office/drawing/2014/main" id="{00000000-0008-0000-2000-00008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4" name="166 CuadroTexto">
          <a:extLst>
            <a:ext uri="{FF2B5EF4-FFF2-40B4-BE49-F238E27FC236}">
              <a16:creationId xmlns:a16="http://schemas.microsoft.com/office/drawing/2014/main" id="{00000000-0008-0000-2000-00008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5" name="167 CuadroTexto">
          <a:extLst>
            <a:ext uri="{FF2B5EF4-FFF2-40B4-BE49-F238E27FC236}">
              <a16:creationId xmlns:a16="http://schemas.microsoft.com/office/drawing/2014/main" id="{00000000-0008-0000-2000-00008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6" name="168 CuadroTexto">
          <a:extLst>
            <a:ext uri="{FF2B5EF4-FFF2-40B4-BE49-F238E27FC236}">
              <a16:creationId xmlns:a16="http://schemas.microsoft.com/office/drawing/2014/main" id="{00000000-0008-0000-2000-00008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7" name="169 CuadroTexto">
          <a:extLst>
            <a:ext uri="{FF2B5EF4-FFF2-40B4-BE49-F238E27FC236}">
              <a16:creationId xmlns:a16="http://schemas.microsoft.com/office/drawing/2014/main" id="{00000000-0008-0000-2000-00008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8" name="170 CuadroTexto">
          <a:extLst>
            <a:ext uri="{FF2B5EF4-FFF2-40B4-BE49-F238E27FC236}">
              <a16:creationId xmlns:a16="http://schemas.microsoft.com/office/drawing/2014/main" id="{00000000-0008-0000-2000-00008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9" name="171 CuadroTexto">
          <a:extLst>
            <a:ext uri="{FF2B5EF4-FFF2-40B4-BE49-F238E27FC236}">
              <a16:creationId xmlns:a16="http://schemas.microsoft.com/office/drawing/2014/main" id="{00000000-0008-0000-2000-00008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0" name="172 CuadroTexto">
          <a:extLst>
            <a:ext uri="{FF2B5EF4-FFF2-40B4-BE49-F238E27FC236}">
              <a16:creationId xmlns:a16="http://schemas.microsoft.com/office/drawing/2014/main" id="{00000000-0008-0000-2000-00008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1" name="173 CuadroTexto">
          <a:extLst>
            <a:ext uri="{FF2B5EF4-FFF2-40B4-BE49-F238E27FC236}">
              <a16:creationId xmlns:a16="http://schemas.microsoft.com/office/drawing/2014/main" id="{00000000-0008-0000-2000-00008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2" name="174 CuadroTexto">
          <a:extLst>
            <a:ext uri="{FF2B5EF4-FFF2-40B4-BE49-F238E27FC236}">
              <a16:creationId xmlns:a16="http://schemas.microsoft.com/office/drawing/2014/main" id="{00000000-0008-0000-2000-00008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3" name="175 CuadroTexto">
          <a:extLst>
            <a:ext uri="{FF2B5EF4-FFF2-40B4-BE49-F238E27FC236}">
              <a16:creationId xmlns:a16="http://schemas.microsoft.com/office/drawing/2014/main" id="{00000000-0008-0000-2000-00008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4" name="176 CuadroTexto">
          <a:extLst>
            <a:ext uri="{FF2B5EF4-FFF2-40B4-BE49-F238E27FC236}">
              <a16:creationId xmlns:a16="http://schemas.microsoft.com/office/drawing/2014/main" id="{00000000-0008-0000-2000-00008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5" name="177 CuadroTexto">
          <a:extLst>
            <a:ext uri="{FF2B5EF4-FFF2-40B4-BE49-F238E27FC236}">
              <a16:creationId xmlns:a16="http://schemas.microsoft.com/office/drawing/2014/main" id="{00000000-0008-0000-2000-00008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6" name="178 CuadroTexto">
          <a:extLst>
            <a:ext uri="{FF2B5EF4-FFF2-40B4-BE49-F238E27FC236}">
              <a16:creationId xmlns:a16="http://schemas.microsoft.com/office/drawing/2014/main" id="{00000000-0008-0000-2000-00008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7" name="179 CuadroTexto">
          <a:extLst>
            <a:ext uri="{FF2B5EF4-FFF2-40B4-BE49-F238E27FC236}">
              <a16:creationId xmlns:a16="http://schemas.microsoft.com/office/drawing/2014/main" id="{00000000-0008-0000-2000-00008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8" name="180 CuadroTexto">
          <a:extLst>
            <a:ext uri="{FF2B5EF4-FFF2-40B4-BE49-F238E27FC236}">
              <a16:creationId xmlns:a16="http://schemas.microsoft.com/office/drawing/2014/main" id="{00000000-0008-0000-2000-00009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9" name="181 CuadroTexto">
          <a:extLst>
            <a:ext uri="{FF2B5EF4-FFF2-40B4-BE49-F238E27FC236}">
              <a16:creationId xmlns:a16="http://schemas.microsoft.com/office/drawing/2014/main" id="{00000000-0008-0000-2000-00009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0" name="182 CuadroTexto">
          <a:extLst>
            <a:ext uri="{FF2B5EF4-FFF2-40B4-BE49-F238E27FC236}">
              <a16:creationId xmlns:a16="http://schemas.microsoft.com/office/drawing/2014/main" id="{00000000-0008-0000-2000-00009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1" name="183 CuadroTexto">
          <a:extLst>
            <a:ext uri="{FF2B5EF4-FFF2-40B4-BE49-F238E27FC236}">
              <a16:creationId xmlns:a16="http://schemas.microsoft.com/office/drawing/2014/main" id="{00000000-0008-0000-2000-00009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2" name="184 CuadroTexto">
          <a:extLst>
            <a:ext uri="{FF2B5EF4-FFF2-40B4-BE49-F238E27FC236}">
              <a16:creationId xmlns:a16="http://schemas.microsoft.com/office/drawing/2014/main" id="{00000000-0008-0000-2000-00009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3" name="185 CuadroTexto">
          <a:extLst>
            <a:ext uri="{FF2B5EF4-FFF2-40B4-BE49-F238E27FC236}">
              <a16:creationId xmlns:a16="http://schemas.microsoft.com/office/drawing/2014/main" id="{00000000-0008-0000-2000-00009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4" name="186 CuadroTexto">
          <a:extLst>
            <a:ext uri="{FF2B5EF4-FFF2-40B4-BE49-F238E27FC236}">
              <a16:creationId xmlns:a16="http://schemas.microsoft.com/office/drawing/2014/main" id="{00000000-0008-0000-2000-00009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5" name="187 CuadroTexto">
          <a:extLst>
            <a:ext uri="{FF2B5EF4-FFF2-40B4-BE49-F238E27FC236}">
              <a16:creationId xmlns:a16="http://schemas.microsoft.com/office/drawing/2014/main" id="{00000000-0008-0000-2000-00009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6" name="188 CuadroTexto">
          <a:extLst>
            <a:ext uri="{FF2B5EF4-FFF2-40B4-BE49-F238E27FC236}">
              <a16:creationId xmlns:a16="http://schemas.microsoft.com/office/drawing/2014/main" id="{00000000-0008-0000-2000-00009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7" name="189 CuadroTexto">
          <a:extLst>
            <a:ext uri="{FF2B5EF4-FFF2-40B4-BE49-F238E27FC236}">
              <a16:creationId xmlns:a16="http://schemas.microsoft.com/office/drawing/2014/main" id="{00000000-0008-0000-2000-00009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8" name="190 CuadroTexto">
          <a:extLst>
            <a:ext uri="{FF2B5EF4-FFF2-40B4-BE49-F238E27FC236}">
              <a16:creationId xmlns:a16="http://schemas.microsoft.com/office/drawing/2014/main" id="{00000000-0008-0000-2000-00009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9" name="191 CuadroTexto">
          <a:extLst>
            <a:ext uri="{FF2B5EF4-FFF2-40B4-BE49-F238E27FC236}">
              <a16:creationId xmlns:a16="http://schemas.microsoft.com/office/drawing/2014/main" id="{00000000-0008-0000-2000-00009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0" name="192 CuadroTexto">
          <a:extLst>
            <a:ext uri="{FF2B5EF4-FFF2-40B4-BE49-F238E27FC236}">
              <a16:creationId xmlns:a16="http://schemas.microsoft.com/office/drawing/2014/main" id="{00000000-0008-0000-2000-00009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1" name="193 CuadroTexto">
          <a:extLst>
            <a:ext uri="{FF2B5EF4-FFF2-40B4-BE49-F238E27FC236}">
              <a16:creationId xmlns:a16="http://schemas.microsoft.com/office/drawing/2014/main" id="{00000000-0008-0000-2000-00009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2" name="194 CuadroTexto">
          <a:extLst>
            <a:ext uri="{FF2B5EF4-FFF2-40B4-BE49-F238E27FC236}">
              <a16:creationId xmlns:a16="http://schemas.microsoft.com/office/drawing/2014/main" id="{00000000-0008-0000-2000-00009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3" name="195 CuadroTexto">
          <a:extLst>
            <a:ext uri="{FF2B5EF4-FFF2-40B4-BE49-F238E27FC236}">
              <a16:creationId xmlns:a16="http://schemas.microsoft.com/office/drawing/2014/main" id="{00000000-0008-0000-2000-00009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4" name="196 CuadroTexto">
          <a:extLst>
            <a:ext uri="{FF2B5EF4-FFF2-40B4-BE49-F238E27FC236}">
              <a16:creationId xmlns:a16="http://schemas.microsoft.com/office/drawing/2014/main" id="{00000000-0008-0000-2000-0000A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5" name="197 CuadroTexto">
          <a:extLst>
            <a:ext uri="{FF2B5EF4-FFF2-40B4-BE49-F238E27FC236}">
              <a16:creationId xmlns:a16="http://schemas.microsoft.com/office/drawing/2014/main" id="{00000000-0008-0000-2000-0000A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6" name="198 CuadroTexto">
          <a:extLst>
            <a:ext uri="{FF2B5EF4-FFF2-40B4-BE49-F238E27FC236}">
              <a16:creationId xmlns:a16="http://schemas.microsoft.com/office/drawing/2014/main" id="{00000000-0008-0000-2000-0000A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7" name="199 CuadroTexto">
          <a:extLst>
            <a:ext uri="{FF2B5EF4-FFF2-40B4-BE49-F238E27FC236}">
              <a16:creationId xmlns:a16="http://schemas.microsoft.com/office/drawing/2014/main" id="{00000000-0008-0000-2000-0000A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8" name="200 CuadroTexto">
          <a:extLst>
            <a:ext uri="{FF2B5EF4-FFF2-40B4-BE49-F238E27FC236}">
              <a16:creationId xmlns:a16="http://schemas.microsoft.com/office/drawing/2014/main" id="{00000000-0008-0000-2000-0000A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9" name="201 CuadroTexto">
          <a:extLst>
            <a:ext uri="{FF2B5EF4-FFF2-40B4-BE49-F238E27FC236}">
              <a16:creationId xmlns:a16="http://schemas.microsoft.com/office/drawing/2014/main" id="{00000000-0008-0000-2000-0000A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0" name="202 CuadroTexto">
          <a:extLst>
            <a:ext uri="{FF2B5EF4-FFF2-40B4-BE49-F238E27FC236}">
              <a16:creationId xmlns:a16="http://schemas.microsoft.com/office/drawing/2014/main" id="{00000000-0008-0000-2000-0000A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1" name="203 CuadroTexto">
          <a:extLst>
            <a:ext uri="{FF2B5EF4-FFF2-40B4-BE49-F238E27FC236}">
              <a16:creationId xmlns:a16="http://schemas.microsoft.com/office/drawing/2014/main" id="{00000000-0008-0000-2000-0000A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2" name="204 CuadroTexto">
          <a:extLst>
            <a:ext uri="{FF2B5EF4-FFF2-40B4-BE49-F238E27FC236}">
              <a16:creationId xmlns:a16="http://schemas.microsoft.com/office/drawing/2014/main" id="{00000000-0008-0000-2000-0000A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3" name="205 CuadroTexto">
          <a:extLst>
            <a:ext uri="{FF2B5EF4-FFF2-40B4-BE49-F238E27FC236}">
              <a16:creationId xmlns:a16="http://schemas.microsoft.com/office/drawing/2014/main" id="{00000000-0008-0000-2000-0000A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4" name="206 CuadroTexto">
          <a:extLst>
            <a:ext uri="{FF2B5EF4-FFF2-40B4-BE49-F238E27FC236}">
              <a16:creationId xmlns:a16="http://schemas.microsoft.com/office/drawing/2014/main" id="{00000000-0008-0000-2000-0000A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5" name="207 CuadroTexto">
          <a:extLst>
            <a:ext uri="{FF2B5EF4-FFF2-40B4-BE49-F238E27FC236}">
              <a16:creationId xmlns:a16="http://schemas.microsoft.com/office/drawing/2014/main" id="{00000000-0008-0000-2000-0000A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6" name="208 CuadroTexto">
          <a:extLst>
            <a:ext uri="{FF2B5EF4-FFF2-40B4-BE49-F238E27FC236}">
              <a16:creationId xmlns:a16="http://schemas.microsoft.com/office/drawing/2014/main" id="{00000000-0008-0000-2000-0000A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7" name="209 CuadroTexto">
          <a:extLst>
            <a:ext uri="{FF2B5EF4-FFF2-40B4-BE49-F238E27FC236}">
              <a16:creationId xmlns:a16="http://schemas.microsoft.com/office/drawing/2014/main" id="{00000000-0008-0000-2000-0000A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8" name="210 CuadroTexto">
          <a:extLst>
            <a:ext uri="{FF2B5EF4-FFF2-40B4-BE49-F238E27FC236}">
              <a16:creationId xmlns:a16="http://schemas.microsoft.com/office/drawing/2014/main" id="{00000000-0008-0000-2000-0000A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9" name="211 CuadroTexto">
          <a:extLst>
            <a:ext uri="{FF2B5EF4-FFF2-40B4-BE49-F238E27FC236}">
              <a16:creationId xmlns:a16="http://schemas.microsoft.com/office/drawing/2014/main" id="{00000000-0008-0000-2000-0000A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0" name="212 CuadroTexto">
          <a:extLst>
            <a:ext uri="{FF2B5EF4-FFF2-40B4-BE49-F238E27FC236}">
              <a16:creationId xmlns:a16="http://schemas.microsoft.com/office/drawing/2014/main" id="{00000000-0008-0000-2000-0000B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1" name="213 CuadroTexto">
          <a:extLst>
            <a:ext uri="{FF2B5EF4-FFF2-40B4-BE49-F238E27FC236}">
              <a16:creationId xmlns:a16="http://schemas.microsoft.com/office/drawing/2014/main" id="{00000000-0008-0000-2000-0000B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2" name="214 CuadroTexto">
          <a:extLst>
            <a:ext uri="{FF2B5EF4-FFF2-40B4-BE49-F238E27FC236}">
              <a16:creationId xmlns:a16="http://schemas.microsoft.com/office/drawing/2014/main" id="{00000000-0008-0000-2000-0000B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3" name="215 CuadroTexto">
          <a:extLst>
            <a:ext uri="{FF2B5EF4-FFF2-40B4-BE49-F238E27FC236}">
              <a16:creationId xmlns:a16="http://schemas.microsoft.com/office/drawing/2014/main" id="{00000000-0008-0000-2000-0000B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4" name="216 CuadroTexto">
          <a:extLst>
            <a:ext uri="{FF2B5EF4-FFF2-40B4-BE49-F238E27FC236}">
              <a16:creationId xmlns:a16="http://schemas.microsoft.com/office/drawing/2014/main" id="{00000000-0008-0000-2000-0000B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5" name="217 CuadroTexto">
          <a:extLst>
            <a:ext uri="{FF2B5EF4-FFF2-40B4-BE49-F238E27FC236}">
              <a16:creationId xmlns:a16="http://schemas.microsoft.com/office/drawing/2014/main" id="{00000000-0008-0000-2000-0000B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6" name="218 CuadroTexto">
          <a:extLst>
            <a:ext uri="{FF2B5EF4-FFF2-40B4-BE49-F238E27FC236}">
              <a16:creationId xmlns:a16="http://schemas.microsoft.com/office/drawing/2014/main" id="{00000000-0008-0000-2000-0000B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7" name="219 CuadroTexto">
          <a:extLst>
            <a:ext uri="{FF2B5EF4-FFF2-40B4-BE49-F238E27FC236}">
              <a16:creationId xmlns:a16="http://schemas.microsoft.com/office/drawing/2014/main" id="{00000000-0008-0000-2000-0000B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8" name="220 CuadroTexto">
          <a:extLst>
            <a:ext uri="{FF2B5EF4-FFF2-40B4-BE49-F238E27FC236}">
              <a16:creationId xmlns:a16="http://schemas.microsoft.com/office/drawing/2014/main" id="{00000000-0008-0000-2000-0000B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9" name="221 CuadroTexto">
          <a:extLst>
            <a:ext uri="{FF2B5EF4-FFF2-40B4-BE49-F238E27FC236}">
              <a16:creationId xmlns:a16="http://schemas.microsoft.com/office/drawing/2014/main" id="{00000000-0008-0000-2000-0000B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0" name="222 CuadroTexto">
          <a:extLst>
            <a:ext uri="{FF2B5EF4-FFF2-40B4-BE49-F238E27FC236}">
              <a16:creationId xmlns:a16="http://schemas.microsoft.com/office/drawing/2014/main" id="{00000000-0008-0000-2000-0000B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1" name="223 CuadroTexto">
          <a:extLst>
            <a:ext uri="{FF2B5EF4-FFF2-40B4-BE49-F238E27FC236}">
              <a16:creationId xmlns:a16="http://schemas.microsoft.com/office/drawing/2014/main" id="{00000000-0008-0000-2000-0000B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2" name="224 CuadroTexto">
          <a:extLst>
            <a:ext uri="{FF2B5EF4-FFF2-40B4-BE49-F238E27FC236}">
              <a16:creationId xmlns:a16="http://schemas.microsoft.com/office/drawing/2014/main" id="{00000000-0008-0000-2000-0000B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3" name="225 CuadroTexto">
          <a:extLst>
            <a:ext uri="{FF2B5EF4-FFF2-40B4-BE49-F238E27FC236}">
              <a16:creationId xmlns:a16="http://schemas.microsoft.com/office/drawing/2014/main" id="{00000000-0008-0000-2000-0000B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4" name="226 CuadroTexto">
          <a:extLst>
            <a:ext uri="{FF2B5EF4-FFF2-40B4-BE49-F238E27FC236}">
              <a16:creationId xmlns:a16="http://schemas.microsoft.com/office/drawing/2014/main" id="{00000000-0008-0000-2000-0000B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5" name="227 CuadroTexto">
          <a:extLst>
            <a:ext uri="{FF2B5EF4-FFF2-40B4-BE49-F238E27FC236}">
              <a16:creationId xmlns:a16="http://schemas.microsoft.com/office/drawing/2014/main" id="{00000000-0008-0000-2000-0000B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6" name="228 CuadroTexto">
          <a:extLst>
            <a:ext uri="{FF2B5EF4-FFF2-40B4-BE49-F238E27FC236}">
              <a16:creationId xmlns:a16="http://schemas.microsoft.com/office/drawing/2014/main" id="{00000000-0008-0000-2000-0000C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7" name="229 CuadroTexto">
          <a:extLst>
            <a:ext uri="{FF2B5EF4-FFF2-40B4-BE49-F238E27FC236}">
              <a16:creationId xmlns:a16="http://schemas.microsoft.com/office/drawing/2014/main" id="{00000000-0008-0000-2000-0000C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8" name="230 CuadroTexto">
          <a:extLst>
            <a:ext uri="{FF2B5EF4-FFF2-40B4-BE49-F238E27FC236}">
              <a16:creationId xmlns:a16="http://schemas.microsoft.com/office/drawing/2014/main" id="{00000000-0008-0000-2000-0000C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9" name="231 CuadroTexto">
          <a:extLst>
            <a:ext uri="{FF2B5EF4-FFF2-40B4-BE49-F238E27FC236}">
              <a16:creationId xmlns:a16="http://schemas.microsoft.com/office/drawing/2014/main" id="{00000000-0008-0000-2000-0000C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0" name="232 CuadroTexto">
          <a:extLst>
            <a:ext uri="{FF2B5EF4-FFF2-40B4-BE49-F238E27FC236}">
              <a16:creationId xmlns:a16="http://schemas.microsoft.com/office/drawing/2014/main" id="{00000000-0008-0000-2000-0000C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1" name="233 CuadroTexto">
          <a:extLst>
            <a:ext uri="{FF2B5EF4-FFF2-40B4-BE49-F238E27FC236}">
              <a16:creationId xmlns:a16="http://schemas.microsoft.com/office/drawing/2014/main" id="{00000000-0008-0000-2000-0000C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2" name="234 CuadroTexto">
          <a:extLst>
            <a:ext uri="{FF2B5EF4-FFF2-40B4-BE49-F238E27FC236}">
              <a16:creationId xmlns:a16="http://schemas.microsoft.com/office/drawing/2014/main" id="{00000000-0008-0000-2000-0000C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3" name="235 CuadroTexto">
          <a:extLst>
            <a:ext uri="{FF2B5EF4-FFF2-40B4-BE49-F238E27FC236}">
              <a16:creationId xmlns:a16="http://schemas.microsoft.com/office/drawing/2014/main" id="{00000000-0008-0000-2000-0000C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4" name="236 CuadroTexto">
          <a:extLst>
            <a:ext uri="{FF2B5EF4-FFF2-40B4-BE49-F238E27FC236}">
              <a16:creationId xmlns:a16="http://schemas.microsoft.com/office/drawing/2014/main" id="{00000000-0008-0000-2000-0000C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5" name="237 CuadroTexto">
          <a:extLst>
            <a:ext uri="{FF2B5EF4-FFF2-40B4-BE49-F238E27FC236}">
              <a16:creationId xmlns:a16="http://schemas.microsoft.com/office/drawing/2014/main" id="{00000000-0008-0000-2000-0000C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6" name="238 CuadroTexto">
          <a:extLst>
            <a:ext uri="{FF2B5EF4-FFF2-40B4-BE49-F238E27FC236}">
              <a16:creationId xmlns:a16="http://schemas.microsoft.com/office/drawing/2014/main" id="{00000000-0008-0000-2000-0000C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7" name="239 CuadroTexto">
          <a:extLst>
            <a:ext uri="{FF2B5EF4-FFF2-40B4-BE49-F238E27FC236}">
              <a16:creationId xmlns:a16="http://schemas.microsoft.com/office/drawing/2014/main" id="{00000000-0008-0000-2000-0000C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8" name="240 CuadroTexto">
          <a:extLst>
            <a:ext uri="{FF2B5EF4-FFF2-40B4-BE49-F238E27FC236}">
              <a16:creationId xmlns:a16="http://schemas.microsoft.com/office/drawing/2014/main" id="{00000000-0008-0000-2000-0000C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9" name="241 CuadroTexto">
          <a:extLst>
            <a:ext uri="{FF2B5EF4-FFF2-40B4-BE49-F238E27FC236}">
              <a16:creationId xmlns:a16="http://schemas.microsoft.com/office/drawing/2014/main" id="{00000000-0008-0000-2000-0000C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0" name="242 CuadroTexto">
          <a:extLst>
            <a:ext uri="{FF2B5EF4-FFF2-40B4-BE49-F238E27FC236}">
              <a16:creationId xmlns:a16="http://schemas.microsoft.com/office/drawing/2014/main" id="{00000000-0008-0000-2000-0000C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1" name="243 CuadroTexto">
          <a:extLst>
            <a:ext uri="{FF2B5EF4-FFF2-40B4-BE49-F238E27FC236}">
              <a16:creationId xmlns:a16="http://schemas.microsoft.com/office/drawing/2014/main" id="{00000000-0008-0000-2000-0000C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2" name="244 CuadroTexto">
          <a:extLst>
            <a:ext uri="{FF2B5EF4-FFF2-40B4-BE49-F238E27FC236}">
              <a16:creationId xmlns:a16="http://schemas.microsoft.com/office/drawing/2014/main" id="{00000000-0008-0000-2000-0000D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3" name="245 CuadroTexto">
          <a:extLst>
            <a:ext uri="{FF2B5EF4-FFF2-40B4-BE49-F238E27FC236}">
              <a16:creationId xmlns:a16="http://schemas.microsoft.com/office/drawing/2014/main" id="{00000000-0008-0000-2000-0000D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4" name="246 CuadroTexto">
          <a:extLst>
            <a:ext uri="{FF2B5EF4-FFF2-40B4-BE49-F238E27FC236}">
              <a16:creationId xmlns:a16="http://schemas.microsoft.com/office/drawing/2014/main" id="{00000000-0008-0000-2000-0000D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5" name="247 CuadroTexto">
          <a:extLst>
            <a:ext uri="{FF2B5EF4-FFF2-40B4-BE49-F238E27FC236}">
              <a16:creationId xmlns:a16="http://schemas.microsoft.com/office/drawing/2014/main" id="{00000000-0008-0000-2000-0000D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6" name="248 CuadroTexto">
          <a:extLst>
            <a:ext uri="{FF2B5EF4-FFF2-40B4-BE49-F238E27FC236}">
              <a16:creationId xmlns:a16="http://schemas.microsoft.com/office/drawing/2014/main" id="{00000000-0008-0000-2000-0000D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7" name="249 CuadroTexto">
          <a:extLst>
            <a:ext uri="{FF2B5EF4-FFF2-40B4-BE49-F238E27FC236}">
              <a16:creationId xmlns:a16="http://schemas.microsoft.com/office/drawing/2014/main" id="{00000000-0008-0000-2000-0000D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8" name="250 CuadroTexto">
          <a:extLst>
            <a:ext uri="{FF2B5EF4-FFF2-40B4-BE49-F238E27FC236}">
              <a16:creationId xmlns:a16="http://schemas.microsoft.com/office/drawing/2014/main" id="{00000000-0008-0000-2000-0000D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9" name="251 CuadroTexto">
          <a:extLst>
            <a:ext uri="{FF2B5EF4-FFF2-40B4-BE49-F238E27FC236}">
              <a16:creationId xmlns:a16="http://schemas.microsoft.com/office/drawing/2014/main" id="{00000000-0008-0000-2000-0000D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0" name="252 CuadroTexto">
          <a:extLst>
            <a:ext uri="{FF2B5EF4-FFF2-40B4-BE49-F238E27FC236}">
              <a16:creationId xmlns:a16="http://schemas.microsoft.com/office/drawing/2014/main" id="{00000000-0008-0000-2000-0000D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1" name="253 CuadroTexto">
          <a:extLst>
            <a:ext uri="{FF2B5EF4-FFF2-40B4-BE49-F238E27FC236}">
              <a16:creationId xmlns:a16="http://schemas.microsoft.com/office/drawing/2014/main" id="{00000000-0008-0000-2000-0000D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2" name="254 CuadroTexto">
          <a:extLst>
            <a:ext uri="{FF2B5EF4-FFF2-40B4-BE49-F238E27FC236}">
              <a16:creationId xmlns:a16="http://schemas.microsoft.com/office/drawing/2014/main" id="{00000000-0008-0000-2000-0000D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3" name="255 CuadroTexto">
          <a:extLst>
            <a:ext uri="{FF2B5EF4-FFF2-40B4-BE49-F238E27FC236}">
              <a16:creationId xmlns:a16="http://schemas.microsoft.com/office/drawing/2014/main" id="{00000000-0008-0000-2000-0000D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4" name="256 CuadroTexto">
          <a:extLst>
            <a:ext uri="{FF2B5EF4-FFF2-40B4-BE49-F238E27FC236}">
              <a16:creationId xmlns:a16="http://schemas.microsoft.com/office/drawing/2014/main" id="{00000000-0008-0000-2000-0000D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5" name="257 CuadroTexto">
          <a:extLst>
            <a:ext uri="{FF2B5EF4-FFF2-40B4-BE49-F238E27FC236}">
              <a16:creationId xmlns:a16="http://schemas.microsoft.com/office/drawing/2014/main" id="{00000000-0008-0000-2000-0000D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6" name="258 CuadroTexto">
          <a:extLst>
            <a:ext uri="{FF2B5EF4-FFF2-40B4-BE49-F238E27FC236}">
              <a16:creationId xmlns:a16="http://schemas.microsoft.com/office/drawing/2014/main" id="{00000000-0008-0000-2000-0000D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7" name="259 CuadroTexto">
          <a:extLst>
            <a:ext uri="{FF2B5EF4-FFF2-40B4-BE49-F238E27FC236}">
              <a16:creationId xmlns:a16="http://schemas.microsoft.com/office/drawing/2014/main" id="{00000000-0008-0000-2000-0000D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8" name="260 CuadroTexto">
          <a:extLst>
            <a:ext uri="{FF2B5EF4-FFF2-40B4-BE49-F238E27FC236}">
              <a16:creationId xmlns:a16="http://schemas.microsoft.com/office/drawing/2014/main" id="{00000000-0008-0000-2000-0000E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9" name="261 CuadroTexto">
          <a:extLst>
            <a:ext uri="{FF2B5EF4-FFF2-40B4-BE49-F238E27FC236}">
              <a16:creationId xmlns:a16="http://schemas.microsoft.com/office/drawing/2014/main" id="{00000000-0008-0000-2000-0000E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0" name="262 CuadroTexto">
          <a:extLst>
            <a:ext uri="{FF2B5EF4-FFF2-40B4-BE49-F238E27FC236}">
              <a16:creationId xmlns:a16="http://schemas.microsoft.com/office/drawing/2014/main" id="{00000000-0008-0000-2000-0000E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1" name="263 CuadroTexto">
          <a:extLst>
            <a:ext uri="{FF2B5EF4-FFF2-40B4-BE49-F238E27FC236}">
              <a16:creationId xmlns:a16="http://schemas.microsoft.com/office/drawing/2014/main" id="{00000000-0008-0000-2000-0000E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2" name="264 CuadroTexto">
          <a:extLst>
            <a:ext uri="{FF2B5EF4-FFF2-40B4-BE49-F238E27FC236}">
              <a16:creationId xmlns:a16="http://schemas.microsoft.com/office/drawing/2014/main" id="{00000000-0008-0000-2000-0000E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3" name="265 CuadroTexto">
          <a:extLst>
            <a:ext uri="{FF2B5EF4-FFF2-40B4-BE49-F238E27FC236}">
              <a16:creationId xmlns:a16="http://schemas.microsoft.com/office/drawing/2014/main" id="{00000000-0008-0000-2000-0000E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4" name="266 CuadroTexto">
          <a:extLst>
            <a:ext uri="{FF2B5EF4-FFF2-40B4-BE49-F238E27FC236}">
              <a16:creationId xmlns:a16="http://schemas.microsoft.com/office/drawing/2014/main" id="{00000000-0008-0000-2000-0000E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5" name="267 CuadroTexto">
          <a:extLst>
            <a:ext uri="{FF2B5EF4-FFF2-40B4-BE49-F238E27FC236}">
              <a16:creationId xmlns:a16="http://schemas.microsoft.com/office/drawing/2014/main" id="{00000000-0008-0000-2000-0000E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536" name="268 CuadroTexto">
          <a:extLst>
            <a:ext uri="{FF2B5EF4-FFF2-40B4-BE49-F238E27FC236}">
              <a16:creationId xmlns:a16="http://schemas.microsoft.com/office/drawing/2014/main" id="{00000000-0008-0000-2000-0000E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7" name="269 CuadroTexto">
          <a:extLst>
            <a:ext uri="{FF2B5EF4-FFF2-40B4-BE49-F238E27FC236}">
              <a16:creationId xmlns:a16="http://schemas.microsoft.com/office/drawing/2014/main" id="{00000000-0008-0000-2000-0000E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8" name="270 CuadroTexto">
          <a:extLst>
            <a:ext uri="{FF2B5EF4-FFF2-40B4-BE49-F238E27FC236}">
              <a16:creationId xmlns:a16="http://schemas.microsoft.com/office/drawing/2014/main" id="{00000000-0008-0000-2000-0000E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9" name="271 CuadroTexto">
          <a:extLst>
            <a:ext uri="{FF2B5EF4-FFF2-40B4-BE49-F238E27FC236}">
              <a16:creationId xmlns:a16="http://schemas.microsoft.com/office/drawing/2014/main" id="{00000000-0008-0000-2000-0000E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0" name="272 CuadroTexto">
          <a:extLst>
            <a:ext uri="{FF2B5EF4-FFF2-40B4-BE49-F238E27FC236}">
              <a16:creationId xmlns:a16="http://schemas.microsoft.com/office/drawing/2014/main" id="{00000000-0008-0000-2000-0000E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1" name="273 CuadroTexto">
          <a:extLst>
            <a:ext uri="{FF2B5EF4-FFF2-40B4-BE49-F238E27FC236}">
              <a16:creationId xmlns:a16="http://schemas.microsoft.com/office/drawing/2014/main" id="{00000000-0008-0000-2000-0000E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2" name="274 CuadroTexto">
          <a:extLst>
            <a:ext uri="{FF2B5EF4-FFF2-40B4-BE49-F238E27FC236}">
              <a16:creationId xmlns:a16="http://schemas.microsoft.com/office/drawing/2014/main" id="{00000000-0008-0000-2000-0000E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3" name="275 CuadroTexto">
          <a:extLst>
            <a:ext uri="{FF2B5EF4-FFF2-40B4-BE49-F238E27FC236}">
              <a16:creationId xmlns:a16="http://schemas.microsoft.com/office/drawing/2014/main" id="{00000000-0008-0000-2000-0000E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4" name="276 CuadroTexto">
          <a:extLst>
            <a:ext uri="{FF2B5EF4-FFF2-40B4-BE49-F238E27FC236}">
              <a16:creationId xmlns:a16="http://schemas.microsoft.com/office/drawing/2014/main" id="{00000000-0008-0000-2000-0000F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5" name="277 CuadroTexto">
          <a:extLst>
            <a:ext uri="{FF2B5EF4-FFF2-40B4-BE49-F238E27FC236}">
              <a16:creationId xmlns:a16="http://schemas.microsoft.com/office/drawing/2014/main" id="{00000000-0008-0000-2000-0000F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6" name="278 CuadroTexto">
          <a:extLst>
            <a:ext uri="{FF2B5EF4-FFF2-40B4-BE49-F238E27FC236}">
              <a16:creationId xmlns:a16="http://schemas.microsoft.com/office/drawing/2014/main" id="{00000000-0008-0000-2000-0000F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7" name="279 CuadroTexto">
          <a:extLst>
            <a:ext uri="{FF2B5EF4-FFF2-40B4-BE49-F238E27FC236}">
              <a16:creationId xmlns:a16="http://schemas.microsoft.com/office/drawing/2014/main" id="{00000000-0008-0000-2000-0000F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8" name="280 CuadroTexto">
          <a:extLst>
            <a:ext uri="{FF2B5EF4-FFF2-40B4-BE49-F238E27FC236}">
              <a16:creationId xmlns:a16="http://schemas.microsoft.com/office/drawing/2014/main" id="{00000000-0008-0000-2000-0000F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9" name="281 CuadroTexto">
          <a:extLst>
            <a:ext uri="{FF2B5EF4-FFF2-40B4-BE49-F238E27FC236}">
              <a16:creationId xmlns:a16="http://schemas.microsoft.com/office/drawing/2014/main" id="{00000000-0008-0000-2000-0000F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0" name="282 CuadroTexto">
          <a:extLst>
            <a:ext uri="{FF2B5EF4-FFF2-40B4-BE49-F238E27FC236}">
              <a16:creationId xmlns:a16="http://schemas.microsoft.com/office/drawing/2014/main" id="{00000000-0008-0000-2000-0000F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1" name="283 CuadroTexto">
          <a:extLst>
            <a:ext uri="{FF2B5EF4-FFF2-40B4-BE49-F238E27FC236}">
              <a16:creationId xmlns:a16="http://schemas.microsoft.com/office/drawing/2014/main" id="{00000000-0008-0000-2000-0000F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2" name="284 CuadroTexto">
          <a:extLst>
            <a:ext uri="{FF2B5EF4-FFF2-40B4-BE49-F238E27FC236}">
              <a16:creationId xmlns:a16="http://schemas.microsoft.com/office/drawing/2014/main" id="{00000000-0008-0000-2000-0000F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553" name="285 CuadroTexto">
          <a:extLst>
            <a:ext uri="{FF2B5EF4-FFF2-40B4-BE49-F238E27FC236}">
              <a16:creationId xmlns:a16="http://schemas.microsoft.com/office/drawing/2014/main" id="{00000000-0008-0000-2000-0000F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4" name="286 CuadroTexto">
          <a:extLst>
            <a:ext uri="{FF2B5EF4-FFF2-40B4-BE49-F238E27FC236}">
              <a16:creationId xmlns:a16="http://schemas.microsoft.com/office/drawing/2014/main" id="{00000000-0008-0000-2000-0000F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5" name="287 CuadroTexto">
          <a:extLst>
            <a:ext uri="{FF2B5EF4-FFF2-40B4-BE49-F238E27FC236}">
              <a16:creationId xmlns:a16="http://schemas.microsoft.com/office/drawing/2014/main" id="{00000000-0008-0000-2000-0000F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6" name="288 CuadroTexto">
          <a:extLst>
            <a:ext uri="{FF2B5EF4-FFF2-40B4-BE49-F238E27FC236}">
              <a16:creationId xmlns:a16="http://schemas.microsoft.com/office/drawing/2014/main" id="{00000000-0008-0000-2000-0000F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7" name="289 CuadroTexto">
          <a:extLst>
            <a:ext uri="{FF2B5EF4-FFF2-40B4-BE49-F238E27FC236}">
              <a16:creationId xmlns:a16="http://schemas.microsoft.com/office/drawing/2014/main" id="{00000000-0008-0000-2000-0000F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8" name="290 CuadroTexto">
          <a:extLst>
            <a:ext uri="{FF2B5EF4-FFF2-40B4-BE49-F238E27FC236}">
              <a16:creationId xmlns:a16="http://schemas.microsoft.com/office/drawing/2014/main" id="{00000000-0008-0000-2000-0000F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9" name="291 CuadroTexto">
          <a:extLst>
            <a:ext uri="{FF2B5EF4-FFF2-40B4-BE49-F238E27FC236}">
              <a16:creationId xmlns:a16="http://schemas.microsoft.com/office/drawing/2014/main" id="{00000000-0008-0000-2000-0000F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0" name="292 CuadroTexto">
          <a:extLst>
            <a:ext uri="{FF2B5EF4-FFF2-40B4-BE49-F238E27FC236}">
              <a16:creationId xmlns:a16="http://schemas.microsoft.com/office/drawing/2014/main" id="{00000000-0008-0000-2000-00000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1" name="293 CuadroTexto">
          <a:extLst>
            <a:ext uri="{FF2B5EF4-FFF2-40B4-BE49-F238E27FC236}">
              <a16:creationId xmlns:a16="http://schemas.microsoft.com/office/drawing/2014/main" id="{00000000-0008-0000-2000-00000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2" name="294 CuadroTexto">
          <a:extLst>
            <a:ext uri="{FF2B5EF4-FFF2-40B4-BE49-F238E27FC236}">
              <a16:creationId xmlns:a16="http://schemas.microsoft.com/office/drawing/2014/main" id="{00000000-0008-0000-2000-00000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3" name="295 CuadroTexto">
          <a:extLst>
            <a:ext uri="{FF2B5EF4-FFF2-40B4-BE49-F238E27FC236}">
              <a16:creationId xmlns:a16="http://schemas.microsoft.com/office/drawing/2014/main" id="{00000000-0008-0000-2000-00000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4" name="296 CuadroTexto">
          <a:extLst>
            <a:ext uri="{FF2B5EF4-FFF2-40B4-BE49-F238E27FC236}">
              <a16:creationId xmlns:a16="http://schemas.microsoft.com/office/drawing/2014/main" id="{00000000-0008-0000-2000-00000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5" name="1 CuadroTexto">
          <a:extLst>
            <a:ext uri="{FF2B5EF4-FFF2-40B4-BE49-F238E27FC236}">
              <a16:creationId xmlns:a16="http://schemas.microsoft.com/office/drawing/2014/main" id="{00000000-0008-0000-2000-00000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6" name="2 CuadroTexto">
          <a:extLst>
            <a:ext uri="{FF2B5EF4-FFF2-40B4-BE49-F238E27FC236}">
              <a16:creationId xmlns:a16="http://schemas.microsoft.com/office/drawing/2014/main" id="{00000000-0008-0000-2000-00000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7" name="3 CuadroTexto">
          <a:extLst>
            <a:ext uri="{FF2B5EF4-FFF2-40B4-BE49-F238E27FC236}">
              <a16:creationId xmlns:a16="http://schemas.microsoft.com/office/drawing/2014/main" id="{00000000-0008-0000-2000-00000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8" name="4 CuadroTexto">
          <a:extLst>
            <a:ext uri="{FF2B5EF4-FFF2-40B4-BE49-F238E27FC236}">
              <a16:creationId xmlns:a16="http://schemas.microsoft.com/office/drawing/2014/main" id="{00000000-0008-0000-2000-00000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9" name="5 CuadroTexto">
          <a:extLst>
            <a:ext uri="{FF2B5EF4-FFF2-40B4-BE49-F238E27FC236}">
              <a16:creationId xmlns:a16="http://schemas.microsoft.com/office/drawing/2014/main" id="{00000000-0008-0000-2000-00000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0" name="6 CuadroTexto">
          <a:extLst>
            <a:ext uri="{FF2B5EF4-FFF2-40B4-BE49-F238E27FC236}">
              <a16:creationId xmlns:a16="http://schemas.microsoft.com/office/drawing/2014/main" id="{00000000-0008-0000-2000-00000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1" name="7 CuadroTexto">
          <a:extLst>
            <a:ext uri="{FF2B5EF4-FFF2-40B4-BE49-F238E27FC236}">
              <a16:creationId xmlns:a16="http://schemas.microsoft.com/office/drawing/2014/main" id="{00000000-0008-0000-2000-00000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2" name="8 CuadroTexto">
          <a:extLst>
            <a:ext uri="{FF2B5EF4-FFF2-40B4-BE49-F238E27FC236}">
              <a16:creationId xmlns:a16="http://schemas.microsoft.com/office/drawing/2014/main" id="{00000000-0008-0000-2000-00000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3" name="9 CuadroTexto">
          <a:extLst>
            <a:ext uri="{FF2B5EF4-FFF2-40B4-BE49-F238E27FC236}">
              <a16:creationId xmlns:a16="http://schemas.microsoft.com/office/drawing/2014/main" id="{00000000-0008-0000-2000-00000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4" name="10 CuadroTexto">
          <a:extLst>
            <a:ext uri="{FF2B5EF4-FFF2-40B4-BE49-F238E27FC236}">
              <a16:creationId xmlns:a16="http://schemas.microsoft.com/office/drawing/2014/main" id="{00000000-0008-0000-2000-00000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5" name="11 CuadroTexto">
          <a:extLst>
            <a:ext uri="{FF2B5EF4-FFF2-40B4-BE49-F238E27FC236}">
              <a16:creationId xmlns:a16="http://schemas.microsoft.com/office/drawing/2014/main" id="{00000000-0008-0000-2000-00000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6" name="12 CuadroTexto">
          <a:extLst>
            <a:ext uri="{FF2B5EF4-FFF2-40B4-BE49-F238E27FC236}">
              <a16:creationId xmlns:a16="http://schemas.microsoft.com/office/drawing/2014/main" id="{00000000-0008-0000-2000-00001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7" name="13 CuadroTexto">
          <a:extLst>
            <a:ext uri="{FF2B5EF4-FFF2-40B4-BE49-F238E27FC236}">
              <a16:creationId xmlns:a16="http://schemas.microsoft.com/office/drawing/2014/main" id="{00000000-0008-0000-2000-00001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8" name="14 CuadroTexto">
          <a:extLst>
            <a:ext uri="{FF2B5EF4-FFF2-40B4-BE49-F238E27FC236}">
              <a16:creationId xmlns:a16="http://schemas.microsoft.com/office/drawing/2014/main" id="{00000000-0008-0000-2000-00001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9" name="15 CuadroTexto">
          <a:extLst>
            <a:ext uri="{FF2B5EF4-FFF2-40B4-BE49-F238E27FC236}">
              <a16:creationId xmlns:a16="http://schemas.microsoft.com/office/drawing/2014/main" id="{00000000-0008-0000-2000-00001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0" name="16 CuadroTexto">
          <a:extLst>
            <a:ext uri="{FF2B5EF4-FFF2-40B4-BE49-F238E27FC236}">
              <a16:creationId xmlns:a16="http://schemas.microsoft.com/office/drawing/2014/main" id="{00000000-0008-0000-2000-00001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1" name="18 CuadroTexto">
          <a:extLst>
            <a:ext uri="{FF2B5EF4-FFF2-40B4-BE49-F238E27FC236}">
              <a16:creationId xmlns:a16="http://schemas.microsoft.com/office/drawing/2014/main" id="{00000000-0008-0000-2000-00001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2" name="19 CuadroTexto">
          <a:extLst>
            <a:ext uri="{FF2B5EF4-FFF2-40B4-BE49-F238E27FC236}">
              <a16:creationId xmlns:a16="http://schemas.microsoft.com/office/drawing/2014/main" id="{00000000-0008-0000-2000-00001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3" name="20 CuadroTexto">
          <a:extLst>
            <a:ext uri="{FF2B5EF4-FFF2-40B4-BE49-F238E27FC236}">
              <a16:creationId xmlns:a16="http://schemas.microsoft.com/office/drawing/2014/main" id="{00000000-0008-0000-2000-00001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4" name="21 CuadroTexto">
          <a:extLst>
            <a:ext uri="{FF2B5EF4-FFF2-40B4-BE49-F238E27FC236}">
              <a16:creationId xmlns:a16="http://schemas.microsoft.com/office/drawing/2014/main" id="{00000000-0008-0000-2000-00001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5" name="22 CuadroTexto">
          <a:extLst>
            <a:ext uri="{FF2B5EF4-FFF2-40B4-BE49-F238E27FC236}">
              <a16:creationId xmlns:a16="http://schemas.microsoft.com/office/drawing/2014/main" id="{00000000-0008-0000-2000-00001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6" name="23 CuadroTexto">
          <a:extLst>
            <a:ext uri="{FF2B5EF4-FFF2-40B4-BE49-F238E27FC236}">
              <a16:creationId xmlns:a16="http://schemas.microsoft.com/office/drawing/2014/main" id="{00000000-0008-0000-2000-00001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7" name="24 CuadroTexto">
          <a:extLst>
            <a:ext uri="{FF2B5EF4-FFF2-40B4-BE49-F238E27FC236}">
              <a16:creationId xmlns:a16="http://schemas.microsoft.com/office/drawing/2014/main" id="{00000000-0008-0000-2000-00001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8" name="25 CuadroTexto">
          <a:extLst>
            <a:ext uri="{FF2B5EF4-FFF2-40B4-BE49-F238E27FC236}">
              <a16:creationId xmlns:a16="http://schemas.microsoft.com/office/drawing/2014/main" id="{00000000-0008-0000-2000-00001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9" name="26 CuadroTexto">
          <a:extLst>
            <a:ext uri="{FF2B5EF4-FFF2-40B4-BE49-F238E27FC236}">
              <a16:creationId xmlns:a16="http://schemas.microsoft.com/office/drawing/2014/main" id="{00000000-0008-0000-2000-00001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0" name="27 CuadroTexto">
          <a:extLst>
            <a:ext uri="{FF2B5EF4-FFF2-40B4-BE49-F238E27FC236}">
              <a16:creationId xmlns:a16="http://schemas.microsoft.com/office/drawing/2014/main" id="{00000000-0008-0000-2000-00001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1" name="28 CuadroTexto">
          <a:extLst>
            <a:ext uri="{FF2B5EF4-FFF2-40B4-BE49-F238E27FC236}">
              <a16:creationId xmlns:a16="http://schemas.microsoft.com/office/drawing/2014/main" id="{00000000-0008-0000-2000-00001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2" name="29 CuadroTexto">
          <a:extLst>
            <a:ext uri="{FF2B5EF4-FFF2-40B4-BE49-F238E27FC236}">
              <a16:creationId xmlns:a16="http://schemas.microsoft.com/office/drawing/2014/main" id="{00000000-0008-0000-2000-00002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3" name="30 CuadroTexto">
          <a:extLst>
            <a:ext uri="{FF2B5EF4-FFF2-40B4-BE49-F238E27FC236}">
              <a16:creationId xmlns:a16="http://schemas.microsoft.com/office/drawing/2014/main" id="{00000000-0008-0000-2000-00002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4" name="31 CuadroTexto">
          <a:extLst>
            <a:ext uri="{FF2B5EF4-FFF2-40B4-BE49-F238E27FC236}">
              <a16:creationId xmlns:a16="http://schemas.microsoft.com/office/drawing/2014/main" id="{00000000-0008-0000-2000-00002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5" name="32 CuadroTexto">
          <a:extLst>
            <a:ext uri="{FF2B5EF4-FFF2-40B4-BE49-F238E27FC236}">
              <a16:creationId xmlns:a16="http://schemas.microsoft.com/office/drawing/2014/main" id="{00000000-0008-0000-2000-00002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6" name="33 CuadroTexto">
          <a:extLst>
            <a:ext uri="{FF2B5EF4-FFF2-40B4-BE49-F238E27FC236}">
              <a16:creationId xmlns:a16="http://schemas.microsoft.com/office/drawing/2014/main" id="{00000000-0008-0000-2000-00002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7" name="34 CuadroTexto">
          <a:extLst>
            <a:ext uri="{FF2B5EF4-FFF2-40B4-BE49-F238E27FC236}">
              <a16:creationId xmlns:a16="http://schemas.microsoft.com/office/drawing/2014/main" id="{00000000-0008-0000-2000-00002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8" name="35 CuadroTexto">
          <a:extLst>
            <a:ext uri="{FF2B5EF4-FFF2-40B4-BE49-F238E27FC236}">
              <a16:creationId xmlns:a16="http://schemas.microsoft.com/office/drawing/2014/main" id="{00000000-0008-0000-2000-00002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9" name="36 CuadroTexto">
          <a:extLst>
            <a:ext uri="{FF2B5EF4-FFF2-40B4-BE49-F238E27FC236}">
              <a16:creationId xmlns:a16="http://schemas.microsoft.com/office/drawing/2014/main" id="{00000000-0008-0000-2000-00002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0" name="37 CuadroTexto">
          <a:extLst>
            <a:ext uri="{FF2B5EF4-FFF2-40B4-BE49-F238E27FC236}">
              <a16:creationId xmlns:a16="http://schemas.microsoft.com/office/drawing/2014/main" id="{00000000-0008-0000-2000-00002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1" name="38 CuadroTexto">
          <a:extLst>
            <a:ext uri="{FF2B5EF4-FFF2-40B4-BE49-F238E27FC236}">
              <a16:creationId xmlns:a16="http://schemas.microsoft.com/office/drawing/2014/main" id="{00000000-0008-0000-2000-00002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2" name="39 CuadroTexto">
          <a:extLst>
            <a:ext uri="{FF2B5EF4-FFF2-40B4-BE49-F238E27FC236}">
              <a16:creationId xmlns:a16="http://schemas.microsoft.com/office/drawing/2014/main" id="{00000000-0008-0000-2000-00002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3" name="40 CuadroTexto">
          <a:extLst>
            <a:ext uri="{FF2B5EF4-FFF2-40B4-BE49-F238E27FC236}">
              <a16:creationId xmlns:a16="http://schemas.microsoft.com/office/drawing/2014/main" id="{00000000-0008-0000-2000-00002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4" name="41 CuadroTexto">
          <a:extLst>
            <a:ext uri="{FF2B5EF4-FFF2-40B4-BE49-F238E27FC236}">
              <a16:creationId xmlns:a16="http://schemas.microsoft.com/office/drawing/2014/main" id="{00000000-0008-0000-2000-00002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5" name="42 CuadroTexto">
          <a:extLst>
            <a:ext uri="{FF2B5EF4-FFF2-40B4-BE49-F238E27FC236}">
              <a16:creationId xmlns:a16="http://schemas.microsoft.com/office/drawing/2014/main" id="{00000000-0008-0000-2000-00002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6" name="43 CuadroTexto">
          <a:extLst>
            <a:ext uri="{FF2B5EF4-FFF2-40B4-BE49-F238E27FC236}">
              <a16:creationId xmlns:a16="http://schemas.microsoft.com/office/drawing/2014/main" id="{00000000-0008-0000-2000-00002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7" name="44 CuadroTexto">
          <a:extLst>
            <a:ext uri="{FF2B5EF4-FFF2-40B4-BE49-F238E27FC236}">
              <a16:creationId xmlns:a16="http://schemas.microsoft.com/office/drawing/2014/main" id="{00000000-0008-0000-2000-00002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8" name="45 CuadroTexto">
          <a:extLst>
            <a:ext uri="{FF2B5EF4-FFF2-40B4-BE49-F238E27FC236}">
              <a16:creationId xmlns:a16="http://schemas.microsoft.com/office/drawing/2014/main" id="{00000000-0008-0000-2000-00003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9" name="46 CuadroTexto">
          <a:extLst>
            <a:ext uri="{FF2B5EF4-FFF2-40B4-BE49-F238E27FC236}">
              <a16:creationId xmlns:a16="http://schemas.microsoft.com/office/drawing/2014/main" id="{00000000-0008-0000-2000-00003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0" name="47 CuadroTexto">
          <a:extLst>
            <a:ext uri="{FF2B5EF4-FFF2-40B4-BE49-F238E27FC236}">
              <a16:creationId xmlns:a16="http://schemas.microsoft.com/office/drawing/2014/main" id="{00000000-0008-0000-2000-00003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1" name="48 CuadroTexto">
          <a:extLst>
            <a:ext uri="{FF2B5EF4-FFF2-40B4-BE49-F238E27FC236}">
              <a16:creationId xmlns:a16="http://schemas.microsoft.com/office/drawing/2014/main" id="{00000000-0008-0000-2000-00003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2" name="49 CuadroTexto">
          <a:extLst>
            <a:ext uri="{FF2B5EF4-FFF2-40B4-BE49-F238E27FC236}">
              <a16:creationId xmlns:a16="http://schemas.microsoft.com/office/drawing/2014/main" id="{00000000-0008-0000-2000-00003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3" name="50 CuadroTexto">
          <a:extLst>
            <a:ext uri="{FF2B5EF4-FFF2-40B4-BE49-F238E27FC236}">
              <a16:creationId xmlns:a16="http://schemas.microsoft.com/office/drawing/2014/main" id="{00000000-0008-0000-2000-00003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4" name="51 CuadroTexto">
          <a:extLst>
            <a:ext uri="{FF2B5EF4-FFF2-40B4-BE49-F238E27FC236}">
              <a16:creationId xmlns:a16="http://schemas.microsoft.com/office/drawing/2014/main" id="{00000000-0008-0000-2000-00003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5" name="52 CuadroTexto">
          <a:extLst>
            <a:ext uri="{FF2B5EF4-FFF2-40B4-BE49-F238E27FC236}">
              <a16:creationId xmlns:a16="http://schemas.microsoft.com/office/drawing/2014/main" id="{00000000-0008-0000-2000-00003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6" name="53 CuadroTexto">
          <a:extLst>
            <a:ext uri="{FF2B5EF4-FFF2-40B4-BE49-F238E27FC236}">
              <a16:creationId xmlns:a16="http://schemas.microsoft.com/office/drawing/2014/main" id="{00000000-0008-0000-2000-00003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7" name="54 CuadroTexto">
          <a:extLst>
            <a:ext uri="{FF2B5EF4-FFF2-40B4-BE49-F238E27FC236}">
              <a16:creationId xmlns:a16="http://schemas.microsoft.com/office/drawing/2014/main" id="{00000000-0008-0000-2000-00003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8" name="55 CuadroTexto">
          <a:extLst>
            <a:ext uri="{FF2B5EF4-FFF2-40B4-BE49-F238E27FC236}">
              <a16:creationId xmlns:a16="http://schemas.microsoft.com/office/drawing/2014/main" id="{00000000-0008-0000-2000-00003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9" name="56 CuadroTexto">
          <a:extLst>
            <a:ext uri="{FF2B5EF4-FFF2-40B4-BE49-F238E27FC236}">
              <a16:creationId xmlns:a16="http://schemas.microsoft.com/office/drawing/2014/main" id="{00000000-0008-0000-2000-00003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0" name="57 CuadroTexto">
          <a:extLst>
            <a:ext uri="{FF2B5EF4-FFF2-40B4-BE49-F238E27FC236}">
              <a16:creationId xmlns:a16="http://schemas.microsoft.com/office/drawing/2014/main" id="{00000000-0008-0000-2000-00003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1" name="58 CuadroTexto">
          <a:extLst>
            <a:ext uri="{FF2B5EF4-FFF2-40B4-BE49-F238E27FC236}">
              <a16:creationId xmlns:a16="http://schemas.microsoft.com/office/drawing/2014/main" id="{00000000-0008-0000-2000-00003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2" name="59 CuadroTexto">
          <a:extLst>
            <a:ext uri="{FF2B5EF4-FFF2-40B4-BE49-F238E27FC236}">
              <a16:creationId xmlns:a16="http://schemas.microsoft.com/office/drawing/2014/main" id="{00000000-0008-0000-2000-00003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3" name="60 CuadroTexto">
          <a:extLst>
            <a:ext uri="{FF2B5EF4-FFF2-40B4-BE49-F238E27FC236}">
              <a16:creationId xmlns:a16="http://schemas.microsoft.com/office/drawing/2014/main" id="{00000000-0008-0000-2000-00003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4" name="61 CuadroTexto">
          <a:extLst>
            <a:ext uri="{FF2B5EF4-FFF2-40B4-BE49-F238E27FC236}">
              <a16:creationId xmlns:a16="http://schemas.microsoft.com/office/drawing/2014/main" id="{00000000-0008-0000-2000-00004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5" name="62 CuadroTexto">
          <a:extLst>
            <a:ext uri="{FF2B5EF4-FFF2-40B4-BE49-F238E27FC236}">
              <a16:creationId xmlns:a16="http://schemas.microsoft.com/office/drawing/2014/main" id="{00000000-0008-0000-2000-00004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6" name="63 CuadroTexto">
          <a:extLst>
            <a:ext uri="{FF2B5EF4-FFF2-40B4-BE49-F238E27FC236}">
              <a16:creationId xmlns:a16="http://schemas.microsoft.com/office/drawing/2014/main" id="{00000000-0008-0000-2000-00004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7" name="64 CuadroTexto">
          <a:extLst>
            <a:ext uri="{FF2B5EF4-FFF2-40B4-BE49-F238E27FC236}">
              <a16:creationId xmlns:a16="http://schemas.microsoft.com/office/drawing/2014/main" id="{00000000-0008-0000-2000-00004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8" name="65 CuadroTexto">
          <a:extLst>
            <a:ext uri="{FF2B5EF4-FFF2-40B4-BE49-F238E27FC236}">
              <a16:creationId xmlns:a16="http://schemas.microsoft.com/office/drawing/2014/main" id="{00000000-0008-0000-2000-00004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9" name="66 CuadroTexto">
          <a:extLst>
            <a:ext uri="{FF2B5EF4-FFF2-40B4-BE49-F238E27FC236}">
              <a16:creationId xmlns:a16="http://schemas.microsoft.com/office/drawing/2014/main" id="{00000000-0008-0000-2000-00004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0" name="67 CuadroTexto">
          <a:extLst>
            <a:ext uri="{FF2B5EF4-FFF2-40B4-BE49-F238E27FC236}">
              <a16:creationId xmlns:a16="http://schemas.microsoft.com/office/drawing/2014/main" id="{00000000-0008-0000-2000-00004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1" name="68 CuadroTexto">
          <a:extLst>
            <a:ext uri="{FF2B5EF4-FFF2-40B4-BE49-F238E27FC236}">
              <a16:creationId xmlns:a16="http://schemas.microsoft.com/office/drawing/2014/main" id="{00000000-0008-0000-2000-00004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2" name="69 CuadroTexto">
          <a:extLst>
            <a:ext uri="{FF2B5EF4-FFF2-40B4-BE49-F238E27FC236}">
              <a16:creationId xmlns:a16="http://schemas.microsoft.com/office/drawing/2014/main" id="{00000000-0008-0000-2000-00004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3" name="70 CuadroTexto">
          <a:extLst>
            <a:ext uri="{FF2B5EF4-FFF2-40B4-BE49-F238E27FC236}">
              <a16:creationId xmlns:a16="http://schemas.microsoft.com/office/drawing/2014/main" id="{00000000-0008-0000-2000-00004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4" name="71 CuadroTexto">
          <a:extLst>
            <a:ext uri="{FF2B5EF4-FFF2-40B4-BE49-F238E27FC236}">
              <a16:creationId xmlns:a16="http://schemas.microsoft.com/office/drawing/2014/main" id="{00000000-0008-0000-2000-00004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5" name="72 CuadroTexto">
          <a:extLst>
            <a:ext uri="{FF2B5EF4-FFF2-40B4-BE49-F238E27FC236}">
              <a16:creationId xmlns:a16="http://schemas.microsoft.com/office/drawing/2014/main" id="{00000000-0008-0000-2000-00004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6" name="73 CuadroTexto">
          <a:extLst>
            <a:ext uri="{FF2B5EF4-FFF2-40B4-BE49-F238E27FC236}">
              <a16:creationId xmlns:a16="http://schemas.microsoft.com/office/drawing/2014/main" id="{00000000-0008-0000-2000-00004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7" name="74 CuadroTexto">
          <a:extLst>
            <a:ext uri="{FF2B5EF4-FFF2-40B4-BE49-F238E27FC236}">
              <a16:creationId xmlns:a16="http://schemas.microsoft.com/office/drawing/2014/main" id="{00000000-0008-0000-2000-00004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8" name="75 CuadroTexto">
          <a:extLst>
            <a:ext uri="{FF2B5EF4-FFF2-40B4-BE49-F238E27FC236}">
              <a16:creationId xmlns:a16="http://schemas.microsoft.com/office/drawing/2014/main" id="{00000000-0008-0000-2000-00004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9" name="76 CuadroTexto">
          <a:extLst>
            <a:ext uri="{FF2B5EF4-FFF2-40B4-BE49-F238E27FC236}">
              <a16:creationId xmlns:a16="http://schemas.microsoft.com/office/drawing/2014/main" id="{00000000-0008-0000-2000-00004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0" name="77 CuadroTexto">
          <a:extLst>
            <a:ext uri="{FF2B5EF4-FFF2-40B4-BE49-F238E27FC236}">
              <a16:creationId xmlns:a16="http://schemas.microsoft.com/office/drawing/2014/main" id="{00000000-0008-0000-2000-00005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1" name="78 CuadroTexto">
          <a:extLst>
            <a:ext uri="{FF2B5EF4-FFF2-40B4-BE49-F238E27FC236}">
              <a16:creationId xmlns:a16="http://schemas.microsoft.com/office/drawing/2014/main" id="{00000000-0008-0000-2000-00005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2" name="79 CuadroTexto">
          <a:extLst>
            <a:ext uri="{FF2B5EF4-FFF2-40B4-BE49-F238E27FC236}">
              <a16:creationId xmlns:a16="http://schemas.microsoft.com/office/drawing/2014/main" id="{00000000-0008-0000-2000-00005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3" name="80 CuadroTexto">
          <a:extLst>
            <a:ext uri="{FF2B5EF4-FFF2-40B4-BE49-F238E27FC236}">
              <a16:creationId xmlns:a16="http://schemas.microsoft.com/office/drawing/2014/main" id="{00000000-0008-0000-2000-00005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4" name="81 CuadroTexto">
          <a:extLst>
            <a:ext uri="{FF2B5EF4-FFF2-40B4-BE49-F238E27FC236}">
              <a16:creationId xmlns:a16="http://schemas.microsoft.com/office/drawing/2014/main" id="{00000000-0008-0000-2000-00005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5" name="82 CuadroTexto">
          <a:extLst>
            <a:ext uri="{FF2B5EF4-FFF2-40B4-BE49-F238E27FC236}">
              <a16:creationId xmlns:a16="http://schemas.microsoft.com/office/drawing/2014/main" id="{00000000-0008-0000-2000-00005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6" name="83 CuadroTexto">
          <a:extLst>
            <a:ext uri="{FF2B5EF4-FFF2-40B4-BE49-F238E27FC236}">
              <a16:creationId xmlns:a16="http://schemas.microsoft.com/office/drawing/2014/main" id="{00000000-0008-0000-2000-00005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7" name="84 CuadroTexto">
          <a:extLst>
            <a:ext uri="{FF2B5EF4-FFF2-40B4-BE49-F238E27FC236}">
              <a16:creationId xmlns:a16="http://schemas.microsoft.com/office/drawing/2014/main" id="{00000000-0008-0000-2000-00005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8" name="85 CuadroTexto">
          <a:extLst>
            <a:ext uri="{FF2B5EF4-FFF2-40B4-BE49-F238E27FC236}">
              <a16:creationId xmlns:a16="http://schemas.microsoft.com/office/drawing/2014/main" id="{00000000-0008-0000-2000-00005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9" name="86 CuadroTexto">
          <a:extLst>
            <a:ext uri="{FF2B5EF4-FFF2-40B4-BE49-F238E27FC236}">
              <a16:creationId xmlns:a16="http://schemas.microsoft.com/office/drawing/2014/main" id="{00000000-0008-0000-2000-00005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0" name="87 CuadroTexto">
          <a:extLst>
            <a:ext uri="{FF2B5EF4-FFF2-40B4-BE49-F238E27FC236}">
              <a16:creationId xmlns:a16="http://schemas.microsoft.com/office/drawing/2014/main" id="{00000000-0008-0000-2000-00005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1" name="88 CuadroTexto">
          <a:extLst>
            <a:ext uri="{FF2B5EF4-FFF2-40B4-BE49-F238E27FC236}">
              <a16:creationId xmlns:a16="http://schemas.microsoft.com/office/drawing/2014/main" id="{00000000-0008-0000-2000-00005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2" name="89 CuadroTexto">
          <a:extLst>
            <a:ext uri="{FF2B5EF4-FFF2-40B4-BE49-F238E27FC236}">
              <a16:creationId xmlns:a16="http://schemas.microsoft.com/office/drawing/2014/main" id="{00000000-0008-0000-2000-00005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3" name="102 CuadroTexto">
          <a:extLst>
            <a:ext uri="{FF2B5EF4-FFF2-40B4-BE49-F238E27FC236}">
              <a16:creationId xmlns:a16="http://schemas.microsoft.com/office/drawing/2014/main" id="{00000000-0008-0000-2000-00005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4" name="103 CuadroTexto">
          <a:extLst>
            <a:ext uri="{FF2B5EF4-FFF2-40B4-BE49-F238E27FC236}">
              <a16:creationId xmlns:a16="http://schemas.microsoft.com/office/drawing/2014/main" id="{00000000-0008-0000-2000-00005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5" name="104 CuadroTexto">
          <a:extLst>
            <a:ext uri="{FF2B5EF4-FFF2-40B4-BE49-F238E27FC236}">
              <a16:creationId xmlns:a16="http://schemas.microsoft.com/office/drawing/2014/main" id="{00000000-0008-0000-2000-00005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6" name="105 CuadroTexto">
          <a:extLst>
            <a:ext uri="{FF2B5EF4-FFF2-40B4-BE49-F238E27FC236}">
              <a16:creationId xmlns:a16="http://schemas.microsoft.com/office/drawing/2014/main" id="{00000000-0008-0000-2000-00006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7" name="106 CuadroTexto">
          <a:extLst>
            <a:ext uri="{FF2B5EF4-FFF2-40B4-BE49-F238E27FC236}">
              <a16:creationId xmlns:a16="http://schemas.microsoft.com/office/drawing/2014/main" id="{00000000-0008-0000-2000-00006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8" name="107 CuadroTexto">
          <a:extLst>
            <a:ext uri="{FF2B5EF4-FFF2-40B4-BE49-F238E27FC236}">
              <a16:creationId xmlns:a16="http://schemas.microsoft.com/office/drawing/2014/main" id="{00000000-0008-0000-2000-00006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9" name="108 CuadroTexto">
          <a:extLst>
            <a:ext uri="{FF2B5EF4-FFF2-40B4-BE49-F238E27FC236}">
              <a16:creationId xmlns:a16="http://schemas.microsoft.com/office/drawing/2014/main" id="{00000000-0008-0000-2000-00006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0" name="109 CuadroTexto">
          <a:extLst>
            <a:ext uri="{FF2B5EF4-FFF2-40B4-BE49-F238E27FC236}">
              <a16:creationId xmlns:a16="http://schemas.microsoft.com/office/drawing/2014/main" id="{00000000-0008-0000-2000-00006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1" name="110 CuadroTexto">
          <a:extLst>
            <a:ext uri="{FF2B5EF4-FFF2-40B4-BE49-F238E27FC236}">
              <a16:creationId xmlns:a16="http://schemas.microsoft.com/office/drawing/2014/main" id="{00000000-0008-0000-2000-00006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2" name="111 CuadroTexto">
          <a:extLst>
            <a:ext uri="{FF2B5EF4-FFF2-40B4-BE49-F238E27FC236}">
              <a16:creationId xmlns:a16="http://schemas.microsoft.com/office/drawing/2014/main" id="{00000000-0008-0000-2000-00006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3" name="112 CuadroTexto">
          <a:extLst>
            <a:ext uri="{FF2B5EF4-FFF2-40B4-BE49-F238E27FC236}">
              <a16:creationId xmlns:a16="http://schemas.microsoft.com/office/drawing/2014/main" id="{00000000-0008-0000-2000-00006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4" name="113 CuadroTexto">
          <a:extLst>
            <a:ext uri="{FF2B5EF4-FFF2-40B4-BE49-F238E27FC236}">
              <a16:creationId xmlns:a16="http://schemas.microsoft.com/office/drawing/2014/main" id="{00000000-0008-0000-2000-00006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5" name="114 CuadroTexto">
          <a:extLst>
            <a:ext uri="{FF2B5EF4-FFF2-40B4-BE49-F238E27FC236}">
              <a16:creationId xmlns:a16="http://schemas.microsoft.com/office/drawing/2014/main" id="{00000000-0008-0000-2000-00006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6" name="115 CuadroTexto">
          <a:extLst>
            <a:ext uri="{FF2B5EF4-FFF2-40B4-BE49-F238E27FC236}">
              <a16:creationId xmlns:a16="http://schemas.microsoft.com/office/drawing/2014/main" id="{00000000-0008-0000-2000-00006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7" name="116 CuadroTexto">
          <a:extLst>
            <a:ext uri="{FF2B5EF4-FFF2-40B4-BE49-F238E27FC236}">
              <a16:creationId xmlns:a16="http://schemas.microsoft.com/office/drawing/2014/main" id="{00000000-0008-0000-2000-00006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8" name="117 CuadroTexto">
          <a:extLst>
            <a:ext uri="{FF2B5EF4-FFF2-40B4-BE49-F238E27FC236}">
              <a16:creationId xmlns:a16="http://schemas.microsoft.com/office/drawing/2014/main" id="{00000000-0008-0000-2000-00006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9" name="126 CuadroTexto">
          <a:extLst>
            <a:ext uri="{FF2B5EF4-FFF2-40B4-BE49-F238E27FC236}">
              <a16:creationId xmlns:a16="http://schemas.microsoft.com/office/drawing/2014/main" id="{00000000-0008-0000-2000-00006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0" name="127 CuadroTexto">
          <a:extLst>
            <a:ext uri="{FF2B5EF4-FFF2-40B4-BE49-F238E27FC236}">
              <a16:creationId xmlns:a16="http://schemas.microsoft.com/office/drawing/2014/main" id="{00000000-0008-0000-2000-00006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1" name="128 CuadroTexto">
          <a:extLst>
            <a:ext uri="{FF2B5EF4-FFF2-40B4-BE49-F238E27FC236}">
              <a16:creationId xmlns:a16="http://schemas.microsoft.com/office/drawing/2014/main" id="{00000000-0008-0000-2000-00006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2" name="129 CuadroTexto">
          <a:extLst>
            <a:ext uri="{FF2B5EF4-FFF2-40B4-BE49-F238E27FC236}">
              <a16:creationId xmlns:a16="http://schemas.microsoft.com/office/drawing/2014/main" id="{00000000-0008-0000-2000-00007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3" name="130 CuadroTexto">
          <a:extLst>
            <a:ext uri="{FF2B5EF4-FFF2-40B4-BE49-F238E27FC236}">
              <a16:creationId xmlns:a16="http://schemas.microsoft.com/office/drawing/2014/main" id="{00000000-0008-0000-2000-00007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4" name="131 CuadroTexto">
          <a:extLst>
            <a:ext uri="{FF2B5EF4-FFF2-40B4-BE49-F238E27FC236}">
              <a16:creationId xmlns:a16="http://schemas.microsoft.com/office/drawing/2014/main" id="{00000000-0008-0000-2000-00007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5" name="132 CuadroTexto">
          <a:extLst>
            <a:ext uri="{FF2B5EF4-FFF2-40B4-BE49-F238E27FC236}">
              <a16:creationId xmlns:a16="http://schemas.microsoft.com/office/drawing/2014/main" id="{00000000-0008-0000-2000-00007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6" name="133 CuadroTexto">
          <a:extLst>
            <a:ext uri="{FF2B5EF4-FFF2-40B4-BE49-F238E27FC236}">
              <a16:creationId xmlns:a16="http://schemas.microsoft.com/office/drawing/2014/main" id="{00000000-0008-0000-2000-00007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7" name="134 CuadroTexto">
          <a:extLst>
            <a:ext uri="{FF2B5EF4-FFF2-40B4-BE49-F238E27FC236}">
              <a16:creationId xmlns:a16="http://schemas.microsoft.com/office/drawing/2014/main" id="{00000000-0008-0000-2000-00007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8" name="135 CuadroTexto">
          <a:extLst>
            <a:ext uri="{FF2B5EF4-FFF2-40B4-BE49-F238E27FC236}">
              <a16:creationId xmlns:a16="http://schemas.microsoft.com/office/drawing/2014/main" id="{00000000-0008-0000-2000-00007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9" name="136 CuadroTexto">
          <a:extLst>
            <a:ext uri="{FF2B5EF4-FFF2-40B4-BE49-F238E27FC236}">
              <a16:creationId xmlns:a16="http://schemas.microsoft.com/office/drawing/2014/main" id="{00000000-0008-0000-2000-00007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0" name="137 CuadroTexto">
          <a:extLst>
            <a:ext uri="{FF2B5EF4-FFF2-40B4-BE49-F238E27FC236}">
              <a16:creationId xmlns:a16="http://schemas.microsoft.com/office/drawing/2014/main" id="{00000000-0008-0000-2000-00007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1" name="138 CuadroTexto">
          <a:extLst>
            <a:ext uri="{FF2B5EF4-FFF2-40B4-BE49-F238E27FC236}">
              <a16:creationId xmlns:a16="http://schemas.microsoft.com/office/drawing/2014/main" id="{00000000-0008-0000-2000-00007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2" name="139 CuadroTexto">
          <a:extLst>
            <a:ext uri="{FF2B5EF4-FFF2-40B4-BE49-F238E27FC236}">
              <a16:creationId xmlns:a16="http://schemas.microsoft.com/office/drawing/2014/main" id="{00000000-0008-0000-2000-00007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3" name="140 CuadroTexto">
          <a:extLst>
            <a:ext uri="{FF2B5EF4-FFF2-40B4-BE49-F238E27FC236}">
              <a16:creationId xmlns:a16="http://schemas.microsoft.com/office/drawing/2014/main" id="{00000000-0008-0000-2000-00007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4" name="141 CuadroTexto">
          <a:extLst>
            <a:ext uri="{FF2B5EF4-FFF2-40B4-BE49-F238E27FC236}">
              <a16:creationId xmlns:a16="http://schemas.microsoft.com/office/drawing/2014/main" id="{00000000-0008-0000-2000-00007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5" name="142 CuadroTexto">
          <a:extLst>
            <a:ext uri="{FF2B5EF4-FFF2-40B4-BE49-F238E27FC236}">
              <a16:creationId xmlns:a16="http://schemas.microsoft.com/office/drawing/2014/main" id="{00000000-0008-0000-2000-00007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6" name="306 CuadroTexto">
          <a:extLst>
            <a:ext uri="{FF2B5EF4-FFF2-40B4-BE49-F238E27FC236}">
              <a16:creationId xmlns:a16="http://schemas.microsoft.com/office/drawing/2014/main" id="{00000000-0008-0000-2000-00007E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7" name="307 CuadroTexto">
          <a:extLst>
            <a:ext uri="{FF2B5EF4-FFF2-40B4-BE49-F238E27FC236}">
              <a16:creationId xmlns:a16="http://schemas.microsoft.com/office/drawing/2014/main" id="{00000000-0008-0000-2000-00007F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8" name="308 CuadroTexto">
          <a:extLst>
            <a:ext uri="{FF2B5EF4-FFF2-40B4-BE49-F238E27FC236}">
              <a16:creationId xmlns:a16="http://schemas.microsoft.com/office/drawing/2014/main" id="{00000000-0008-0000-2000-000080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9" name="309 CuadroTexto">
          <a:extLst>
            <a:ext uri="{FF2B5EF4-FFF2-40B4-BE49-F238E27FC236}">
              <a16:creationId xmlns:a16="http://schemas.microsoft.com/office/drawing/2014/main" id="{00000000-0008-0000-2000-000081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0" name="310 CuadroTexto">
          <a:extLst>
            <a:ext uri="{FF2B5EF4-FFF2-40B4-BE49-F238E27FC236}">
              <a16:creationId xmlns:a16="http://schemas.microsoft.com/office/drawing/2014/main" id="{00000000-0008-0000-2000-000082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1" name="311 CuadroTexto">
          <a:extLst>
            <a:ext uri="{FF2B5EF4-FFF2-40B4-BE49-F238E27FC236}">
              <a16:creationId xmlns:a16="http://schemas.microsoft.com/office/drawing/2014/main" id="{00000000-0008-0000-2000-000083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2" name="312 CuadroTexto">
          <a:extLst>
            <a:ext uri="{FF2B5EF4-FFF2-40B4-BE49-F238E27FC236}">
              <a16:creationId xmlns:a16="http://schemas.microsoft.com/office/drawing/2014/main" id="{00000000-0008-0000-2000-000084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3" name="313 CuadroTexto">
          <a:extLst>
            <a:ext uri="{FF2B5EF4-FFF2-40B4-BE49-F238E27FC236}">
              <a16:creationId xmlns:a16="http://schemas.microsoft.com/office/drawing/2014/main" id="{00000000-0008-0000-2000-000085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4" name="314 CuadroTexto">
          <a:extLst>
            <a:ext uri="{FF2B5EF4-FFF2-40B4-BE49-F238E27FC236}">
              <a16:creationId xmlns:a16="http://schemas.microsoft.com/office/drawing/2014/main" id="{00000000-0008-0000-2000-000086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5" name="315 CuadroTexto">
          <a:extLst>
            <a:ext uri="{FF2B5EF4-FFF2-40B4-BE49-F238E27FC236}">
              <a16:creationId xmlns:a16="http://schemas.microsoft.com/office/drawing/2014/main" id="{00000000-0008-0000-2000-000087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6" name="316 CuadroTexto">
          <a:extLst>
            <a:ext uri="{FF2B5EF4-FFF2-40B4-BE49-F238E27FC236}">
              <a16:creationId xmlns:a16="http://schemas.microsoft.com/office/drawing/2014/main" id="{00000000-0008-0000-2000-000088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7" name="317 CuadroTexto">
          <a:extLst>
            <a:ext uri="{FF2B5EF4-FFF2-40B4-BE49-F238E27FC236}">
              <a16:creationId xmlns:a16="http://schemas.microsoft.com/office/drawing/2014/main" id="{00000000-0008-0000-2000-000089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8" name="318 CuadroTexto">
          <a:extLst>
            <a:ext uri="{FF2B5EF4-FFF2-40B4-BE49-F238E27FC236}">
              <a16:creationId xmlns:a16="http://schemas.microsoft.com/office/drawing/2014/main" id="{00000000-0008-0000-2000-00008A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9" name="319 CuadroTexto">
          <a:extLst>
            <a:ext uri="{FF2B5EF4-FFF2-40B4-BE49-F238E27FC236}">
              <a16:creationId xmlns:a16="http://schemas.microsoft.com/office/drawing/2014/main" id="{00000000-0008-0000-2000-00008B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0" name="320 CuadroTexto">
          <a:extLst>
            <a:ext uri="{FF2B5EF4-FFF2-40B4-BE49-F238E27FC236}">
              <a16:creationId xmlns:a16="http://schemas.microsoft.com/office/drawing/2014/main" id="{00000000-0008-0000-2000-00008C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1" name="321 CuadroTexto">
          <a:extLst>
            <a:ext uri="{FF2B5EF4-FFF2-40B4-BE49-F238E27FC236}">
              <a16:creationId xmlns:a16="http://schemas.microsoft.com/office/drawing/2014/main" id="{00000000-0008-0000-2000-00008D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2" name="322 CuadroTexto">
          <a:extLst>
            <a:ext uri="{FF2B5EF4-FFF2-40B4-BE49-F238E27FC236}">
              <a16:creationId xmlns:a16="http://schemas.microsoft.com/office/drawing/2014/main" id="{00000000-0008-0000-2000-00008E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3" name="323 CuadroTexto">
          <a:extLst>
            <a:ext uri="{FF2B5EF4-FFF2-40B4-BE49-F238E27FC236}">
              <a16:creationId xmlns:a16="http://schemas.microsoft.com/office/drawing/2014/main" id="{00000000-0008-0000-2000-00008F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4" name="324 CuadroTexto">
          <a:extLst>
            <a:ext uri="{FF2B5EF4-FFF2-40B4-BE49-F238E27FC236}">
              <a16:creationId xmlns:a16="http://schemas.microsoft.com/office/drawing/2014/main" id="{00000000-0008-0000-2000-000090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5" name="325 CuadroTexto">
          <a:extLst>
            <a:ext uri="{FF2B5EF4-FFF2-40B4-BE49-F238E27FC236}">
              <a16:creationId xmlns:a16="http://schemas.microsoft.com/office/drawing/2014/main" id="{00000000-0008-0000-2000-000091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6" name="326 CuadroTexto">
          <a:extLst>
            <a:ext uri="{FF2B5EF4-FFF2-40B4-BE49-F238E27FC236}">
              <a16:creationId xmlns:a16="http://schemas.microsoft.com/office/drawing/2014/main" id="{00000000-0008-0000-2000-000092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7" name="327 CuadroTexto">
          <a:extLst>
            <a:ext uri="{FF2B5EF4-FFF2-40B4-BE49-F238E27FC236}">
              <a16:creationId xmlns:a16="http://schemas.microsoft.com/office/drawing/2014/main" id="{00000000-0008-0000-2000-000093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8" name="328 CuadroTexto">
          <a:extLst>
            <a:ext uri="{FF2B5EF4-FFF2-40B4-BE49-F238E27FC236}">
              <a16:creationId xmlns:a16="http://schemas.microsoft.com/office/drawing/2014/main" id="{00000000-0008-0000-2000-000094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9" name="329 CuadroTexto">
          <a:extLst>
            <a:ext uri="{FF2B5EF4-FFF2-40B4-BE49-F238E27FC236}">
              <a16:creationId xmlns:a16="http://schemas.microsoft.com/office/drawing/2014/main" id="{00000000-0008-0000-2000-000095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0" name="330 CuadroTexto">
          <a:extLst>
            <a:ext uri="{FF2B5EF4-FFF2-40B4-BE49-F238E27FC236}">
              <a16:creationId xmlns:a16="http://schemas.microsoft.com/office/drawing/2014/main" id="{00000000-0008-0000-2000-000096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1" name="331 CuadroTexto">
          <a:extLst>
            <a:ext uri="{FF2B5EF4-FFF2-40B4-BE49-F238E27FC236}">
              <a16:creationId xmlns:a16="http://schemas.microsoft.com/office/drawing/2014/main" id="{00000000-0008-0000-2000-000097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2" name="332 CuadroTexto">
          <a:extLst>
            <a:ext uri="{FF2B5EF4-FFF2-40B4-BE49-F238E27FC236}">
              <a16:creationId xmlns:a16="http://schemas.microsoft.com/office/drawing/2014/main" id="{00000000-0008-0000-2000-000098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3" name="333 CuadroTexto">
          <a:extLst>
            <a:ext uri="{FF2B5EF4-FFF2-40B4-BE49-F238E27FC236}">
              <a16:creationId xmlns:a16="http://schemas.microsoft.com/office/drawing/2014/main" id="{00000000-0008-0000-2000-000099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4" name="334 CuadroTexto">
          <a:extLst>
            <a:ext uri="{FF2B5EF4-FFF2-40B4-BE49-F238E27FC236}">
              <a16:creationId xmlns:a16="http://schemas.microsoft.com/office/drawing/2014/main" id="{00000000-0008-0000-2000-00009A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5" name="335 CuadroTexto">
          <a:extLst>
            <a:ext uri="{FF2B5EF4-FFF2-40B4-BE49-F238E27FC236}">
              <a16:creationId xmlns:a16="http://schemas.microsoft.com/office/drawing/2014/main" id="{00000000-0008-0000-2000-00009B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6" name="336 CuadroTexto">
          <a:extLst>
            <a:ext uri="{FF2B5EF4-FFF2-40B4-BE49-F238E27FC236}">
              <a16:creationId xmlns:a16="http://schemas.microsoft.com/office/drawing/2014/main" id="{00000000-0008-0000-2000-00009C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7" name="337 CuadroTexto">
          <a:extLst>
            <a:ext uri="{FF2B5EF4-FFF2-40B4-BE49-F238E27FC236}">
              <a16:creationId xmlns:a16="http://schemas.microsoft.com/office/drawing/2014/main" id="{00000000-0008-0000-2000-00009D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8" name="338 CuadroTexto">
          <a:extLst>
            <a:ext uri="{FF2B5EF4-FFF2-40B4-BE49-F238E27FC236}">
              <a16:creationId xmlns:a16="http://schemas.microsoft.com/office/drawing/2014/main" id="{00000000-0008-0000-2000-00009E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9" name="339 CuadroTexto">
          <a:extLst>
            <a:ext uri="{FF2B5EF4-FFF2-40B4-BE49-F238E27FC236}">
              <a16:creationId xmlns:a16="http://schemas.microsoft.com/office/drawing/2014/main" id="{00000000-0008-0000-2000-00009F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0" name="340 CuadroTexto">
          <a:extLst>
            <a:ext uri="{FF2B5EF4-FFF2-40B4-BE49-F238E27FC236}">
              <a16:creationId xmlns:a16="http://schemas.microsoft.com/office/drawing/2014/main" id="{00000000-0008-0000-2000-0000A0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1" name="341 CuadroTexto">
          <a:extLst>
            <a:ext uri="{FF2B5EF4-FFF2-40B4-BE49-F238E27FC236}">
              <a16:creationId xmlns:a16="http://schemas.microsoft.com/office/drawing/2014/main" id="{00000000-0008-0000-2000-0000A1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2" name="342 CuadroTexto">
          <a:extLst>
            <a:ext uri="{FF2B5EF4-FFF2-40B4-BE49-F238E27FC236}">
              <a16:creationId xmlns:a16="http://schemas.microsoft.com/office/drawing/2014/main" id="{00000000-0008-0000-2000-0000A2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3" name="343 CuadroTexto">
          <a:extLst>
            <a:ext uri="{FF2B5EF4-FFF2-40B4-BE49-F238E27FC236}">
              <a16:creationId xmlns:a16="http://schemas.microsoft.com/office/drawing/2014/main" id="{00000000-0008-0000-2000-0000A3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4" name="344 CuadroTexto">
          <a:extLst>
            <a:ext uri="{FF2B5EF4-FFF2-40B4-BE49-F238E27FC236}">
              <a16:creationId xmlns:a16="http://schemas.microsoft.com/office/drawing/2014/main" id="{00000000-0008-0000-2000-0000A4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5" name="345 CuadroTexto">
          <a:extLst>
            <a:ext uri="{FF2B5EF4-FFF2-40B4-BE49-F238E27FC236}">
              <a16:creationId xmlns:a16="http://schemas.microsoft.com/office/drawing/2014/main" id="{00000000-0008-0000-2000-0000A5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6" name="346 CuadroTexto">
          <a:extLst>
            <a:ext uri="{FF2B5EF4-FFF2-40B4-BE49-F238E27FC236}">
              <a16:creationId xmlns:a16="http://schemas.microsoft.com/office/drawing/2014/main" id="{00000000-0008-0000-2000-0000A6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7" name="347 CuadroTexto">
          <a:extLst>
            <a:ext uri="{FF2B5EF4-FFF2-40B4-BE49-F238E27FC236}">
              <a16:creationId xmlns:a16="http://schemas.microsoft.com/office/drawing/2014/main" id="{00000000-0008-0000-2000-0000A7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8" name="348 CuadroTexto">
          <a:extLst>
            <a:ext uri="{FF2B5EF4-FFF2-40B4-BE49-F238E27FC236}">
              <a16:creationId xmlns:a16="http://schemas.microsoft.com/office/drawing/2014/main" id="{00000000-0008-0000-2000-0000A8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9" name="349 CuadroTexto">
          <a:extLst>
            <a:ext uri="{FF2B5EF4-FFF2-40B4-BE49-F238E27FC236}">
              <a16:creationId xmlns:a16="http://schemas.microsoft.com/office/drawing/2014/main" id="{00000000-0008-0000-2000-0000A9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0" name="350 CuadroTexto">
          <a:extLst>
            <a:ext uri="{FF2B5EF4-FFF2-40B4-BE49-F238E27FC236}">
              <a16:creationId xmlns:a16="http://schemas.microsoft.com/office/drawing/2014/main" id="{00000000-0008-0000-2000-0000AA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1" name="351 CuadroTexto">
          <a:extLst>
            <a:ext uri="{FF2B5EF4-FFF2-40B4-BE49-F238E27FC236}">
              <a16:creationId xmlns:a16="http://schemas.microsoft.com/office/drawing/2014/main" id="{00000000-0008-0000-2000-0000AB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2" name="352 CuadroTexto">
          <a:extLst>
            <a:ext uri="{FF2B5EF4-FFF2-40B4-BE49-F238E27FC236}">
              <a16:creationId xmlns:a16="http://schemas.microsoft.com/office/drawing/2014/main" id="{00000000-0008-0000-2000-0000AC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3" name="353 CuadroTexto">
          <a:extLst>
            <a:ext uri="{FF2B5EF4-FFF2-40B4-BE49-F238E27FC236}">
              <a16:creationId xmlns:a16="http://schemas.microsoft.com/office/drawing/2014/main" id="{00000000-0008-0000-2000-0000AD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4" name="354 CuadroTexto">
          <a:extLst>
            <a:ext uri="{FF2B5EF4-FFF2-40B4-BE49-F238E27FC236}">
              <a16:creationId xmlns:a16="http://schemas.microsoft.com/office/drawing/2014/main" id="{00000000-0008-0000-2000-0000AE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5" name="355 CuadroTexto">
          <a:extLst>
            <a:ext uri="{FF2B5EF4-FFF2-40B4-BE49-F238E27FC236}">
              <a16:creationId xmlns:a16="http://schemas.microsoft.com/office/drawing/2014/main" id="{00000000-0008-0000-2000-0000AF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6" name="356 CuadroTexto">
          <a:extLst>
            <a:ext uri="{FF2B5EF4-FFF2-40B4-BE49-F238E27FC236}">
              <a16:creationId xmlns:a16="http://schemas.microsoft.com/office/drawing/2014/main" id="{00000000-0008-0000-2000-0000B0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7" name="357 CuadroTexto">
          <a:extLst>
            <a:ext uri="{FF2B5EF4-FFF2-40B4-BE49-F238E27FC236}">
              <a16:creationId xmlns:a16="http://schemas.microsoft.com/office/drawing/2014/main" id="{00000000-0008-0000-2000-0000B1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8" name="358 CuadroTexto">
          <a:extLst>
            <a:ext uri="{FF2B5EF4-FFF2-40B4-BE49-F238E27FC236}">
              <a16:creationId xmlns:a16="http://schemas.microsoft.com/office/drawing/2014/main" id="{00000000-0008-0000-2000-0000B2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9" name="359 CuadroTexto">
          <a:extLst>
            <a:ext uri="{FF2B5EF4-FFF2-40B4-BE49-F238E27FC236}">
              <a16:creationId xmlns:a16="http://schemas.microsoft.com/office/drawing/2014/main" id="{00000000-0008-0000-2000-0000B3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0" name="360 CuadroTexto">
          <a:extLst>
            <a:ext uri="{FF2B5EF4-FFF2-40B4-BE49-F238E27FC236}">
              <a16:creationId xmlns:a16="http://schemas.microsoft.com/office/drawing/2014/main" id="{00000000-0008-0000-2000-0000B4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1" name="361 CuadroTexto">
          <a:extLst>
            <a:ext uri="{FF2B5EF4-FFF2-40B4-BE49-F238E27FC236}">
              <a16:creationId xmlns:a16="http://schemas.microsoft.com/office/drawing/2014/main" id="{00000000-0008-0000-2000-0000B5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2" name="362 CuadroTexto">
          <a:extLst>
            <a:ext uri="{FF2B5EF4-FFF2-40B4-BE49-F238E27FC236}">
              <a16:creationId xmlns:a16="http://schemas.microsoft.com/office/drawing/2014/main" id="{00000000-0008-0000-2000-0000B6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3" name="363 CuadroTexto">
          <a:extLst>
            <a:ext uri="{FF2B5EF4-FFF2-40B4-BE49-F238E27FC236}">
              <a16:creationId xmlns:a16="http://schemas.microsoft.com/office/drawing/2014/main" id="{00000000-0008-0000-2000-0000B7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4" name="364 CuadroTexto">
          <a:extLst>
            <a:ext uri="{FF2B5EF4-FFF2-40B4-BE49-F238E27FC236}">
              <a16:creationId xmlns:a16="http://schemas.microsoft.com/office/drawing/2014/main" id="{00000000-0008-0000-2000-0000B8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5" name="365 CuadroTexto">
          <a:extLst>
            <a:ext uri="{FF2B5EF4-FFF2-40B4-BE49-F238E27FC236}">
              <a16:creationId xmlns:a16="http://schemas.microsoft.com/office/drawing/2014/main" id="{00000000-0008-0000-2000-0000B9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6" name="366 CuadroTexto">
          <a:extLst>
            <a:ext uri="{FF2B5EF4-FFF2-40B4-BE49-F238E27FC236}">
              <a16:creationId xmlns:a16="http://schemas.microsoft.com/office/drawing/2014/main" id="{00000000-0008-0000-2000-0000BA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7" name="367 CuadroTexto">
          <a:extLst>
            <a:ext uri="{FF2B5EF4-FFF2-40B4-BE49-F238E27FC236}">
              <a16:creationId xmlns:a16="http://schemas.microsoft.com/office/drawing/2014/main" id="{00000000-0008-0000-2000-0000BB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8" name="368 CuadroTexto">
          <a:extLst>
            <a:ext uri="{FF2B5EF4-FFF2-40B4-BE49-F238E27FC236}">
              <a16:creationId xmlns:a16="http://schemas.microsoft.com/office/drawing/2014/main" id="{00000000-0008-0000-2000-0000BC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9" name="369 CuadroTexto">
          <a:extLst>
            <a:ext uri="{FF2B5EF4-FFF2-40B4-BE49-F238E27FC236}">
              <a16:creationId xmlns:a16="http://schemas.microsoft.com/office/drawing/2014/main" id="{00000000-0008-0000-2000-0000BD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0" name="370 CuadroTexto">
          <a:extLst>
            <a:ext uri="{FF2B5EF4-FFF2-40B4-BE49-F238E27FC236}">
              <a16:creationId xmlns:a16="http://schemas.microsoft.com/office/drawing/2014/main" id="{00000000-0008-0000-2000-0000BE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1" name="371 CuadroTexto">
          <a:extLst>
            <a:ext uri="{FF2B5EF4-FFF2-40B4-BE49-F238E27FC236}">
              <a16:creationId xmlns:a16="http://schemas.microsoft.com/office/drawing/2014/main" id="{00000000-0008-0000-2000-0000BF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2" name="372 CuadroTexto">
          <a:extLst>
            <a:ext uri="{FF2B5EF4-FFF2-40B4-BE49-F238E27FC236}">
              <a16:creationId xmlns:a16="http://schemas.microsoft.com/office/drawing/2014/main" id="{00000000-0008-0000-2000-0000C0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3" name="373 CuadroTexto">
          <a:extLst>
            <a:ext uri="{FF2B5EF4-FFF2-40B4-BE49-F238E27FC236}">
              <a16:creationId xmlns:a16="http://schemas.microsoft.com/office/drawing/2014/main" id="{00000000-0008-0000-2000-0000C1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4" name="374 CuadroTexto">
          <a:extLst>
            <a:ext uri="{FF2B5EF4-FFF2-40B4-BE49-F238E27FC236}">
              <a16:creationId xmlns:a16="http://schemas.microsoft.com/office/drawing/2014/main" id="{00000000-0008-0000-2000-0000C2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5" name="375 CuadroTexto">
          <a:extLst>
            <a:ext uri="{FF2B5EF4-FFF2-40B4-BE49-F238E27FC236}">
              <a16:creationId xmlns:a16="http://schemas.microsoft.com/office/drawing/2014/main" id="{00000000-0008-0000-2000-0000C3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6" name="376 CuadroTexto">
          <a:extLst>
            <a:ext uri="{FF2B5EF4-FFF2-40B4-BE49-F238E27FC236}">
              <a16:creationId xmlns:a16="http://schemas.microsoft.com/office/drawing/2014/main" id="{00000000-0008-0000-2000-0000C4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7" name="377 CuadroTexto">
          <a:extLst>
            <a:ext uri="{FF2B5EF4-FFF2-40B4-BE49-F238E27FC236}">
              <a16:creationId xmlns:a16="http://schemas.microsoft.com/office/drawing/2014/main" id="{00000000-0008-0000-2000-0000C5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8" name="378 CuadroTexto">
          <a:extLst>
            <a:ext uri="{FF2B5EF4-FFF2-40B4-BE49-F238E27FC236}">
              <a16:creationId xmlns:a16="http://schemas.microsoft.com/office/drawing/2014/main" id="{00000000-0008-0000-2000-0000C6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9" name="379 CuadroTexto">
          <a:extLst>
            <a:ext uri="{FF2B5EF4-FFF2-40B4-BE49-F238E27FC236}">
              <a16:creationId xmlns:a16="http://schemas.microsoft.com/office/drawing/2014/main" id="{00000000-0008-0000-2000-0000C7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0" name="380 CuadroTexto">
          <a:extLst>
            <a:ext uri="{FF2B5EF4-FFF2-40B4-BE49-F238E27FC236}">
              <a16:creationId xmlns:a16="http://schemas.microsoft.com/office/drawing/2014/main" id="{00000000-0008-0000-2000-0000C8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1" name="381 CuadroTexto">
          <a:extLst>
            <a:ext uri="{FF2B5EF4-FFF2-40B4-BE49-F238E27FC236}">
              <a16:creationId xmlns:a16="http://schemas.microsoft.com/office/drawing/2014/main" id="{00000000-0008-0000-2000-0000C9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2" name="382 CuadroTexto">
          <a:extLst>
            <a:ext uri="{FF2B5EF4-FFF2-40B4-BE49-F238E27FC236}">
              <a16:creationId xmlns:a16="http://schemas.microsoft.com/office/drawing/2014/main" id="{00000000-0008-0000-2000-0000CA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3" name="383 CuadroTexto">
          <a:extLst>
            <a:ext uri="{FF2B5EF4-FFF2-40B4-BE49-F238E27FC236}">
              <a16:creationId xmlns:a16="http://schemas.microsoft.com/office/drawing/2014/main" id="{00000000-0008-0000-2000-0000CB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4" name="384 CuadroTexto">
          <a:extLst>
            <a:ext uri="{FF2B5EF4-FFF2-40B4-BE49-F238E27FC236}">
              <a16:creationId xmlns:a16="http://schemas.microsoft.com/office/drawing/2014/main" id="{00000000-0008-0000-2000-0000CC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5" name="385 CuadroTexto">
          <a:extLst>
            <a:ext uri="{FF2B5EF4-FFF2-40B4-BE49-F238E27FC236}">
              <a16:creationId xmlns:a16="http://schemas.microsoft.com/office/drawing/2014/main" id="{00000000-0008-0000-2000-0000CD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6" name="386 CuadroTexto">
          <a:extLst>
            <a:ext uri="{FF2B5EF4-FFF2-40B4-BE49-F238E27FC236}">
              <a16:creationId xmlns:a16="http://schemas.microsoft.com/office/drawing/2014/main" id="{00000000-0008-0000-2000-0000CE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7" name="387 CuadroTexto">
          <a:extLst>
            <a:ext uri="{FF2B5EF4-FFF2-40B4-BE49-F238E27FC236}">
              <a16:creationId xmlns:a16="http://schemas.microsoft.com/office/drawing/2014/main" id="{00000000-0008-0000-2000-0000CF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8" name="388 CuadroTexto">
          <a:extLst>
            <a:ext uri="{FF2B5EF4-FFF2-40B4-BE49-F238E27FC236}">
              <a16:creationId xmlns:a16="http://schemas.microsoft.com/office/drawing/2014/main" id="{00000000-0008-0000-2000-0000D0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9" name="389 CuadroTexto">
          <a:extLst>
            <a:ext uri="{FF2B5EF4-FFF2-40B4-BE49-F238E27FC236}">
              <a16:creationId xmlns:a16="http://schemas.microsoft.com/office/drawing/2014/main" id="{00000000-0008-0000-2000-0000D1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0" name="390 CuadroTexto">
          <a:extLst>
            <a:ext uri="{FF2B5EF4-FFF2-40B4-BE49-F238E27FC236}">
              <a16:creationId xmlns:a16="http://schemas.microsoft.com/office/drawing/2014/main" id="{00000000-0008-0000-2000-0000D2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1" name="391 CuadroTexto">
          <a:extLst>
            <a:ext uri="{FF2B5EF4-FFF2-40B4-BE49-F238E27FC236}">
              <a16:creationId xmlns:a16="http://schemas.microsoft.com/office/drawing/2014/main" id="{00000000-0008-0000-2000-0000D3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2" name="392 CuadroTexto">
          <a:extLst>
            <a:ext uri="{FF2B5EF4-FFF2-40B4-BE49-F238E27FC236}">
              <a16:creationId xmlns:a16="http://schemas.microsoft.com/office/drawing/2014/main" id="{00000000-0008-0000-2000-0000D4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3" name="393 CuadroTexto">
          <a:extLst>
            <a:ext uri="{FF2B5EF4-FFF2-40B4-BE49-F238E27FC236}">
              <a16:creationId xmlns:a16="http://schemas.microsoft.com/office/drawing/2014/main" id="{00000000-0008-0000-2000-0000D5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4" name="394 CuadroTexto">
          <a:extLst>
            <a:ext uri="{FF2B5EF4-FFF2-40B4-BE49-F238E27FC236}">
              <a16:creationId xmlns:a16="http://schemas.microsoft.com/office/drawing/2014/main" id="{00000000-0008-0000-2000-0000D6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5" name="395 CuadroTexto">
          <a:extLst>
            <a:ext uri="{FF2B5EF4-FFF2-40B4-BE49-F238E27FC236}">
              <a16:creationId xmlns:a16="http://schemas.microsoft.com/office/drawing/2014/main" id="{00000000-0008-0000-2000-0000D7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6" name="396 CuadroTexto">
          <a:extLst>
            <a:ext uri="{FF2B5EF4-FFF2-40B4-BE49-F238E27FC236}">
              <a16:creationId xmlns:a16="http://schemas.microsoft.com/office/drawing/2014/main" id="{00000000-0008-0000-2000-0000D8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7" name="397 CuadroTexto">
          <a:extLst>
            <a:ext uri="{FF2B5EF4-FFF2-40B4-BE49-F238E27FC236}">
              <a16:creationId xmlns:a16="http://schemas.microsoft.com/office/drawing/2014/main" id="{00000000-0008-0000-2000-0000D9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8" name="398 CuadroTexto">
          <a:extLst>
            <a:ext uri="{FF2B5EF4-FFF2-40B4-BE49-F238E27FC236}">
              <a16:creationId xmlns:a16="http://schemas.microsoft.com/office/drawing/2014/main" id="{00000000-0008-0000-2000-0000DA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9" name="399 CuadroTexto">
          <a:extLst>
            <a:ext uri="{FF2B5EF4-FFF2-40B4-BE49-F238E27FC236}">
              <a16:creationId xmlns:a16="http://schemas.microsoft.com/office/drawing/2014/main" id="{00000000-0008-0000-2000-0000DB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0" name="400 CuadroTexto">
          <a:extLst>
            <a:ext uri="{FF2B5EF4-FFF2-40B4-BE49-F238E27FC236}">
              <a16:creationId xmlns:a16="http://schemas.microsoft.com/office/drawing/2014/main" id="{00000000-0008-0000-2000-0000DC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1" name="401 CuadroTexto">
          <a:extLst>
            <a:ext uri="{FF2B5EF4-FFF2-40B4-BE49-F238E27FC236}">
              <a16:creationId xmlns:a16="http://schemas.microsoft.com/office/drawing/2014/main" id="{00000000-0008-0000-2000-0000DD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2" name="402 CuadroTexto">
          <a:extLst>
            <a:ext uri="{FF2B5EF4-FFF2-40B4-BE49-F238E27FC236}">
              <a16:creationId xmlns:a16="http://schemas.microsoft.com/office/drawing/2014/main" id="{00000000-0008-0000-2000-0000DE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3" name="403 CuadroTexto">
          <a:extLst>
            <a:ext uri="{FF2B5EF4-FFF2-40B4-BE49-F238E27FC236}">
              <a16:creationId xmlns:a16="http://schemas.microsoft.com/office/drawing/2014/main" id="{00000000-0008-0000-2000-0000DF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4" name="404 CuadroTexto">
          <a:extLst>
            <a:ext uri="{FF2B5EF4-FFF2-40B4-BE49-F238E27FC236}">
              <a16:creationId xmlns:a16="http://schemas.microsoft.com/office/drawing/2014/main" id="{00000000-0008-0000-2000-0000E0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5" name="405 CuadroTexto">
          <a:extLst>
            <a:ext uri="{FF2B5EF4-FFF2-40B4-BE49-F238E27FC236}">
              <a16:creationId xmlns:a16="http://schemas.microsoft.com/office/drawing/2014/main" id="{00000000-0008-0000-2000-0000E1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6" name="406 CuadroTexto">
          <a:extLst>
            <a:ext uri="{FF2B5EF4-FFF2-40B4-BE49-F238E27FC236}">
              <a16:creationId xmlns:a16="http://schemas.microsoft.com/office/drawing/2014/main" id="{00000000-0008-0000-2000-0000E2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7" name="407 CuadroTexto">
          <a:extLst>
            <a:ext uri="{FF2B5EF4-FFF2-40B4-BE49-F238E27FC236}">
              <a16:creationId xmlns:a16="http://schemas.microsoft.com/office/drawing/2014/main" id="{00000000-0008-0000-2000-0000E3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8" name="408 CuadroTexto">
          <a:extLst>
            <a:ext uri="{FF2B5EF4-FFF2-40B4-BE49-F238E27FC236}">
              <a16:creationId xmlns:a16="http://schemas.microsoft.com/office/drawing/2014/main" id="{00000000-0008-0000-2000-0000E4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9" name="409 CuadroTexto">
          <a:extLst>
            <a:ext uri="{FF2B5EF4-FFF2-40B4-BE49-F238E27FC236}">
              <a16:creationId xmlns:a16="http://schemas.microsoft.com/office/drawing/2014/main" id="{00000000-0008-0000-2000-0000E5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0" name="410 CuadroTexto">
          <a:extLst>
            <a:ext uri="{FF2B5EF4-FFF2-40B4-BE49-F238E27FC236}">
              <a16:creationId xmlns:a16="http://schemas.microsoft.com/office/drawing/2014/main" id="{00000000-0008-0000-2000-0000E6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1" name="411 CuadroTexto">
          <a:extLst>
            <a:ext uri="{FF2B5EF4-FFF2-40B4-BE49-F238E27FC236}">
              <a16:creationId xmlns:a16="http://schemas.microsoft.com/office/drawing/2014/main" id="{00000000-0008-0000-2000-0000E7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2" name="412 CuadroTexto">
          <a:extLst>
            <a:ext uri="{FF2B5EF4-FFF2-40B4-BE49-F238E27FC236}">
              <a16:creationId xmlns:a16="http://schemas.microsoft.com/office/drawing/2014/main" id="{00000000-0008-0000-2000-0000E8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3" name="413 CuadroTexto">
          <a:extLst>
            <a:ext uri="{FF2B5EF4-FFF2-40B4-BE49-F238E27FC236}">
              <a16:creationId xmlns:a16="http://schemas.microsoft.com/office/drawing/2014/main" id="{00000000-0008-0000-2000-0000E9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4" name="414 CuadroTexto">
          <a:extLst>
            <a:ext uri="{FF2B5EF4-FFF2-40B4-BE49-F238E27FC236}">
              <a16:creationId xmlns:a16="http://schemas.microsoft.com/office/drawing/2014/main" id="{00000000-0008-0000-2000-0000EA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5" name="415 CuadroTexto">
          <a:extLst>
            <a:ext uri="{FF2B5EF4-FFF2-40B4-BE49-F238E27FC236}">
              <a16:creationId xmlns:a16="http://schemas.microsoft.com/office/drawing/2014/main" id="{00000000-0008-0000-2000-0000EB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6" name="416 CuadroTexto">
          <a:extLst>
            <a:ext uri="{FF2B5EF4-FFF2-40B4-BE49-F238E27FC236}">
              <a16:creationId xmlns:a16="http://schemas.microsoft.com/office/drawing/2014/main" id="{00000000-0008-0000-2000-0000EC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7" name="417 CuadroTexto">
          <a:extLst>
            <a:ext uri="{FF2B5EF4-FFF2-40B4-BE49-F238E27FC236}">
              <a16:creationId xmlns:a16="http://schemas.microsoft.com/office/drawing/2014/main" id="{00000000-0008-0000-2000-0000ED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8" name="418 CuadroTexto">
          <a:extLst>
            <a:ext uri="{FF2B5EF4-FFF2-40B4-BE49-F238E27FC236}">
              <a16:creationId xmlns:a16="http://schemas.microsoft.com/office/drawing/2014/main" id="{00000000-0008-0000-2000-0000EE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9" name="419 CuadroTexto">
          <a:extLst>
            <a:ext uri="{FF2B5EF4-FFF2-40B4-BE49-F238E27FC236}">
              <a16:creationId xmlns:a16="http://schemas.microsoft.com/office/drawing/2014/main" id="{00000000-0008-0000-2000-0000EF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0" name="420 CuadroTexto">
          <a:extLst>
            <a:ext uri="{FF2B5EF4-FFF2-40B4-BE49-F238E27FC236}">
              <a16:creationId xmlns:a16="http://schemas.microsoft.com/office/drawing/2014/main" id="{00000000-0008-0000-2000-0000F0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1" name="421 CuadroTexto">
          <a:extLst>
            <a:ext uri="{FF2B5EF4-FFF2-40B4-BE49-F238E27FC236}">
              <a16:creationId xmlns:a16="http://schemas.microsoft.com/office/drawing/2014/main" id="{00000000-0008-0000-2000-0000F1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2" name="422 CuadroTexto">
          <a:extLst>
            <a:ext uri="{FF2B5EF4-FFF2-40B4-BE49-F238E27FC236}">
              <a16:creationId xmlns:a16="http://schemas.microsoft.com/office/drawing/2014/main" id="{00000000-0008-0000-2000-0000F20A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2803" name="423 CuadroTexto">
          <a:extLst>
            <a:ext uri="{FF2B5EF4-FFF2-40B4-BE49-F238E27FC236}">
              <a16:creationId xmlns:a16="http://schemas.microsoft.com/office/drawing/2014/main" id="{00000000-0008-0000-2000-0000F3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4" name="424 CuadroTexto">
          <a:extLst>
            <a:ext uri="{FF2B5EF4-FFF2-40B4-BE49-F238E27FC236}">
              <a16:creationId xmlns:a16="http://schemas.microsoft.com/office/drawing/2014/main" id="{00000000-0008-0000-2000-0000F4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5" name="425 CuadroTexto">
          <a:extLst>
            <a:ext uri="{FF2B5EF4-FFF2-40B4-BE49-F238E27FC236}">
              <a16:creationId xmlns:a16="http://schemas.microsoft.com/office/drawing/2014/main" id="{00000000-0008-0000-2000-0000F5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6" name="426 CuadroTexto">
          <a:extLst>
            <a:ext uri="{FF2B5EF4-FFF2-40B4-BE49-F238E27FC236}">
              <a16:creationId xmlns:a16="http://schemas.microsoft.com/office/drawing/2014/main" id="{00000000-0008-0000-2000-0000F6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7" name="427 CuadroTexto">
          <a:extLst>
            <a:ext uri="{FF2B5EF4-FFF2-40B4-BE49-F238E27FC236}">
              <a16:creationId xmlns:a16="http://schemas.microsoft.com/office/drawing/2014/main" id="{00000000-0008-0000-2000-0000F7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8" name="428 CuadroTexto">
          <a:extLst>
            <a:ext uri="{FF2B5EF4-FFF2-40B4-BE49-F238E27FC236}">
              <a16:creationId xmlns:a16="http://schemas.microsoft.com/office/drawing/2014/main" id="{00000000-0008-0000-2000-0000F8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9" name="429 CuadroTexto">
          <a:extLst>
            <a:ext uri="{FF2B5EF4-FFF2-40B4-BE49-F238E27FC236}">
              <a16:creationId xmlns:a16="http://schemas.microsoft.com/office/drawing/2014/main" id="{00000000-0008-0000-2000-0000F9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0" name="430 CuadroTexto">
          <a:extLst>
            <a:ext uri="{FF2B5EF4-FFF2-40B4-BE49-F238E27FC236}">
              <a16:creationId xmlns:a16="http://schemas.microsoft.com/office/drawing/2014/main" id="{00000000-0008-0000-2000-0000FA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1" name="431 CuadroTexto">
          <a:extLst>
            <a:ext uri="{FF2B5EF4-FFF2-40B4-BE49-F238E27FC236}">
              <a16:creationId xmlns:a16="http://schemas.microsoft.com/office/drawing/2014/main" id="{00000000-0008-0000-2000-0000FB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2" name="432 CuadroTexto">
          <a:extLst>
            <a:ext uri="{FF2B5EF4-FFF2-40B4-BE49-F238E27FC236}">
              <a16:creationId xmlns:a16="http://schemas.microsoft.com/office/drawing/2014/main" id="{00000000-0008-0000-2000-0000FC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3" name="433 CuadroTexto">
          <a:extLst>
            <a:ext uri="{FF2B5EF4-FFF2-40B4-BE49-F238E27FC236}">
              <a16:creationId xmlns:a16="http://schemas.microsoft.com/office/drawing/2014/main" id="{00000000-0008-0000-2000-0000FD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4" name="434 CuadroTexto">
          <a:extLst>
            <a:ext uri="{FF2B5EF4-FFF2-40B4-BE49-F238E27FC236}">
              <a16:creationId xmlns:a16="http://schemas.microsoft.com/office/drawing/2014/main" id="{00000000-0008-0000-2000-0000FE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5" name="435 CuadroTexto">
          <a:extLst>
            <a:ext uri="{FF2B5EF4-FFF2-40B4-BE49-F238E27FC236}">
              <a16:creationId xmlns:a16="http://schemas.microsoft.com/office/drawing/2014/main" id="{00000000-0008-0000-2000-0000FF0A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6" name="436 CuadroTexto">
          <a:extLst>
            <a:ext uri="{FF2B5EF4-FFF2-40B4-BE49-F238E27FC236}">
              <a16:creationId xmlns:a16="http://schemas.microsoft.com/office/drawing/2014/main" id="{00000000-0008-0000-2000-0000000B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7" name="437 CuadroTexto">
          <a:extLst>
            <a:ext uri="{FF2B5EF4-FFF2-40B4-BE49-F238E27FC236}">
              <a16:creationId xmlns:a16="http://schemas.microsoft.com/office/drawing/2014/main" id="{00000000-0008-0000-2000-0000010B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8" name="438 CuadroTexto">
          <a:extLst>
            <a:ext uri="{FF2B5EF4-FFF2-40B4-BE49-F238E27FC236}">
              <a16:creationId xmlns:a16="http://schemas.microsoft.com/office/drawing/2014/main" id="{00000000-0008-0000-2000-0000020B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9" name="439 CuadroTexto">
          <a:extLst>
            <a:ext uri="{FF2B5EF4-FFF2-40B4-BE49-F238E27FC236}">
              <a16:creationId xmlns:a16="http://schemas.microsoft.com/office/drawing/2014/main" id="{00000000-0008-0000-2000-0000030B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2820" name="440 CuadroTexto">
          <a:extLst>
            <a:ext uri="{FF2B5EF4-FFF2-40B4-BE49-F238E27FC236}">
              <a16:creationId xmlns:a16="http://schemas.microsoft.com/office/drawing/2014/main" id="{00000000-0008-0000-2000-000004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1" name="441 CuadroTexto">
          <a:extLst>
            <a:ext uri="{FF2B5EF4-FFF2-40B4-BE49-F238E27FC236}">
              <a16:creationId xmlns:a16="http://schemas.microsoft.com/office/drawing/2014/main" id="{00000000-0008-0000-2000-000005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2" name="442 CuadroTexto">
          <a:extLst>
            <a:ext uri="{FF2B5EF4-FFF2-40B4-BE49-F238E27FC236}">
              <a16:creationId xmlns:a16="http://schemas.microsoft.com/office/drawing/2014/main" id="{00000000-0008-0000-2000-000006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3" name="443 CuadroTexto">
          <a:extLst>
            <a:ext uri="{FF2B5EF4-FFF2-40B4-BE49-F238E27FC236}">
              <a16:creationId xmlns:a16="http://schemas.microsoft.com/office/drawing/2014/main" id="{00000000-0008-0000-2000-000007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4" name="444 CuadroTexto">
          <a:extLst>
            <a:ext uri="{FF2B5EF4-FFF2-40B4-BE49-F238E27FC236}">
              <a16:creationId xmlns:a16="http://schemas.microsoft.com/office/drawing/2014/main" id="{00000000-0008-0000-2000-000008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5" name="445 CuadroTexto">
          <a:extLst>
            <a:ext uri="{FF2B5EF4-FFF2-40B4-BE49-F238E27FC236}">
              <a16:creationId xmlns:a16="http://schemas.microsoft.com/office/drawing/2014/main" id="{00000000-0008-0000-2000-000009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6" name="446 CuadroTexto">
          <a:extLst>
            <a:ext uri="{FF2B5EF4-FFF2-40B4-BE49-F238E27FC236}">
              <a16:creationId xmlns:a16="http://schemas.microsoft.com/office/drawing/2014/main" id="{00000000-0008-0000-2000-00000A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7" name="447 CuadroTexto">
          <a:extLst>
            <a:ext uri="{FF2B5EF4-FFF2-40B4-BE49-F238E27FC236}">
              <a16:creationId xmlns:a16="http://schemas.microsoft.com/office/drawing/2014/main" id="{00000000-0008-0000-2000-00000B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8" name="448 CuadroTexto">
          <a:extLst>
            <a:ext uri="{FF2B5EF4-FFF2-40B4-BE49-F238E27FC236}">
              <a16:creationId xmlns:a16="http://schemas.microsoft.com/office/drawing/2014/main" id="{00000000-0008-0000-2000-00000C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9" name="449 CuadroTexto">
          <a:extLst>
            <a:ext uri="{FF2B5EF4-FFF2-40B4-BE49-F238E27FC236}">
              <a16:creationId xmlns:a16="http://schemas.microsoft.com/office/drawing/2014/main" id="{00000000-0008-0000-2000-00000D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0" name="450 CuadroTexto">
          <a:extLst>
            <a:ext uri="{FF2B5EF4-FFF2-40B4-BE49-F238E27FC236}">
              <a16:creationId xmlns:a16="http://schemas.microsoft.com/office/drawing/2014/main" id="{00000000-0008-0000-2000-00000E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1" name="451 CuadroTexto">
          <a:extLst>
            <a:ext uri="{FF2B5EF4-FFF2-40B4-BE49-F238E27FC236}">
              <a16:creationId xmlns:a16="http://schemas.microsoft.com/office/drawing/2014/main" id="{00000000-0008-0000-2000-00000F0B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32" name="17 CuadroTexto">
          <a:extLst>
            <a:ext uri="{FF2B5EF4-FFF2-40B4-BE49-F238E27FC236}">
              <a16:creationId xmlns:a16="http://schemas.microsoft.com/office/drawing/2014/main" id="{00000000-0008-0000-2000-00001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833" name="90 CuadroTexto">
          <a:extLst>
            <a:ext uri="{FF2B5EF4-FFF2-40B4-BE49-F238E27FC236}">
              <a16:creationId xmlns:a16="http://schemas.microsoft.com/office/drawing/2014/main" id="{00000000-0008-0000-2000-00001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4" name="91 CuadroTexto">
          <a:extLst>
            <a:ext uri="{FF2B5EF4-FFF2-40B4-BE49-F238E27FC236}">
              <a16:creationId xmlns:a16="http://schemas.microsoft.com/office/drawing/2014/main" id="{00000000-0008-0000-2000-00001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5" name="92 CuadroTexto">
          <a:extLst>
            <a:ext uri="{FF2B5EF4-FFF2-40B4-BE49-F238E27FC236}">
              <a16:creationId xmlns:a16="http://schemas.microsoft.com/office/drawing/2014/main" id="{00000000-0008-0000-2000-00001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6" name="93 CuadroTexto">
          <a:extLst>
            <a:ext uri="{FF2B5EF4-FFF2-40B4-BE49-F238E27FC236}">
              <a16:creationId xmlns:a16="http://schemas.microsoft.com/office/drawing/2014/main" id="{00000000-0008-0000-2000-00001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7" name="94 CuadroTexto">
          <a:extLst>
            <a:ext uri="{FF2B5EF4-FFF2-40B4-BE49-F238E27FC236}">
              <a16:creationId xmlns:a16="http://schemas.microsoft.com/office/drawing/2014/main" id="{00000000-0008-0000-2000-00001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8" name="95 CuadroTexto">
          <a:extLst>
            <a:ext uri="{FF2B5EF4-FFF2-40B4-BE49-F238E27FC236}">
              <a16:creationId xmlns:a16="http://schemas.microsoft.com/office/drawing/2014/main" id="{00000000-0008-0000-2000-00001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9" name="96 CuadroTexto">
          <a:extLst>
            <a:ext uri="{FF2B5EF4-FFF2-40B4-BE49-F238E27FC236}">
              <a16:creationId xmlns:a16="http://schemas.microsoft.com/office/drawing/2014/main" id="{00000000-0008-0000-2000-00001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0" name="97 CuadroTexto">
          <a:extLst>
            <a:ext uri="{FF2B5EF4-FFF2-40B4-BE49-F238E27FC236}">
              <a16:creationId xmlns:a16="http://schemas.microsoft.com/office/drawing/2014/main" id="{00000000-0008-0000-2000-00001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1" name="98 CuadroTexto">
          <a:extLst>
            <a:ext uri="{FF2B5EF4-FFF2-40B4-BE49-F238E27FC236}">
              <a16:creationId xmlns:a16="http://schemas.microsoft.com/office/drawing/2014/main" id="{00000000-0008-0000-2000-00001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2" name="99 CuadroTexto">
          <a:extLst>
            <a:ext uri="{FF2B5EF4-FFF2-40B4-BE49-F238E27FC236}">
              <a16:creationId xmlns:a16="http://schemas.microsoft.com/office/drawing/2014/main" id="{00000000-0008-0000-2000-00001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3" name="100 CuadroTexto">
          <a:extLst>
            <a:ext uri="{FF2B5EF4-FFF2-40B4-BE49-F238E27FC236}">
              <a16:creationId xmlns:a16="http://schemas.microsoft.com/office/drawing/2014/main" id="{00000000-0008-0000-2000-00001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4" name="101 CuadroTexto">
          <a:extLst>
            <a:ext uri="{FF2B5EF4-FFF2-40B4-BE49-F238E27FC236}">
              <a16:creationId xmlns:a16="http://schemas.microsoft.com/office/drawing/2014/main" id="{00000000-0008-0000-2000-00001C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45" name="118 CuadroTexto">
          <a:extLst>
            <a:ext uri="{FF2B5EF4-FFF2-40B4-BE49-F238E27FC236}">
              <a16:creationId xmlns:a16="http://schemas.microsoft.com/office/drawing/2014/main" id="{00000000-0008-0000-2000-00001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6" name="119 CuadroTexto">
          <a:extLst>
            <a:ext uri="{FF2B5EF4-FFF2-40B4-BE49-F238E27FC236}">
              <a16:creationId xmlns:a16="http://schemas.microsoft.com/office/drawing/2014/main" id="{00000000-0008-0000-2000-00001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7" name="120 CuadroTexto">
          <a:extLst>
            <a:ext uri="{FF2B5EF4-FFF2-40B4-BE49-F238E27FC236}">
              <a16:creationId xmlns:a16="http://schemas.microsoft.com/office/drawing/2014/main" id="{00000000-0008-0000-2000-00001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8" name="121 CuadroTexto">
          <a:extLst>
            <a:ext uri="{FF2B5EF4-FFF2-40B4-BE49-F238E27FC236}">
              <a16:creationId xmlns:a16="http://schemas.microsoft.com/office/drawing/2014/main" id="{00000000-0008-0000-2000-00002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9" name="122 CuadroTexto">
          <a:extLst>
            <a:ext uri="{FF2B5EF4-FFF2-40B4-BE49-F238E27FC236}">
              <a16:creationId xmlns:a16="http://schemas.microsoft.com/office/drawing/2014/main" id="{00000000-0008-0000-2000-00002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0" name="123 CuadroTexto">
          <a:extLst>
            <a:ext uri="{FF2B5EF4-FFF2-40B4-BE49-F238E27FC236}">
              <a16:creationId xmlns:a16="http://schemas.microsoft.com/office/drawing/2014/main" id="{00000000-0008-0000-2000-00002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1" name="124 CuadroTexto">
          <a:extLst>
            <a:ext uri="{FF2B5EF4-FFF2-40B4-BE49-F238E27FC236}">
              <a16:creationId xmlns:a16="http://schemas.microsoft.com/office/drawing/2014/main" id="{00000000-0008-0000-2000-00002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2" name="125 CuadroTexto">
          <a:extLst>
            <a:ext uri="{FF2B5EF4-FFF2-40B4-BE49-F238E27FC236}">
              <a16:creationId xmlns:a16="http://schemas.microsoft.com/office/drawing/2014/main" id="{00000000-0008-0000-2000-00002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3" name="143 CuadroTexto">
          <a:extLst>
            <a:ext uri="{FF2B5EF4-FFF2-40B4-BE49-F238E27FC236}">
              <a16:creationId xmlns:a16="http://schemas.microsoft.com/office/drawing/2014/main" id="{00000000-0008-0000-2000-00002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4" name="144 CuadroTexto">
          <a:extLst>
            <a:ext uri="{FF2B5EF4-FFF2-40B4-BE49-F238E27FC236}">
              <a16:creationId xmlns:a16="http://schemas.microsoft.com/office/drawing/2014/main" id="{00000000-0008-0000-2000-00002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5" name="145 CuadroTexto">
          <a:extLst>
            <a:ext uri="{FF2B5EF4-FFF2-40B4-BE49-F238E27FC236}">
              <a16:creationId xmlns:a16="http://schemas.microsoft.com/office/drawing/2014/main" id="{00000000-0008-0000-2000-00002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6" name="146 CuadroTexto">
          <a:extLst>
            <a:ext uri="{FF2B5EF4-FFF2-40B4-BE49-F238E27FC236}">
              <a16:creationId xmlns:a16="http://schemas.microsoft.com/office/drawing/2014/main" id="{00000000-0008-0000-2000-00002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7" name="147 CuadroTexto">
          <a:extLst>
            <a:ext uri="{FF2B5EF4-FFF2-40B4-BE49-F238E27FC236}">
              <a16:creationId xmlns:a16="http://schemas.microsoft.com/office/drawing/2014/main" id="{00000000-0008-0000-2000-00002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8" name="148 CuadroTexto">
          <a:extLst>
            <a:ext uri="{FF2B5EF4-FFF2-40B4-BE49-F238E27FC236}">
              <a16:creationId xmlns:a16="http://schemas.microsoft.com/office/drawing/2014/main" id="{00000000-0008-0000-2000-00002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9" name="149 CuadroTexto">
          <a:extLst>
            <a:ext uri="{FF2B5EF4-FFF2-40B4-BE49-F238E27FC236}">
              <a16:creationId xmlns:a16="http://schemas.microsoft.com/office/drawing/2014/main" id="{00000000-0008-0000-2000-00002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0" name="150 CuadroTexto">
          <a:extLst>
            <a:ext uri="{FF2B5EF4-FFF2-40B4-BE49-F238E27FC236}">
              <a16:creationId xmlns:a16="http://schemas.microsoft.com/office/drawing/2014/main" id="{00000000-0008-0000-2000-00002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1" name="151 CuadroTexto">
          <a:extLst>
            <a:ext uri="{FF2B5EF4-FFF2-40B4-BE49-F238E27FC236}">
              <a16:creationId xmlns:a16="http://schemas.microsoft.com/office/drawing/2014/main" id="{00000000-0008-0000-2000-00002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2" name="152 CuadroTexto">
          <a:extLst>
            <a:ext uri="{FF2B5EF4-FFF2-40B4-BE49-F238E27FC236}">
              <a16:creationId xmlns:a16="http://schemas.microsoft.com/office/drawing/2014/main" id="{00000000-0008-0000-2000-00002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3" name="153 CuadroTexto">
          <a:extLst>
            <a:ext uri="{FF2B5EF4-FFF2-40B4-BE49-F238E27FC236}">
              <a16:creationId xmlns:a16="http://schemas.microsoft.com/office/drawing/2014/main" id="{00000000-0008-0000-2000-00002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4" name="154 CuadroTexto">
          <a:extLst>
            <a:ext uri="{FF2B5EF4-FFF2-40B4-BE49-F238E27FC236}">
              <a16:creationId xmlns:a16="http://schemas.microsoft.com/office/drawing/2014/main" id="{00000000-0008-0000-2000-00003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5" name="155 CuadroTexto">
          <a:extLst>
            <a:ext uri="{FF2B5EF4-FFF2-40B4-BE49-F238E27FC236}">
              <a16:creationId xmlns:a16="http://schemas.microsoft.com/office/drawing/2014/main" id="{00000000-0008-0000-2000-00003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6" name="156 CuadroTexto">
          <a:extLst>
            <a:ext uri="{FF2B5EF4-FFF2-40B4-BE49-F238E27FC236}">
              <a16:creationId xmlns:a16="http://schemas.microsoft.com/office/drawing/2014/main" id="{00000000-0008-0000-2000-00003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7" name="157 CuadroTexto">
          <a:extLst>
            <a:ext uri="{FF2B5EF4-FFF2-40B4-BE49-F238E27FC236}">
              <a16:creationId xmlns:a16="http://schemas.microsoft.com/office/drawing/2014/main" id="{00000000-0008-0000-2000-00003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8" name="158 CuadroTexto">
          <a:extLst>
            <a:ext uri="{FF2B5EF4-FFF2-40B4-BE49-F238E27FC236}">
              <a16:creationId xmlns:a16="http://schemas.microsoft.com/office/drawing/2014/main" id="{00000000-0008-0000-2000-00003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9" name="159 CuadroTexto">
          <a:extLst>
            <a:ext uri="{FF2B5EF4-FFF2-40B4-BE49-F238E27FC236}">
              <a16:creationId xmlns:a16="http://schemas.microsoft.com/office/drawing/2014/main" id="{00000000-0008-0000-2000-00003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0" name="160 CuadroTexto">
          <a:extLst>
            <a:ext uri="{FF2B5EF4-FFF2-40B4-BE49-F238E27FC236}">
              <a16:creationId xmlns:a16="http://schemas.microsoft.com/office/drawing/2014/main" id="{00000000-0008-0000-2000-00003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1" name="161 CuadroTexto">
          <a:extLst>
            <a:ext uri="{FF2B5EF4-FFF2-40B4-BE49-F238E27FC236}">
              <a16:creationId xmlns:a16="http://schemas.microsoft.com/office/drawing/2014/main" id="{00000000-0008-0000-2000-00003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2" name="162 CuadroTexto">
          <a:extLst>
            <a:ext uri="{FF2B5EF4-FFF2-40B4-BE49-F238E27FC236}">
              <a16:creationId xmlns:a16="http://schemas.microsoft.com/office/drawing/2014/main" id="{00000000-0008-0000-2000-00003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3" name="163 CuadroTexto">
          <a:extLst>
            <a:ext uri="{FF2B5EF4-FFF2-40B4-BE49-F238E27FC236}">
              <a16:creationId xmlns:a16="http://schemas.microsoft.com/office/drawing/2014/main" id="{00000000-0008-0000-2000-00003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4" name="164 CuadroTexto">
          <a:extLst>
            <a:ext uri="{FF2B5EF4-FFF2-40B4-BE49-F238E27FC236}">
              <a16:creationId xmlns:a16="http://schemas.microsoft.com/office/drawing/2014/main" id="{00000000-0008-0000-2000-00003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5" name="165 CuadroTexto">
          <a:extLst>
            <a:ext uri="{FF2B5EF4-FFF2-40B4-BE49-F238E27FC236}">
              <a16:creationId xmlns:a16="http://schemas.microsoft.com/office/drawing/2014/main" id="{00000000-0008-0000-2000-00003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6" name="166 CuadroTexto">
          <a:extLst>
            <a:ext uri="{FF2B5EF4-FFF2-40B4-BE49-F238E27FC236}">
              <a16:creationId xmlns:a16="http://schemas.microsoft.com/office/drawing/2014/main" id="{00000000-0008-0000-2000-00003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7" name="167 CuadroTexto">
          <a:extLst>
            <a:ext uri="{FF2B5EF4-FFF2-40B4-BE49-F238E27FC236}">
              <a16:creationId xmlns:a16="http://schemas.microsoft.com/office/drawing/2014/main" id="{00000000-0008-0000-2000-00003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8" name="168 CuadroTexto">
          <a:extLst>
            <a:ext uri="{FF2B5EF4-FFF2-40B4-BE49-F238E27FC236}">
              <a16:creationId xmlns:a16="http://schemas.microsoft.com/office/drawing/2014/main" id="{00000000-0008-0000-2000-00003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9" name="169 CuadroTexto">
          <a:extLst>
            <a:ext uri="{FF2B5EF4-FFF2-40B4-BE49-F238E27FC236}">
              <a16:creationId xmlns:a16="http://schemas.microsoft.com/office/drawing/2014/main" id="{00000000-0008-0000-2000-00003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0" name="170 CuadroTexto">
          <a:extLst>
            <a:ext uri="{FF2B5EF4-FFF2-40B4-BE49-F238E27FC236}">
              <a16:creationId xmlns:a16="http://schemas.microsoft.com/office/drawing/2014/main" id="{00000000-0008-0000-2000-00004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1" name="171 CuadroTexto">
          <a:extLst>
            <a:ext uri="{FF2B5EF4-FFF2-40B4-BE49-F238E27FC236}">
              <a16:creationId xmlns:a16="http://schemas.microsoft.com/office/drawing/2014/main" id="{00000000-0008-0000-2000-00004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2" name="172 CuadroTexto">
          <a:extLst>
            <a:ext uri="{FF2B5EF4-FFF2-40B4-BE49-F238E27FC236}">
              <a16:creationId xmlns:a16="http://schemas.microsoft.com/office/drawing/2014/main" id="{00000000-0008-0000-2000-00004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3" name="173 CuadroTexto">
          <a:extLst>
            <a:ext uri="{FF2B5EF4-FFF2-40B4-BE49-F238E27FC236}">
              <a16:creationId xmlns:a16="http://schemas.microsoft.com/office/drawing/2014/main" id="{00000000-0008-0000-2000-00004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4" name="174 CuadroTexto">
          <a:extLst>
            <a:ext uri="{FF2B5EF4-FFF2-40B4-BE49-F238E27FC236}">
              <a16:creationId xmlns:a16="http://schemas.microsoft.com/office/drawing/2014/main" id="{00000000-0008-0000-2000-00004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5" name="175 CuadroTexto">
          <a:extLst>
            <a:ext uri="{FF2B5EF4-FFF2-40B4-BE49-F238E27FC236}">
              <a16:creationId xmlns:a16="http://schemas.microsoft.com/office/drawing/2014/main" id="{00000000-0008-0000-2000-00004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6" name="176 CuadroTexto">
          <a:extLst>
            <a:ext uri="{FF2B5EF4-FFF2-40B4-BE49-F238E27FC236}">
              <a16:creationId xmlns:a16="http://schemas.microsoft.com/office/drawing/2014/main" id="{00000000-0008-0000-2000-00004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7" name="177 CuadroTexto">
          <a:extLst>
            <a:ext uri="{FF2B5EF4-FFF2-40B4-BE49-F238E27FC236}">
              <a16:creationId xmlns:a16="http://schemas.microsoft.com/office/drawing/2014/main" id="{00000000-0008-0000-2000-00004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8" name="178 CuadroTexto">
          <a:extLst>
            <a:ext uri="{FF2B5EF4-FFF2-40B4-BE49-F238E27FC236}">
              <a16:creationId xmlns:a16="http://schemas.microsoft.com/office/drawing/2014/main" id="{00000000-0008-0000-2000-00004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9" name="179 CuadroTexto">
          <a:extLst>
            <a:ext uri="{FF2B5EF4-FFF2-40B4-BE49-F238E27FC236}">
              <a16:creationId xmlns:a16="http://schemas.microsoft.com/office/drawing/2014/main" id="{00000000-0008-0000-2000-00004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0" name="180 CuadroTexto">
          <a:extLst>
            <a:ext uri="{FF2B5EF4-FFF2-40B4-BE49-F238E27FC236}">
              <a16:creationId xmlns:a16="http://schemas.microsoft.com/office/drawing/2014/main" id="{00000000-0008-0000-2000-00004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1" name="181 CuadroTexto">
          <a:extLst>
            <a:ext uri="{FF2B5EF4-FFF2-40B4-BE49-F238E27FC236}">
              <a16:creationId xmlns:a16="http://schemas.microsoft.com/office/drawing/2014/main" id="{00000000-0008-0000-2000-00004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2" name="182 CuadroTexto">
          <a:extLst>
            <a:ext uri="{FF2B5EF4-FFF2-40B4-BE49-F238E27FC236}">
              <a16:creationId xmlns:a16="http://schemas.microsoft.com/office/drawing/2014/main" id="{00000000-0008-0000-2000-00004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3" name="183 CuadroTexto">
          <a:extLst>
            <a:ext uri="{FF2B5EF4-FFF2-40B4-BE49-F238E27FC236}">
              <a16:creationId xmlns:a16="http://schemas.microsoft.com/office/drawing/2014/main" id="{00000000-0008-0000-2000-00004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4" name="184 CuadroTexto">
          <a:extLst>
            <a:ext uri="{FF2B5EF4-FFF2-40B4-BE49-F238E27FC236}">
              <a16:creationId xmlns:a16="http://schemas.microsoft.com/office/drawing/2014/main" id="{00000000-0008-0000-2000-00004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5" name="185 CuadroTexto">
          <a:extLst>
            <a:ext uri="{FF2B5EF4-FFF2-40B4-BE49-F238E27FC236}">
              <a16:creationId xmlns:a16="http://schemas.microsoft.com/office/drawing/2014/main" id="{00000000-0008-0000-2000-00004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6" name="186 CuadroTexto">
          <a:extLst>
            <a:ext uri="{FF2B5EF4-FFF2-40B4-BE49-F238E27FC236}">
              <a16:creationId xmlns:a16="http://schemas.microsoft.com/office/drawing/2014/main" id="{00000000-0008-0000-2000-00005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7" name="187 CuadroTexto">
          <a:extLst>
            <a:ext uri="{FF2B5EF4-FFF2-40B4-BE49-F238E27FC236}">
              <a16:creationId xmlns:a16="http://schemas.microsoft.com/office/drawing/2014/main" id="{00000000-0008-0000-2000-00005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8" name="188 CuadroTexto">
          <a:extLst>
            <a:ext uri="{FF2B5EF4-FFF2-40B4-BE49-F238E27FC236}">
              <a16:creationId xmlns:a16="http://schemas.microsoft.com/office/drawing/2014/main" id="{00000000-0008-0000-2000-00005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9" name="189 CuadroTexto">
          <a:extLst>
            <a:ext uri="{FF2B5EF4-FFF2-40B4-BE49-F238E27FC236}">
              <a16:creationId xmlns:a16="http://schemas.microsoft.com/office/drawing/2014/main" id="{00000000-0008-0000-2000-00005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0" name="190 CuadroTexto">
          <a:extLst>
            <a:ext uri="{FF2B5EF4-FFF2-40B4-BE49-F238E27FC236}">
              <a16:creationId xmlns:a16="http://schemas.microsoft.com/office/drawing/2014/main" id="{00000000-0008-0000-2000-00005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1" name="191 CuadroTexto">
          <a:extLst>
            <a:ext uri="{FF2B5EF4-FFF2-40B4-BE49-F238E27FC236}">
              <a16:creationId xmlns:a16="http://schemas.microsoft.com/office/drawing/2014/main" id="{00000000-0008-0000-2000-00005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2" name="192 CuadroTexto">
          <a:extLst>
            <a:ext uri="{FF2B5EF4-FFF2-40B4-BE49-F238E27FC236}">
              <a16:creationId xmlns:a16="http://schemas.microsoft.com/office/drawing/2014/main" id="{00000000-0008-0000-2000-00005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3" name="193 CuadroTexto">
          <a:extLst>
            <a:ext uri="{FF2B5EF4-FFF2-40B4-BE49-F238E27FC236}">
              <a16:creationId xmlns:a16="http://schemas.microsoft.com/office/drawing/2014/main" id="{00000000-0008-0000-2000-00005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4" name="194 CuadroTexto">
          <a:extLst>
            <a:ext uri="{FF2B5EF4-FFF2-40B4-BE49-F238E27FC236}">
              <a16:creationId xmlns:a16="http://schemas.microsoft.com/office/drawing/2014/main" id="{00000000-0008-0000-2000-00005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5" name="195 CuadroTexto">
          <a:extLst>
            <a:ext uri="{FF2B5EF4-FFF2-40B4-BE49-F238E27FC236}">
              <a16:creationId xmlns:a16="http://schemas.microsoft.com/office/drawing/2014/main" id="{00000000-0008-0000-2000-00005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6" name="196 CuadroTexto">
          <a:extLst>
            <a:ext uri="{FF2B5EF4-FFF2-40B4-BE49-F238E27FC236}">
              <a16:creationId xmlns:a16="http://schemas.microsoft.com/office/drawing/2014/main" id="{00000000-0008-0000-2000-00005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7" name="197 CuadroTexto">
          <a:extLst>
            <a:ext uri="{FF2B5EF4-FFF2-40B4-BE49-F238E27FC236}">
              <a16:creationId xmlns:a16="http://schemas.microsoft.com/office/drawing/2014/main" id="{00000000-0008-0000-2000-00005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8" name="198 CuadroTexto">
          <a:extLst>
            <a:ext uri="{FF2B5EF4-FFF2-40B4-BE49-F238E27FC236}">
              <a16:creationId xmlns:a16="http://schemas.microsoft.com/office/drawing/2014/main" id="{00000000-0008-0000-2000-00005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9" name="199 CuadroTexto">
          <a:extLst>
            <a:ext uri="{FF2B5EF4-FFF2-40B4-BE49-F238E27FC236}">
              <a16:creationId xmlns:a16="http://schemas.microsoft.com/office/drawing/2014/main" id="{00000000-0008-0000-2000-00005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0" name="200 CuadroTexto">
          <a:extLst>
            <a:ext uri="{FF2B5EF4-FFF2-40B4-BE49-F238E27FC236}">
              <a16:creationId xmlns:a16="http://schemas.microsoft.com/office/drawing/2014/main" id="{00000000-0008-0000-2000-00005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1" name="201 CuadroTexto">
          <a:extLst>
            <a:ext uri="{FF2B5EF4-FFF2-40B4-BE49-F238E27FC236}">
              <a16:creationId xmlns:a16="http://schemas.microsoft.com/office/drawing/2014/main" id="{00000000-0008-0000-2000-00005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2" name="202 CuadroTexto">
          <a:extLst>
            <a:ext uri="{FF2B5EF4-FFF2-40B4-BE49-F238E27FC236}">
              <a16:creationId xmlns:a16="http://schemas.microsoft.com/office/drawing/2014/main" id="{00000000-0008-0000-2000-00006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3" name="203 CuadroTexto">
          <a:extLst>
            <a:ext uri="{FF2B5EF4-FFF2-40B4-BE49-F238E27FC236}">
              <a16:creationId xmlns:a16="http://schemas.microsoft.com/office/drawing/2014/main" id="{00000000-0008-0000-2000-00006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4" name="204 CuadroTexto">
          <a:extLst>
            <a:ext uri="{FF2B5EF4-FFF2-40B4-BE49-F238E27FC236}">
              <a16:creationId xmlns:a16="http://schemas.microsoft.com/office/drawing/2014/main" id="{00000000-0008-0000-2000-00006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5" name="205 CuadroTexto">
          <a:extLst>
            <a:ext uri="{FF2B5EF4-FFF2-40B4-BE49-F238E27FC236}">
              <a16:creationId xmlns:a16="http://schemas.microsoft.com/office/drawing/2014/main" id="{00000000-0008-0000-2000-00006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6" name="206 CuadroTexto">
          <a:extLst>
            <a:ext uri="{FF2B5EF4-FFF2-40B4-BE49-F238E27FC236}">
              <a16:creationId xmlns:a16="http://schemas.microsoft.com/office/drawing/2014/main" id="{00000000-0008-0000-2000-00006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7" name="207 CuadroTexto">
          <a:extLst>
            <a:ext uri="{FF2B5EF4-FFF2-40B4-BE49-F238E27FC236}">
              <a16:creationId xmlns:a16="http://schemas.microsoft.com/office/drawing/2014/main" id="{00000000-0008-0000-2000-00006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8" name="208 CuadroTexto">
          <a:extLst>
            <a:ext uri="{FF2B5EF4-FFF2-40B4-BE49-F238E27FC236}">
              <a16:creationId xmlns:a16="http://schemas.microsoft.com/office/drawing/2014/main" id="{00000000-0008-0000-2000-00006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9" name="209 CuadroTexto">
          <a:extLst>
            <a:ext uri="{FF2B5EF4-FFF2-40B4-BE49-F238E27FC236}">
              <a16:creationId xmlns:a16="http://schemas.microsoft.com/office/drawing/2014/main" id="{00000000-0008-0000-2000-00006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0" name="210 CuadroTexto">
          <a:extLst>
            <a:ext uri="{FF2B5EF4-FFF2-40B4-BE49-F238E27FC236}">
              <a16:creationId xmlns:a16="http://schemas.microsoft.com/office/drawing/2014/main" id="{00000000-0008-0000-2000-00006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1" name="211 CuadroTexto">
          <a:extLst>
            <a:ext uri="{FF2B5EF4-FFF2-40B4-BE49-F238E27FC236}">
              <a16:creationId xmlns:a16="http://schemas.microsoft.com/office/drawing/2014/main" id="{00000000-0008-0000-2000-00006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2" name="212 CuadroTexto">
          <a:extLst>
            <a:ext uri="{FF2B5EF4-FFF2-40B4-BE49-F238E27FC236}">
              <a16:creationId xmlns:a16="http://schemas.microsoft.com/office/drawing/2014/main" id="{00000000-0008-0000-2000-00006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3" name="213 CuadroTexto">
          <a:extLst>
            <a:ext uri="{FF2B5EF4-FFF2-40B4-BE49-F238E27FC236}">
              <a16:creationId xmlns:a16="http://schemas.microsoft.com/office/drawing/2014/main" id="{00000000-0008-0000-2000-00006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4" name="214 CuadroTexto">
          <a:extLst>
            <a:ext uri="{FF2B5EF4-FFF2-40B4-BE49-F238E27FC236}">
              <a16:creationId xmlns:a16="http://schemas.microsoft.com/office/drawing/2014/main" id="{00000000-0008-0000-2000-00006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5" name="215 CuadroTexto">
          <a:extLst>
            <a:ext uri="{FF2B5EF4-FFF2-40B4-BE49-F238E27FC236}">
              <a16:creationId xmlns:a16="http://schemas.microsoft.com/office/drawing/2014/main" id="{00000000-0008-0000-2000-00006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6" name="216 CuadroTexto">
          <a:extLst>
            <a:ext uri="{FF2B5EF4-FFF2-40B4-BE49-F238E27FC236}">
              <a16:creationId xmlns:a16="http://schemas.microsoft.com/office/drawing/2014/main" id="{00000000-0008-0000-2000-00006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7" name="217 CuadroTexto">
          <a:extLst>
            <a:ext uri="{FF2B5EF4-FFF2-40B4-BE49-F238E27FC236}">
              <a16:creationId xmlns:a16="http://schemas.microsoft.com/office/drawing/2014/main" id="{00000000-0008-0000-2000-00006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8" name="218 CuadroTexto">
          <a:extLst>
            <a:ext uri="{FF2B5EF4-FFF2-40B4-BE49-F238E27FC236}">
              <a16:creationId xmlns:a16="http://schemas.microsoft.com/office/drawing/2014/main" id="{00000000-0008-0000-2000-00007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9" name="219 CuadroTexto">
          <a:extLst>
            <a:ext uri="{FF2B5EF4-FFF2-40B4-BE49-F238E27FC236}">
              <a16:creationId xmlns:a16="http://schemas.microsoft.com/office/drawing/2014/main" id="{00000000-0008-0000-2000-00007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0" name="220 CuadroTexto">
          <a:extLst>
            <a:ext uri="{FF2B5EF4-FFF2-40B4-BE49-F238E27FC236}">
              <a16:creationId xmlns:a16="http://schemas.microsoft.com/office/drawing/2014/main" id="{00000000-0008-0000-2000-00007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1" name="221 CuadroTexto">
          <a:extLst>
            <a:ext uri="{FF2B5EF4-FFF2-40B4-BE49-F238E27FC236}">
              <a16:creationId xmlns:a16="http://schemas.microsoft.com/office/drawing/2014/main" id="{00000000-0008-0000-2000-00007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2" name="222 CuadroTexto">
          <a:extLst>
            <a:ext uri="{FF2B5EF4-FFF2-40B4-BE49-F238E27FC236}">
              <a16:creationId xmlns:a16="http://schemas.microsoft.com/office/drawing/2014/main" id="{00000000-0008-0000-2000-00007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3" name="223 CuadroTexto">
          <a:extLst>
            <a:ext uri="{FF2B5EF4-FFF2-40B4-BE49-F238E27FC236}">
              <a16:creationId xmlns:a16="http://schemas.microsoft.com/office/drawing/2014/main" id="{00000000-0008-0000-2000-00007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4" name="224 CuadroTexto">
          <a:extLst>
            <a:ext uri="{FF2B5EF4-FFF2-40B4-BE49-F238E27FC236}">
              <a16:creationId xmlns:a16="http://schemas.microsoft.com/office/drawing/2014/main" id="{00000000-0008-0000-2000-00007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5" name="225 CuadroTexto">
          <a:extLst>
            <a:ext uri="{FF2B5EF4-FFF2-40B4-BE49-F238E27FC236}">
              <a16:creationId xmlns:a16="http://schemas.microsoft.com/office/drawing/2014/main" id="{00000000-0008-0000-2000-00007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6" name="226 CuadroTexto">
          <a:extLst>
            <a:ext uri="{FF2B5EF4-FFF2-40B4-BE49-F238E27FC236}">
              <a16:creationId xmlns:a16="http://schemas.microsoft.com/office/drawing/2014/main" id="{00000000-0008-0000-2000-00007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7" name="227 CuadroTexto">
          <a:extLst>
            <a:ext uri="{FF2B5EF4-FFF2-40B4-BE49-F238E27FC236}">
              <a16:creationId xmlns:a16="http://schemas.microsoft.com/office/drawing/2014/main" id="{00000000-0008-0000-2000-00007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8" name="228 CuadroTexto">
          <a:extLst>
            <a:ext uri="{FF2B5EF4-FFF2-40B4-BE49-F238E27FC236}">
              <a16:creationId xmlns:a16="http://schemas.microsoft.com/office/drawing/2014/main" id="{00000000-0008-0000-2000-00007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9" name="229 CuadroTexto">
          <a:extLst>
            <a:ext uri="{FF2B5EF4-FFF2-40B4-BE49-F238E27FC236}">
              <a16:creationId xmlns:a16="http://schemas.microsoft.com/office/drawing/2014/main" id="{00000000-0008-0000-2000-00007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0" name="230 CuadroTexto">
          <a:extLst>
            <a:ext uri="{FF2B5EF4-FFF2-40B4-BE49-F238E27FC236}">
              <a16:creationId xmlns:a16="http://schemas.microsoft.com/office/drawing/2014/main" id="{00000000-0008-0000-2000-00007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1" name="231 CuadroTexto">
          <a:extLst>
            <a:ext uri="{FF2B5EF4-FFF2-40B4-BE49-F238E27FC236}">
              <a16:creationId xmlns:a16="http://schemas.microsoft.com/office/drawing/2014/main" id="{00000000-0008-0000-2000-00007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2" name="232 CuadroTexto">
          <a:extLst>
            <a:ext uri="{FF2B5EF4-FFF2-40B4-BE49-F238E27FC236}">
              <a16:creationId xmlns:a16="http://schemas.microsoft.com/office/drawing/2014/main" id="{00000000-0008-0000-2000-00007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3" name="233 CuadroTexto">
          <a:extLst>
            <a:ext uri="{FF2B5EF4-FFF2-40B4-BE49-F238E27FC236}">
              <a16:creationId xmlns:a16="http://schemas.microsoft.com/office/drawing/2014/main" id="{00000000-0008-0000-2000-00007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4" name="234 CuadroTexto">
          <a:extLst>
            <a:ext uri="{FF2B5EF4-FFF2-40B4-BE49-F238E27FC236}">
              <a16:creationId xmlns:a16="http://schemas.microsoft.com/office/drawing/2014/main" id="{00000000-0008-0000-2000-00008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5" name="235 CuadroTexto">
          <a:extLst>
            <a:ext uri="{FF2B5EF4-FFF2-40B4-BE49-F238E27FC236}">
              <a16:creationId xmlns:a16="http://schemas.microsoft.com/office/drawing/2014/main" id="{00000000-0008-0000-2000-00008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6" name="236 CuadroTexto">
          <a:extLst>
            <a:ext uri="{FF2B5EF4-FFF2-40B4-BE49-F238E27FC236}">
              <a16:creationId xmlns:a16="http://schemas.microsoft.com/office/drawing/2014/main" id="{00000000-0008-0000-2000-00008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7" name="237 CuadroTexto">
          <a:extLst>
            <a:ext uri="{FF2B5EF4-FFF2-40B4-BE49-F238E27FC236}">
              <a16:creationId xmlns:a16="http://schemas.microsoft.com/office/drawing/2014/main" id="{00000000-0008-0000-2000-00008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8" name="238 CuadroTexto">
          <a:extLst>
            <a:ext uri="{FF2B5EF4-FFF2-40B4-BE49-F238E27FC236}">
              <a16:creationId xmlns:a16="http://schemas.microsoft.com/office/drawing/2014/main" id="{00000000-0008-0000-2000-00008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9" name="239 CuadroTexto">
          <a:extLst>
            <a:ext uri="{FF2B5EF4-FFF2-40B4-BE49-F238E27FC236}">
              <a16:creationId xmlns:a16="http://schemas.microsoft.com/office/drawing/2014/main" id="{00000000-0008-0000-2000-00008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0" name="240 CuadroTexto">
          <a:extLst>
            <a:ext uri="{FF2B5EF4-FFF2-40B4-BE49-F238E27FC236}">
              <a16:creationId xmlns:a16="http://schemas.microsoft.com/office/drawing/2014/main" id="{00000000-0008-0000-2000-00008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1" name="241 CuadroTexto">
          <a:extLst>
            <a:ext uri="{FF2B5EF4-FFF2-40B4-BE49-F238E27FC236}">
              <a16:creationId xmlns:a16="http://schemas.microsoft.com/office/drawing/2014/main" id="{00000000-0008-0000-2000-00008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2" name="242 CuadroTexto">
          <a:extLst>
            <a:ext uri="{FF2B5EF4-FFF2-40B4-BE49-F238E27FC236}">
              <a16:creationId xmlns:a16="http://schemas.microsoft.com/office/drawing/2014/main" id="{00000000-0008-0000-2000-00008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3" name="243 CuadroTexto">
          <a:extLst>
            <a:ext uri="{FF2B5EF4-FFF2-40B4-BE49-F238E27FC236}">
              <a16:creationId xmlns:a16="http://schemas.microsoft.com/office/drawing/2014/main" id="{00000000-0008-0000-2000-00008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4" name="244 CuadroTexto">
          <a:extLst>
            <a:ext uri="{FF2B5EF4-FFF2-40B4-BE49-F238E27FC236}">
              <a16:creationId xmlns:a16="http://schemas.microsoft.com/office/drawing/2014/main" id="{00000000-0008-0000-2000-00008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5" name="245 CuadroTexto">
          <a:extLst>
            <a:ext uri="{FF2B5EF4-FFF2-40B4-BE49-F238E27FC236}">
              <a16:creationId xmlns:a16="http://schemas.microsoft.com/office/drawing/2014/main" id="{00000000-0008-0000-2000-00008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6" name="246 CuadroTexto">
          <a:extLst>
            <a:ext uri="{FF2B5EF4-FFF2-40B4-BE49-F238E27FC236}">
              <a16:creationId xmlns:a16="http://schemas.microsoft.com/office/drawing/2014/main" id="{00000000-0008-0000-2000-00008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7" name="247 CuadroTexto">
          <a:extLst>
            <a:ext uri="{FF2B5EF4-FFF2-40B4-BE49-F238E27FC236}">
              <a16:creationId xmlns:a16="http://schemas.microsoft.com/office/drawing/2014/main" id="{00000000-0008-0000-2000-00008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8" name="248 CuadroTexto">
          <a:extLst>
            <a:ext uri="{FF2B5EF4-FFF2-40B4-BE49-F238E27FC236}">
              <a16:creationId xmlns:a16="http://schemas.microsoft.com/office/drawing/2014/main" id="{00000000-0008-0000-2000-00008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9" name="249 CuadroTexto">
          <a:extLst>
            <a:ext uri="{FF2B5EF4-FFF2-40B4-BE49-F238E27FC236}">
              <a16:creationId xmlns:a16="http://schemas.microsoft.com/office/drawing/2014/main" id="{00000000-0008-0000-2000-00008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0" name="250 CuadroTexto">
          <a:extLst>
            <a:ext uri="{FF2B5EF4-FFF2-40B4-BE49-F238E27FC236}">
              <a16:creationId xmlns:a16="http://schemas.microsoft.com/office/drawing/2014/main" id="{00000000-0008-0000-2000-00009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1" name="251 CuadroTexto">
          <a:extLst>
            <a:ext uri="{FF2B5EF4-FFF2-40B4-BE49-F238E27FC236}">
              <a16:creationId xmlns:a16="http://schemas.microsoft.com/office/drawing/2014/main" id="{00000000-0008-0000-2000-00009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2" name="252 CuadroTexto">
          <a:extLst>
            <a:ext uri="{FF2B5EF4-FFF2-40B4-BE49-F238E27FC236}">
              <a16:creationId xmlns:a16="http://schemas.microsoft.com/office/drawing/2014/main" id="{00000000-0008-0000-2000-00009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3" name="253 CuadroTexto">
          <a:extLst>
            <a:ext uri="{FF2B5EF4-FFF2-40B4-BE49-F238E27FC236}">
              <a16:creationId xmlns:a16="http://schemas.microsoft.com/office/drawing/2014/main" id="{00000000-0008-0000-2000-00009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4" name="254 CuadroTexto">
          <a:extLst>
            <a:ext uri="{FF2B5EF4-FFF2-40B4-BE49-F238E27FC236}">
              <a16:creationId xmlns:a16="http://schemas.microsoft.com/office/drawing/2014/main" id="{00000000-0008-0000-2000-00009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5" name="255 CuadroTexto">
          <a:extLst>
            <a:ext uri="{FF2B5EF4-FFF2-40B4-BE49-F238E27FC236}">
              <a16:creationId xmlns:a16="http://schemas.microsoft.com/office/drawing/2014/main" id="{00000000-0008-0000-2000-00009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6" name="256 CuadroTexto">
          <a:extLst>
            <a:ext uri="{FF2B5EF4-FFF2-40B4-BE49-F238E27FC236}">
              <a16:creationId xmlns:a16="http://schemas.microsoft.com/office/drawing/2014/main" id="{00000000-0008-0000-2000-00009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7" name="257 CuadroTexto">
          <a:extLst>
            <a:ext uri="{FF2B5EF4-FFF2-40B4-BE49-F238E27FC236}">
              <a16:creationId xmlns:a16="http://schemas.microsoft.com/office/drawing/2014/main" id="{00000000-0008-0000-2000-00009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8" name="258 CuadroTexto">
          <a:extLst>
            <a:ext uri="{FF2B5EF4-FFF2-40B4-BE49-F238E27FC236}">
              <a16:creationId xmlns:a16="http://schemas.microsoft.com/office/drawing/2014/main" id="{00000000-0008-0000-2000-00009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9" name="259 CuadroTexto">
          <a:extLst>
            <a:ext uri="{FF2B5EF4-FFF2-40B4-BE49-F238E27FC236}">
              <a16:creationId xmlns:a16="http://schemas.microsoft.com/office/drawing/2014/main" id="{00000000-0008-0000-2000-00009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0" name="260 CuadroTexto">
          <a:extLst>
            <a:ext uri="{FF2B5EF4-FFF2-40B4-BE49-F238E27FC236}">
              <a16:creationId xmlns:a16="http://schemas.microsoft.com/office/drawing/2014/main" id="{00000000-0008-0000-2000-00009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1" name="261 CuadroTexto">
          <a:extLst>
            <a:ext uri="{FF2B5EF4-FFF2-40B4-BE49-F238E27FC236}">
              <a16:creationId xmlns:a16="http://schemas.microsoft.com/office/drawing/2014/main" id="{00000000-0008-0000-2000-00009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2" name="262 CuadroTexto">
          <a:extLst>
            <a:ext uri="{FF2B5EF4-FFF2-40B4-BE49-F238E27FC236}">
              <a16:creationId xmlns:a16="http://schemas.microsoft.com/office/drawing/2014/main" id="{00000000-0008-0000-2000-00009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3" name="263 CuadroTexto">
          <a:extLst>
            <a:ext uri="{FF2B5EF4-FFF2-40B4-BE49-F238E27FC236}">
              <a16:creationId xmlns:a16="http://schemas.microsoft.com/office/drawing/2014/main" id="{00000000-0008-0000-2000-00009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4" name="264 CuadroTexto">
          <a:extLst>
            <a:ext uri="{FF2B5EF4-FFF2-40B4-BE49-F238E27FC236}">
              <a16:creationId xmlns:a16="http://schemas.microsoft.com/office/drawing/2014/main" id="{00000000-0008-0000-2000-00009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5" name="265 CuadroTexto">
          <a:extLst>
            <a:ext uri="{FF2B5EF4-FFF2-40B4-BE49-F238E27FC236}">
              <a16:creationId xmlns:a16="http://schemas.microsoft.com/office/drawing/2014/main" id="{00000000-0008-0000-2000-00009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6" name="266 CuadroTexto">
          <a:extLst>
            <a:ext uri="{FF2B5EF4-FFF2-40B4-BE49-F238E27FC236}">
              <a16:creationId xmlns:a16="http://schemas.microsoft.com/office/drawing/2014/main" id="{00000000-0008-0000-2000-0000A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7" name="267 CuadroTexto">
          <a:extLst>
            <a:ext uri="{FF2B5EF4-FFF2-40B4-BE49-F238E27FC236}">
              <a16:creationId xmlns:a16="http://schemas.microsoft.com/office/drawing/2014/main" id="{00000000-0008-0000-2000-0000A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978" name="268 CuadroTexto">
          <a:extLst>
            <a:ext uri="{FF2B5EF4-FFF2-40B4-BE49-F238E27FC236}">
              <a16:creationId xmlns:a16="http://schemas.microsoft.com/office/drawing/2014/main" id="{00000000-0008-0000-2000-0000A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79" name="269 CuadroTexto">
          <a:extLst>
            <a:ext uri="{FF2B5EF4-FFF2-40B4-BE49-F238E27FC236}">
              <a16:creationId xmlns:a16="http://schemas.microsoft.com/office/drawing/2014/main" id="{00000000-0008-0000-2000-0000A3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0" name="270 CuadroTexto">
          <a:extLst>
            <a:ext uri="{FF2B5EF4-FFF2-40B4-BE49-F238E27FC236}">
              <a16:creationId xmlns:a16="http://schemas.microsoft.com/office/drawing/2014/main" id="{00000000-0008-0000-2000-0000A4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1" name="271 CuadroTexto">
          <a:extLst>
            <a:ext uri="{FF2B5EF4-FFF2-40B4-BE49-F238E27FC236}">
              <a16:creationId xmlns:a16="http://schemas.microsoft.com/office/drawing/2014/main" id="{00000000-0008-0000-2000-0000A5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2" name="272 CuadroTexto">
          <a:extLst>
            <a:ext uri="{FF2B5EF4-FFF2-40B4-BE49-F238E27FC236}">
              <a16:creationId xmlns:a16="http://schemas.microsoft.com/office/drawing/2014/main" id="{00000000-0008-0000-2000-0000A6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3" name="273 CuadroTexto">
          <a:extLst>
            <a:ext uri="{FF2B5EF4-FFF2-40B4-BE49-F238E27FC236}">
              <a16:creationId xmlns:a16="http://schemas.microsoft.com/office/drawing/2014/main" id="{00000000-0008-0000-2000-0000A7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4" name="274 CuadroTexto">
          <a:extLst>
            <a:ext uri="{FF2B5EF4-FFF2-40B4-BE49-F238E27FC236}">
              <a16:creationId xmlns:a16="http://schemas.microsoft.com/office/drawing/2014/main" id="{00000000-0008-0000-2000-0000A8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5" name="275 CuadroTexto">
          <a:extLst>
            <a:ext uri="{FF2B5EF4-FFF2-40B4-BE49-F238E27FC236}">
              <a16:creationId xmlns:a16="http://schemas.microsoft.com/office/drawing/2014/main" id="{00000000-0008-0000-2000-0000A9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6" name="276 CuadroTexto">
          <a:extLst>
            <a:ext uri="{FF2B5EF4-FFF2-40B4-BE49-F238E27FC236}">
              <a16:creationId xmlns:a16="http://schemas.microsoft.com/office/drawing/2014/main" id="{00000000-0008-0000-2000-0000AA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7" name="277 CuadroTexto">
          <a:extLst>
            <a:ext uri="{FF2B5EF4-FFF2-40B4-BE49-F238E27FC236}">
              <a16:creationId xmlns:a16="http://schemas.microsoft.com/office/drawing/2014/main" id="{00000000-0008-0000-2000-0000AB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8" name="278 CuadroTexto">
          <a:extLst>
            <a:ext uri="{FF2B5EF4-FFF2-40B4-BE49-F238E27FC236}">
              <a16:creationId xmlns:a16="http://schemas.microsoft.com/office/drawing/2014/main" id="{00000000-0008-0000-2000-0000AC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9" name="279 CuadroTexto">
          <a:extLst>
            <a:ext uri="{FF2B5EF4-FFF2-40B4-BE49-F238E27FC236}">
              <a16:creationId xmlns:a16="http://schemas.microsoft.com/office/drawing/2014/main" id="{00000000-0008-0000-2000-0000AD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0" name="280 CuadroTexto">
          <a:extLst>
            <a:ext uri="{FF2B5EF4-FFF2-40B4-BE49-F238E27FC236}">
              <a16:creationId xmlns:a16="http://schemas.microsoft.com/office/drawing/2014/main" id="{00000000-0008-0000-2000-0000AE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1" name="281 CuadroTexto">
          <a:extLst>
            <a:ext uri="{FF2B5EF4-FFF2-40B4-BE49-F238E27FC236}">
              <a16:creationId xmlns:a16="http://schemas.microsoft.com/office/drawing/2014/main" id="{00000000-0008-0000-2000-0000AF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2" name="282 CuadroTexto">
          <a:extLst>
            <a:ext uri="{FF2B5EF4-FFF2-40B4-BE49-F238E27FC236}">
              <a16:creationId xmlns:a16="http://schemas.microsoft.com/office/drawing/2014/main" id="{00000000-0008-0000-2000-0000B0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3" name="283 CuadroTexto">
          <a:extLst>
            <a:ext uri="{FF2B5EF4-FFF2-40B4-BE49-F238E27FC236}">
              <a16:creationId xmlns:a16="http://schemas.microsoft.com/office/drawing/2014/main" id="{00000000-0008-0000-2000-0000B1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4" name="284 CuadroTexto">
          <a:extLst>
            <a:ext uri="{FF2B5EF4-FFF2-40B4-BE49-F238E27FC236}">
              <a16:creationId xmlns:a16="http://schemas.microsoft.com/office/drawing/2014/main" id="{00000000-0008-0000-2000-0000B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995" name="285 CuadroTexto">
          <a:extLst>
            <a:ext uri="{FF2B5EF4-FFF2-40B4-BE49-F238E27FC236}">
              <a16:creationId xmlns:a16="http://schemas.microsoft.com/office/drawing/2014/main" id="{00000000-0008-0000-2000-0000B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6" name="286 CuadroTexto">
          <a:extLst>
            <a:ext uri="{FF2B5EF4-FFF2-40B4-BE49-F238E27FC236}">
              <a16:creationId xmlns:a16="http://schemas.microsoft.com/office/drawing/2014/main" id="{00000000-0008-0000-2000-0000B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7" name="287 CuadroTexto">
          <a:extLst>
            <a:ext uri="{FF2B5EF4-FFF2-40B4-BE49-F238E27FC236}">
              <a16:creationId xmlns:a16="http://schemas.microsoft.com/office/drawing/2014/main" id="{00000000-0008-0000-2000-0000B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8" name="288 CuadroTexto">
          <a:extLst>
            <a:ext uri="{FF2B5EF4-FFF2-40B4-BE49-F238E27FC236}">
              <a16:creationId xmlns:a16="http://schemas.microsoft.com/office/drawing/2014/main" id="{00000000-0008-0000-2000-0000B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9" name="289 CuadroTexto">
          <a:extLst>
            <a:ext uri="{FF2B5EF4-FFF2-40B4-BE49-F238E27FC236}">
              <a16:creationId xmlns:a16="http://schemas.microsoft.com/office/drawing/2014/main" id="{00000000-0008-0000-2000-0000B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0" name="290 CuadroTexto">
          <a:extLst>
            <a:ext uri="{FF2B5EF4-FFF2-40B4-BE49-F238E27FC236}">
              <a16:creationId xmlns:a16="http://schemas.microsoft.com/office/drawing/2014/main" id="{00000000-0008-0000-2000-0000B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1" name="291 CuadroTexto">
          <a:extLst>
            <a:ext uri="{FF2B5EF4-FFF2-40B4-BE49-F238E27FC236}">
              <a16:creationId xmlns:a16="http://schemas.microsoft.com/office/drawing/2014/main" id="{00000000-0008-0000-2000-0000B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2" name="292 CuadroTexto">
          <a:extLst>
            <a:ext uri="{FF2B5EF4-FFF2-40B4-BE49-F238E27FC236}">
              <a16:creationId xmlns:a16="http://schemas.microsoft.com/office/drawing/2014/main" id="{00000000-0008-0000-2000-0000B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3" name="293 CuadroTexto">
          <a:extLst>
            <a:ext uri="{FF2B5EF4-FFF2-40B4-BE49-F238E27FC236}">
              <a16:creationId xmlns:a16="http://schemas.microsoft.com/office/drawing/2014/main" id="{00000000-0008-0000-2000-0000B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4" name="294 CuadroTexto">
          <a:extLst>
            <a:ext uri="{FF2B5EF4-FFF2-40B4-BE49-F238E27FC236}">
              <a16:creationId xmlns:a16="http://schemas.microsoft.com/office/drawing/2014/main" id="{00000000-0008-0000-2000-0000B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5" name="295 CuadroTexto">
          <a:extLst>
            <a:ext uri="{FF2B5EF4-FFF2-40B4-BE49-F238E27FC236}">
              <a16:creationId xmlns:a16="http://schemas.microsoft.com/office/drawing/2014/main" id="{00000000-0008-0000-2000-0000B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6" name="296 CuadroTexto">
          <a:extLst>
            <a:ext uri="{FF2B5EF4-FFF2-40B4-BE49-F238E27FC236}">
              <a16:creationId xmlns:a16="http://schemas.microsoft.com/office/drawing/2014/main" id="{00000000-0008-0000-2000-0000B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7" name="17 CuadroTexto">
          <a:extLst>
            <a:ext uri="{FF2B5EF4-FFF2-40B4-BE49-F238E27FC236}">
              <a16:creationId xmlns:a16="http://schemas.microsoft.com/office/drawing/2014/main" id="{00000000-0008-0000-2000-0000B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008" name="90 CuadroTexto">
          <a:extLst>
            <a:ext uri="{FF2B5EF4-FFF2-40B4-BE49-F238E27FC236}">
              <a16:creationId xmlns:a16="http://schemas.microsoft.com/office/drawing/2014/main" id="{00000000-0008-0000-2000-0000C0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09" name="91 CuadroTexto">
          <a:extLst>
            <a:ext uri="{FF2B5EF4-FFF2-40B4-BE49-F238E27FC236}">
              <a16:creationId xmlns:a16="http://schemas.microsoft.com/office/drawing/2014/main" id="{00000000-0008-0000-2000-0000C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0" name="92 CuadroTexto">
          <a:extLst>
            <a:ext uri="{FF2B5EF4-FFF2-40B4-BE49-F238E27FC236}">
              <a16:creationId xmlns:a16="http://schemas.microsoft.com/office/drawing/2014/main" id="{00000000-0008-0000-2000-0000C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1" name="93 CuadroTexto">
          <a:extLst>
            <a:ext uri="{FF2B5EF4-FFF2-40B4-BE49-F238E27FC236}">
              <a16:creationId xmlns:a16="http://schemas.microsoft.com/office/drawing/2014/main" id="{00000000-0008-0000-2000-0000C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2" name="94 CuadroTexto">
          <a:extLst>
            <a:ext uri="{FF2B5EF4-FFF2-40B4-BE49-F238E27FC236}">
              <a16:creationId xmlns:a16="http://schemas.microsoft.com/office/drawing/2014/main" id="{00000000-0008-0000-2000-0000C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3" name="95 CuadroTexto">
          <a:extLst>
            <a:ext uri="{FF2B5EF4-FFF2-40B4-BE49-F238E27FC236}">
              <a16:creationId xmlns:a16="http://schemas.microsoft.com/office/drawing/2014/main" id="{00000000-0008-0000-2000-0000C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4" name="96 CuadroTexto">
          <a:extLst>
            <a:ext uri="{FF2B5EF4-FFF2-40B4-BE49-F238E27FC236}">
              <a16:creationId xmlns:a16="http://schemas.microsoft.com/office/drawing/2014/main" id="{00000000-0008-0000-2000-0000C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5" name="97 CuadroTexto">
          <a:extLst>
            <a:ext uri="{FF2B5EF4-FFF2-40B4-BE49-F238E27FC236}">
              <a16:creationId xmlns:a16="http://schemas.microsoft.com/office/drawing/2014/main" id="{00000000-0008-0000-2000-0000C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6" name="98 CuadroTexto">
          <a:extLst>
            <a:ext uri="{FF2B5EF4-FFF2-40B4-BE49-F238E27FC236}">
              <a16:creationId xmlns:a16="http://schemas.microsoft.com/office/drawing/2014/main" id="{00000000-0008-0000-2000-0000C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7" name="99 CuadroTexto">
          <a:extLst>
            <a:ext uri="{FF2B5EF4-FFF2-40B4-BE49-F238E27FC236}">
              <a16:creationId xmlns:a16="http://schemas.microsoft.com/office/drawing/2014/main" id="{00000000-0008-0000-2000-0000C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8" name="100 CuadroTexto">
          <a:extLst>
            <a:ext uri="{FF2B5EF4-FFF2-40B4-BE49-F238E27FC236}">
              <a16:creationId xmlns:a16="http://schemas.microsoft.com/office/drawing/2014/main" id="{00000000-0008-0000-2000-0000C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9" name="101 CuadroTexto">
          <a:extLst>
            <a:ext uri="{FF2B5EF4-FFF2-40B4-BE49-F238E27FC236}">
              <a16:creationId xmlns:a16="http://schemas.microsoft.com/office/drawing/2014/main" id="{00000000-0008-0000-2000-0000C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020" name="118 CuadroTexto">
          <a:extLst>
            <a:ext uri="{FF2B5EF4-FFF2-40B4-BE49-F238E27FC236}">
              <a16:creationId xmlns:a16="http://schemas.microsoft.com/office/drawing/2014/main" id="{00000000-0008-0000-2000-0000C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1" name="119 CuadroTexto">
          <a:extLst>
            <a:ext uri="{FF2B5EF4-FFF2-40B4-BE49-F238E27FC236}">
              <a16:creationId xmlns:a16="http://schemas.microsoft.com/office/drawing/2014/main" id="{00000000-0008-0000-2000-0000C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2" name="120 CuadroTexto">
          <a:extLst>
            <a:ext uri="{FF2B5EF4-FFF2-40B4-BE49-F238E27FC236}">
              <a16:creationId xmlns:a16="http://schemas.microsoft.com/office/drawing/2014/main" id="{00000000-0008-0000-2000-0000C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3" name="121 CuadroTexto">
          <a:extLst>
            <a:ext uri="{FF2B5EF4-FFF2-40B4-BE49-F238E27FC236}">
              <a16:creationId xmlns:a16="http://schemas.microsoft.com/office/drawing/2014/main" id="{00000000-0008-0000-2000-0000C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4" name="122 CuadroTexto">
          <a:extLst>
            <a:ext uri="{FF2B5EF4-FFF2-40B4-BE49-F238E27FC236}">
              <a16:creationId xmlns:a16="http://schemas.microsoft.com/office/drawing/2014/main" id="{00000000-0008-0000-2000-0000D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5" name="123 CuadroTexto">
          <a:extLst>
            <a:ext uri="{FF2B5EF4-FFF2-40B4-BE49-F238E27FC236}">
              <a16:creationId xmlns:a16="http://schemas.microsoft.com/office/drawing/2014/main" id="{00000000-0008-0000-2000-0000D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6" name="124 CuadroTexto">
          <a:extLst>
            <a:ext uri="{FF2B5EF4-FFF2-40B4-BE49-F238E27FC236}">
              <a16:creationId xmlns:a16="http://schemas.microsoft.com/office/drawing/2014/main" id="{00000000-0008-0000-2000-0000D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7" name="125 CuadroTexto">
          <a:extLst>
            <a:ext uri="{FF2B5EF4-FFF2-40B4-BE49-F238E27FC236}">
              <a16:creationId xmlns:a16="http://schemas.microsoft.com/office/drawing/2014/main" id="{00000000-0008-0000-2000-0000D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8" name="143 CuadroTexto">
          <a:extLst>
            <a:ext uri="{FF2B5EF4-FFF2-40B4-BE49-F238E27FC236}">
              <a16:creationId xmlns:a16="http://schemas.microsoft.com/office/drawing/2014/main" id="{00000000-0008-0000-2000-0000D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9" name="144 CuadroTexto">
          <a:extLst>
            <a:ext uri="{FF2B5EF4-FFF2-40B4-BE49-F238E27FC236}">
              <a16:creationId xmlns:a16="http://schemas.microsoft.com/office/drawing/2014/main" id="{00000000-0008-0000-2000-0000D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0" name="145 CuadroTexto">
          <a:extLst>
            <a:ext uri="{FF2B5EF4-FFF2-40B4-BE49-F238E27FC236}">
              <a16:creationId xmlns:a16="http://schemas.microsoft.com/office/drawing/2014/main" id="{00000000-0008-0000-2000-0000D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1" name="146 CuadroTexto">
          <a:extLst>
            <a:ext uri="{FF2B5EF4-FFF2-40B4-BE49-F238E27FC236}">
              <a16:creationId xmlns:a16="http://schemas.microsoft.com/office/drawing/2014/main" id="{00000000-0008-0000-2000-0000D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2" name="147 CuadroTexto">
          <a:extLst>
            <a:ext uri="{FF2B5EF4-FFF2-40B4-BE49-F238E27FC236}">
              <a16:creationId xmlns:a16="http://schemas.microsoft.com/office/drawing/2014/main" id="{00000000-0008-0000-2000-0000D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3" name="148 CuadroTexto">
          <a:extLst>
            <a:ext uri="{FF2B5EF4-FFF2-40B4-BE49-F238E27FC236}">
              <a16:creationId xmlns:a16="http://schemas.microsoft.com/office/drawing/2014/main" id="{00000000-0008-0000-2000-0000D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4" name="149 CuadroTexto">
          <a:extLst>
            <a:ext uri="{FF2B5EF4-FFF2-40B4-BE49-F238E27FC236}">
              <a16:creationId xmlns:a16="http://schemas.microsoft.com/office/drawing/2014/main" id="{00000000-0008-0000-2000-0000D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5" name="150 CuadroTexto">
          <a:extLst>
            <a:ext uri="{FF2B5EF4-FFF2-40B4-BE49-F238E27FC236}">
              <a16:creationId xmlns:a16="http://schemas.microsoft.com/office/drawing/2014/main" id="{00000000-0008-0000-2000-0000D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6" name="151 CuadroTexto">
          <a:extLst>
            <a:ext uri="{FF2B5EF4-FFF2-40B4-BE49-F238E27FC236}">
              <a16:creationId xmlns:a16="http://schemas.microsoft.com/office/drawing/2014/main" id="{00000000-0008-0000-2000-0000D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7" name="152 CuadroTexto">
          <a:extLst>
            <a:ext uri="{FF2B5EF4-FFF2-40B4-BE49-F238E27FC236}">
              <a16:creationId xmlns:a16="http://schemas.microsoft.com/office/drawing/2014/main" id="{00000000-0008-0000-2000-0000D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8" name="153 CuadroTexto">
          <a:extLst>
            <a:ext uri="{FF2B5EF4-FFF2-40B4-BE49-F238E27FC236}">
              <a16:creationId xmlns:a16="http://schemas.microsoft.com/office/drawing/2014/main" id="{00000000-0008-0000-2000-0000D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9" name="154 CuadroTexto">
          <a:extLst>
            <a:ext uri="{FF2B5EF4-FFF2-40B4-BE49-F238E27FC236}">
              <a16:creationId xmlns:a16="http://schemas.microsoft.com/office/drawing/2014/main" id="{00000000-0008-0000-2000-0000D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0" name="155 CuadroTexto">
          <a:extLst>
            <a:ext uri="{FF2B5EF4-FFF2-40B4-BE49-F238E27FC236}">
              <a16:creationId xmlns:a16="http://schemas.microsoft.com/office/drawing/2014/main" id="{00000000-0008-0000-2000-0000E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1" name="156 CuadroTexto">
          <a:extLst>
            <a:ext uri="{FF2B5EF4-FFF2-40B4-BE49-F238E27FC236}">
              <a16:creationId xmlns:a16="http://schemas.microsoft.com/office/drawing/2014/main" id="{00000000-0008-0000-2000-0000E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2" name="157 CuadroTexto">
          <a:extLst>
            <a:ext uri="{FF2B5EF4-FFF2-40B4-BE49-F238E27FC236}">
              <a16:creationId xmlns:a16="http://schemas.microsoft.com/office/drawing/2014/main" id="{00000000-0008-0000-2000-0000E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3" name="158 CuadroTexto">
          <a:extLst>
            <a:ext uri="{FF2B5EF4-FFF2-40B4-BE49-F238E27FC236}">
              <a16:creationId xmlns:a16="http://schemas.microsoft.com/office/drawing/2014/main" id="{00000000-0008-0000-2000-0000E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4" name="159 CuadroTexto">
          <a:extLst>
            <a:ext uri="{FF2B5EF4-FFF2-40B4-BE49-F238E27FC236}">
              <a16:creationId xmlns:a16="http://schemas.microsoft.com/office/drawing/2014/main" id="{00000000-0008-0000-2000-0000E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5" name="160 CuadroTexto">
          <a:extLst>
            <a:ext uri="{FF2B5EF4-FFF2-40B4-BE49-F238E27FC236}">
              <a16:creationId xmlns:a16="http://schemas.microsoft.com/office/drawing/2014/main" id="{00000000-0008-0000-2000-0000E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6" name="161 CuadroTexto">
          <a:extLst>
            <a:ext uri="{FF2B5EF4-FFF2-40B4-BE49-F238E27FC236}">
              <a16:creationId xmlns:a16="http://schemas.microsoft.com/office/drawing/2014/main" id="{00000000-0008-0000-2000-0000E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7" name="162 CuadroTexto">
          <a:extLst>
            <a:ext uri="{FF2B5EF4-FFF2-40B4-BE49-F238E27FC236}">
              <a16:creationId xmlns:a16="http://schemas.microsoft.com/office/drawing/2014/main" id="{00000000-0008-0000-2000-0000E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8" name="163 CuadroTexto">
          <a:extLst>
            <a:ext uri="{FF2B5EF4-FFF2-40B4-BE49-F238E27FC236}">
              <a16:creationId xmlns:a16="http://schemas.microsoft.com/office/drawing/2014/main" id="{00000000-0008-0000-2000-0000E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9" name="164 CuadroTexto">
          <a:extLst>
            <a:ext uri="{FF2B5EF4-FFF2-40B4-BE49-F238E27FC236}">
              <a16:creationId xmlns:a16="http://schemas.microsoft.com/office/drawing/2014/main" id="{00000000-0008-0000-2000-0000E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0" name="165 CuadroTexto">
          <a:extLst>
            <a:ext uri="{FF2B5EF4-FFF2-40B4-BE49-F238E27FC236}">
              <a16:creationId xmlns:a16="http://schemas.microsoft.com/office/drawing/2014/main" id="{00000000-0008-0000-2000-0000E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1" name="166 CuadroTexto">
          <a:extLst>
            <a:ext uri="{FF2B5EF4-FFF2-40B4-BE49-F238E27FC236}">
              <a16:creationId xmlns:a16="http://schemas.microsoft.com/office/drawing/2014/main" id="{00000000-0008-0000-2000-0000E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2" name="167 CuadroTexto">
          <a:extLst>
            <a:ext uri="{FF2B5EF4-FFF2-40B4-BE49-F238E27FC236}">
              <a16:creationId xmlns:a16="http://schemas.microsoft.com/office/drawing/2014/main" id="{00000000-0008-0000-2000-0000E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3" name="168 CuadroTexto">
          <a:extLst>
            <a:ext uri="{FF2B5EF4-FFF2-40B4-BE49-F238E27FC236}">
              <a16:creationId xmlns:a16="http://schemas.microsoft.com/office/drawing/2014/main" id="{00000000-0008-0000-2000-0000E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4" name="169 CuadroTexto">
          <a:extLst>
            <a:ext uri="{FF2B5EF4-FFF2-40B4-BE49-F238E27FC236}">
              <a16:creationId xmlns:a16="http://schemas.microsoft.com/office/drawing/2014/main" id="{00000000-0008-0000-2000-0000E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5" name="170 CuadroTexto">
          <a:extLst>
            <a:ext uri="{FF2B5EF4-FFF2-40B4-BE49-F238E27FC236}">
              <a16:creationId xmlns:a16="http://schemas.microsoft.com/office/drawing/2014/main" id="{00000000-0008-0000-2000-0000E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6" name="171 CuadroTexto">
          <a:extLst>
            <a:ext uri="{FF2B5EF4-FFF2-40B4-BE49-F238E27FC236}">
              <a16:creationId xmlns:a16="http://schemas.microsoft.com/office/drawing/2014/main" id="{00000000-0008-0000-2000-0000F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7" name="172 CuadroTexto">
          <a:extLst>
            <a:ext uri="{FF2B5EF4-FFF2-40B4-BE49-F238E27FC236}">
              <a16:creationId xmlns:a16="http://schemas.microsoft.com/office/drawing/2014/main" id="{00000000-0008-0000-2000-0000F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8" name="173 CuadroTexto">
          <a:extLst>
            <a:ext uri="{FF2B5EF4-FFF2-40B4-BE49-F238E27FC236}">
              <a16:creationId xmlns:a16="http://schemas.microsoft.com/office/drawing/2014/main" id="{00000000-0008-0000-2000-0000F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9" name="174 CuadroTexto">
          <a:extLst>
            <a:ext uri="{FF2B5EF4-FFF2-40B4-BE49-F238E27FC236}">
              <a16:creationId xmlns:a16="http://schemas.microsoft.com/office/drawing/2014/main" id="{00000000-0008-0000-2000-0000F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0" name="175 CuadroTexto">
          <a:extLst>
            <a:ext uri="{FF2B5EF4-FFF2-40B4-BE49-F238E27FC236}">
              <a16:creationId xmlns:a16="http://schemas.microsoft.com/office/drawing/2014/main" id="{00000000-0008-0000-2000-0000F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1" name="176 CuadroTexto">
          <a:extLst>
            <a:ext uri="{FF2B5EF4-FFF2-40B4-BE49-F238E27FC236}">
              <a16:creationId xmlns:a16="http://schemas.microsoft.com/office/drawing/2014/main" id="{00000000-0008-0000-2000-0000F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2" name="177 CuadroTexto">
          <a:extLst>
            <a:ext uri="{FF2B5EF4-FFF2-40B4-BE49-F238E27FC236}">
              <a16:creationId xmlns:a16="http://schemas.microsoft.com/office/drawing/2014/main" id="{00000000-0008-0000-2000-0000F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3" name="178 CuadroTexto">
          <a:extLst>
            <a:ext uri="{FF2B5EF4-FFF2-40B4-BE49-F238E27FC236}">
              <a16:creationId xmlns:a16="http://schemas.microsoft.com/office/drawing/2014/main" id="{00000000-0008-0000-2000-0000F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4" name="179 CuadroTexto">
          <a:extLst>
            <a:ext uri="{FF2B5EF4-FFF2-40B4-BE49-F238E27FC236}">
              <a16:creationId xmlns:a16="http://schemas.microsoft.com/office/drawing/2014/main" id="{00000000-0008-0000-2000-0000F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5" name="180 CuadroTexto">
          <a:extLst>
            <a:ext uri="{FF2B5EF4-FFF2-40B4-BE49-F238E27FC236}">
              <a16:creationId xmlns:a16="http://schemas.microsoft.com/office/drawing/2014/main" id="{00000000-0008-0000-2000-0000F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6" name="181 CuadroTexto">
          <a:extLst>
            <a:ext uri="{FF2B5EF4-FFF2-40B4-BE49-F238E27FC236}">
              <a16:creationId xmlns:a16="http://schemas.microsoft.com/office/drawing/2014/main" id="{00000000-0008-0000-2000-0000F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7" name="182 CuadroTexto">
          <a:extLst>
            <a:ext uri="{FF2B5EF4-FFF2-40B4-BE49-F238E27FC236}">
              <a16:creationId xmlns:a16="http://schemas.microsoft.com/office/drawing/2014/main" id="{00000000-0008-0000-2000-0000F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8" name="183 CuadroTexto">
          <a:extLst>
            <a:ext uri="{FF2B5EF4-FFF2-40B4-BE49-F238E27FC236}">
              <a16:creationId xmlns:a16="http://schemas.microsoft.com/office/drawing/2014/main" id="{00000000-0008-0000-2000-0000F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9" name="184 CuadroTexto">
          <a:extLst>
            <a:ext uri="{FF2B5EF4-FFF2-40B4-BE49-F238E27FC236}">
              <a16:creationId xmlns:a16="http://schemas.microsoft.com/office/drawing/2014/main" id="{00000000-0008-0000-2000-0000F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0" name="185 CuadroTexto">
          <a:extLst>
            <a:ext uri="{FF2B5EF4-FFF2-40B4-BE49-F238E27FC236}">
              <a16:creationId xmlns:a16="http://schemas.microsoft.com/office/drawing/2014/main" id="{00000000-0008-0000-2000-0000F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1" name="186 CuadroTexto">
          <a:extLst>
            <a:ext uri="{FF2B5EF4-FFF2-40B4-BE49-F238E27FC236}">
              <a16:creationId xmlns:a16="http://schemas.microsoft.com/office/drawing/2014/main" id="{00000000-0008-0000-2000-0000F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2" name="187 CuadroTexto">
          <a:extLst>
            <a:ext uri="{FF2B5EF4-FFF2-40B4-BE49-F238E27FC236}">
              <a16:creationId xmlns:a16="http://schemas.microsoft.com/office/drawing/2014/main" id="{00000000-0008-0000-2000-00000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3" name="188 CuadroTexto">
          <a:extLst>
            <a:ext uri="{FF2B5EF4-FFF2-40B4-BE49-F238E27FC236}">
              <a16:creationId xmlns:a16="http://schemas.microsoft.com/office/drawing/2014/main" id="{00000000-0008-0000-2000-00000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4" name="189 CuadroTexto">
          <a:extLst>
            <a:ext uri="{FF2B5EF4-FFF2-40B4-BE49-F238E27FC236}">
              <a16:creationId xmlns:a16="http://schemas.microsoft.com/office/drawing/2014/main" id="{00000000-0008-0000-2000-00000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5" name="190 CuadroTexto">
          <a:extLst>
            <a:ext uri="{FF2B5EF4-FFF2-40B4-BE49-F238E27FC236}">
              <a16:creationId xmlns:a16="http://schemas.microsoft.com/office/drawing/2014/main" id="{00000000-0008-0000-2000-00000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6" name="191 CuadroTexto">
          <a:extLst>
            <a:ext uri="{FF2B5EF4-FFF2-40B4-BE49-F238E27FC236}">
              <a16:creationId xmlns:a16="http://schemas.microsoft.com/office/drawing/2014/main" id="{00000000-0008-0000-2000-00000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7" name="192 CuadroTexto">
          <a:extLst>
            <a:ext uri="{FF2B5EF4-FFF2-40B4-BE49-F238E27FC236}">
              <a16:creationId xmlns:a16="http://schemas.microsoft.com/office/drawing/2014/main" id="{00000000-0008-0000-2000-00000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8" name="193 CuadroTexto">
          <a:extLst>
            <a:ext uri="{FF2B5EF4-FFF2-40B4-BE49-F238E27FC236}">
              <a16:creationId xmlns:a16="http://schemas.microsoft.com/office/drawing/2014/main" id="{00000000-0008-0000-2000-00000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9" name="194 CuadroTexto">
          <a:extLst>
            <a:ext uri="{FF2B5EF4-FFF2-40B4-BE49-F238E27FC236}">
              <a16:creationId xmlns:a16="http://schemas.microsoft.com/office/drawing/2014/main" id="{00000000-0008-0000-2000-00000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0" name="195 CuadroTexto">
          <a:extLst>
            <a:ext uri="{FF2B5EF4-FFF2-40B4-BE49-F238E27FC236}">
              <a16:creationId xmlns:a16="http://schemas.microsoft.com/office/drawing/2014/main" id="{00000000-0008-0000-2000-00000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1" name="196 CuadroTexto">
          <a:extLst>
            <a:ext uri="{FF2B5EF4-FFF2-40B4-BE49-F238E27FC236}">
              <a16:creationId xmlns:a16="http://schemas.microsoft.com/office/drawing/2014/main" id="{00000000-0008-0000-2000-00000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2" name="197 CuadroTexto">
          <a:extLst>
            <a:ext uri="{FF2B5EF4-FFF2-40B4-BE49-F238E27FC236}">
              <a16:creationId xmlns:a16="http://schemas.microsoft.com/office/drawing/2014/main" id="{00000000-0008-0000-2000-00000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3" name="198 CuadroTexto">
          <a:extLst>
            <a:ext uri="{FF2B5EF4-FFF2-40B4-BE49-F238E27FC236}">
              <a16:creationId xmlns:a16="http://schemas.microsoft.com/office/drawing/2014/main" id="{00000000-0008-0000-2000-00000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4" name="199 CuadroTexto">
          <a:extLst>
            <a:ext uri="{FF2B5EF4-FFF2-40B4-BE49-F238E27FC236}">
              <a16:creationId xmlns:a16="http://schemas.microsoft.com/office/drawing/2014/main" id="{00000000-0008-0000-2000-00000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5" name="200 CuadroTexto">
          <a:extLst>
            <a:ext uri="{FF2B5EF4-FFF2-40B4-BE49-F238E27FC236}">
              <a16:creationId xmlns:a16="http://schemas.microsoft.com/office/drawing/2014/main" id="{00000000-0008-0000-2000-00000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6" name="201 CuadroTexto">
          <a:extLst>
            <a:ext uri="{FF2B5EF4-FFF2-40B4-BE49-F238E27FC236}">
              <a16:creationId xmlns:a16="http://schemas.microsoft.com/office/drawing/2014/main" id="{00000000-0008-0000-2000-00000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7" name="202 CuadroTexto">
          <a:extLst>
            <a:ext uri="{FF2B5EF4-FFF2-40B4-BE49-F238E27FC236}">
              <a16:creationId xmlns:a16="http://schemas.microsoft.com/office/drawing/2014/main" id="{00000000-0008-0000-2000-00000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8" name="203 CuadroTexto">
          <a:extLst>
            <a:ext uri="{FF2B5EF4-FFF2-40B4-BE49-F238E27FC236}">
              <a16:creationId xmlns:a16="http://schemas.microsoft.com/office/drawing/2014/main" id="{00000000-0008-0000-2000-00001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9" name="204 CuadroTexto">
          <a:extLst>
            <a:ext uri="{FF2B5EF4-FFF2-40B4-BE49-F238E27FC236}">
              <a16:creationId xmlns:a16="http://schemas.microsoft.com/office/drawing/2014/main" id="{00000000-0008-0000-2000-00001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0" name="205 CuadroTexto">
          <a:extLst>
            <a:ext uri="{FF2B5EF4-FFF2-40B4-BE49-F238E27FC236}">
              <a16:creationId xmlns:a16="http://schemas.microsoft.com/office/drawing/2014/main" id="{00000000-0008-0000-2000-00001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1" name="206 CuadroTexto">
          <a:extLst>
            <a:ext uri="{FF2B5EF4-FFF2-40B4-BE49-F238E27FC236}">
              <a16:creationId xmlns:a16="http://schemas.microsoft.com/office/drawing/2014/main" id="{00000000-0008-0000-2000-00001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2" name="207 CuadroTexto">
          <a:extLst>
            <a:ext uri="{FF2B5EF4-FFF2-40B4-BE49-F238E27FC236}">
              <a16:creationId xmlns:a16="http://schemas.microsoft.com/office/drawing/2014/main" id="{00000000-0008-0000-2000-00001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3" name="208 CuadroTexto">
          <a:extLst>
            <a:ext uri="{FF2B5EF4-FFF2-40B4-BE49-F238E27FC236}">
              <a16:creationId xmlns:a16="http://schemas.microsoft.com/office/drawing/2014/main" id="{00000000-0008-0000-2000-00001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4" name="209 CuadroTexto">
          <a:extLst>
            <a:ext uri="{FF2B5EF4-FFF2-40B4-BE49-F238E27FC236}">
              <a16:creationId xmlns:a16="http://schemas.microsoft.com/office/drawing/2014/main" id="{00000000-0008-0000-2000-00001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5" name="210 CuadroTexto">
          <a:extLst>
            <a:ext uri="{FF2B5EF4-FFF2-40B4-BE49-F238E27FC236}">
              <a16:creationId xmlns:a16="http://schemas.microsoft.com/office/drawing/2014/main" id="{00000000-0008-0000-2000-00001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6" name="211 CuadroTexto">
          <a:extLst>
            <a:ext uri="{FF2B5EF4-FFF2-40B4-BE49-F238E27FC236}">
              <a16:creationId xmlns:a16="http://schemas.microsoft.com/office/drawing/2014/main" id="{00000000-0008-0000-2000-00001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7" name="212 CuadroTexto">
          <a:extLst>
            <a:ext uri="{FF2B5EF4-FFF2-40B4-BE49-F238E27FC236}">
              <a16:creationId xmlns:a16="http://schemas.microsoft.com/office/drawing/2014/main" id="{00000000-0008-0000-2000-00001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8" name="213 CuadroTexto">
          <a:extLst>
            <a:ext uri="{FF2B5EF4-FFF2-40B4-BE49-F238E27FC236}">
              <a16:creationId xmlns:a16="http://schemas.microsoft.com/office/drawing/2014/main" id="{00000000-0008-0000-2000-00001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9" name="214 CuadroTexto">
          <a:extLst>
            <a:ext uri="{FF2B5EF4-FFF2-40B4-BE49-F238E27FC236}">
              <a16:creationId xmlns:a16="http://schemas.microsoft.com/office/drawing/2014/main" id="{00000000-0008-0000-2000-00001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0" name="215 CuadroTexto">
          <a:extLst>
            <a:ext uri="{FF2B5EF4-FFF2-40B4-BE49-F238E27FC236}">
              <a16:creationId xmlns:a16="http://schemas.microsoft.com/office/drawing/2014/main" id="{00000000-0008-0000-2000-00001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1" name="216 CuadroTexto">
          <a:extLst>
            <a:ext uri="{FF2B5EF4-FFF2-40B4-BE49-F238E27FC236}">
              <a16:creationId xmlns:a16="http://schemas.microsoft.com/office/drawing/2014/main" id="{00000000-0008-0000-2000-00001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2" name="217 CuadroTexto">
          <a:extLst>
            <a:ext uri="{FF2B5EF4-FFF2-40B4-BE49-F238E27FC236}">
              <a16:creationId xmlns:a16="http://schemas.microsoft.com/office/drawing/2014/main" id="{00000000-0008-0000-2000-00001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3" name="218 CuadroTexto">
          <a:extLst>
            <a:ext uri="{FF2B5EF4-FFF2-40B4-BE49-F238E27FC236}">
              <a16:creationId xmlns:a16="http://schemas.microsoft.com/office/drawing/2014/main" id="{00000000-0008-0000-2000-00001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4" name="219 CuadroTexto">
          <a:extLst>
            <a:ext uri="{FF2B5EF4-FFF2-40B4-BE49-F238E27FC236}">
              <a16:creationId xmlns:a16="http://schemas.microsoft.com/office/drawing/2014/main" id="{00000000-0008-0000-2000-00002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5" name="220 CuadroTexto">
          <a:extLst>
            <a:ext uri="{FF2B5EF4-FFF2-40B4-BE49-F238E27FC236}">
              <a16:creationId xmlns:a16="http://schemas.microsoft.com/office/drawing/2014/main" id="{00000000-0008-0000-2000-00002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6" name="221 CuadroTexto">
          <a:extLst>
            <a:ext uri="{FF2B5EF4-FFF2-40B4-BE49-F238E27FC236}">
              <a16:creationId xmlns:a16="http://schemas.microsoft.com/office/drawing/2014/main" id="{00000000-0008-0000-2000-00002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7" name="222 CuadroTexto">
          <a:extLst>
            <a:ext uri="{FF2B5EF4-FFF2-40B4-BE49-F238E27FC236}">
              <a16:creationId xmlns:a16="http://schemas.microsoft.com/office/drawing/2014/main" id="{00000000-0008-0000-2000-00002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8" name="223 CuadroTexto">
          <a:extLst>
            <a:ext uri="{FF2B5EF4-FFF2-40B4-BE49-F238E27FC236}">
              <a16:creationId xmlns:a16="http://schemas.microsoft.com/office/drawing/2014/main" id="{00000000-0008-0000-2000-00002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9" name="224 CuadroTexto">
          <a:extLst>
            <a:ext uri="{FF2B5EF4-FFF2-40B4-BE49-F238E27FC236}">
              <a16:creationId xmlns:a16="http://schemas.microsoft.com/office/drawing/2014/main" id="{00000000-0008-0000-2000-00002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0" name="225 CuadroTexto">
          <a:extLst>
            <a:ext uri="{FF2B5EF4-FFF2-40B4-BE49-F238E27FC236}">
              <a16:creationId xmlns:a16="http://schemas.microsoft.com/office/drawing/2014/main" id="{00000000-0008-0000-2000-00002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1" name="226 CuadroTexto">
          <a:extLst>
            <a:ext uri="{FF2B5EF4-FFF2-40B4-BE49-F238E27FC236}">
              <a16:creationId xmlns:a16="http://schemas.microsoft.com/office/drawing/2014/main" id="{00000000-0008-0000-2000-00002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2" name="227 CuadroTexto">
          <a:extLst>
            <a:ext uri="{FF2B5EF4-FFF2-40B4-BE49-F238E27FC236}">
              <a16:creationId xmlns:a16="http://schemas.microsoft.com/office/drawing/2014/main" id="{00000000-0008-0000-2000-00002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3" name="228 CuadroTexto">
          <a:extLst>
            <a:ext uri="{FF2B5EF4-FFF2-40B4-BE49-F238E27FC236}">
              <a16:creationId xmlns:a16="http://schemas.microsoft.com/office/drawing/2014/main" id="{00000000-0008-0000-2000-00002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4" name="229 CuadroTexto">
          <a:extLst>
            <a:ext uri="{FF2B5EF4-FFF2-40B4-BE49-F238E27FC236}">
              <a16:creationId xmlns:a16="http://schemas.microsoft.com/office/drawing/2014/main" id="{00000000-0008-0000-2000-00002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5" name="230 CuadroTexto">
          <a:extLst>
            <a:ext uri="{FF2B5EF4-FFF2-40B4-BE49-F238E27FC236}">
              <a16:creationId xmlns:a16="http://schemas.microsoft.com/office/drawing/2014/main" id="{00000000-0008-0000-2000-00002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6" name="231 CuadroTexto">
          <a:extLst>
            <a:ext uri="{FF2B5EF4-FFF2-40B4-BE49-F238E27FC236}">
              <a16:creationId xmlns:a16="http://schemas.microsoft.com/office/drawing/2014/main" id="{00000000-0008-0000-2000-00002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7" name="232 CuadroTexto">
          <a:extLst>
            <a:ext uri="{FF2B5EF4-FFF2-40B4-BE49-F238E27FC236}">
              <a16:creationId xmlns:a16="http://schemas.microsoft.com/office/drawing/2014/main" id="{00000000-0008-0000-2000-00002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8" name="233 CuadroTexto">
          <a:extLst>
            <a:ext uri="{FF2B5EF4-FFF2-40B4-BE49-F238E27FC236}">
              <a16:creationId xmlns:a16="http://schemas.microsoft.com/office/drawing/2014/main" id="{00000000-0008-0000-2000-00002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9" name="234 CuadroTexto">
          <a:extLst>
            <a:ext uri="{FF2B5EF4-FFF2-40B4-BE49-F238E27FC236}">
              <a16:creationId xmlns:a16="http://schemas.microsoft.com/office/drawing/2014/main" id="{00000000-0008-0000-2000-00002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0" name="235 CuadroTexto">
          <a:extLst>
            <a:ext uri="{FF2B5EF4-FFF2-40B4-BE49-F238E27FC236}">
              <a16:creationId xmlns:a16="http://schemas.microsoft.com/office/drawing/2014/main" id="{00000000-0008-0000-2000-00003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1" name="236 CuadroTexto">
          <a:extLst>
            <a:ext uri="{FF2B5EF4-FFF2-40B4-BE49-F238E27FC236}">
              <a16:creationId xmlns:a16="http://schemas.microsoft.com/office/drawing/2014/main" id="{00000000-0008-0000-2000-00003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2" name="237 CuadroTexto">
          <a:extLst>
            <a:ext uri="{FF2B5EF4-FFF2-40B4-BE49-F238E27FC236}">
              <a16:creationId xmlns:a16="http://schemas.microsoft.com/office/drawing/2014/main" id="{00000000-0008-0000-2000-00003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3" name="238 CuadroTexto">
          <a:extLst>
            <a:ext uri="{FF2B5EF4-FFF2-40B4-BE49-F238E27FC236}">
              <a16:creationId xmlns:a16="http://schemas.microsoft.com/office/drawing/2014/main" id="{00000000-0008-0000-2000-00003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4" name="239 CuadroTexto">
          <a:extLst>
            <a:ext uri="{FF2B5EF4-FFF2-40B4-BE49-F238E27FC236}">
              <a16:creationId xmlns:a16="http://schemas.microsoft.com/office/drawing/2014/main" id="{00000000-0008-0000-2000-00003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5" name="240 CuadroTexto">
          <a:extLst>
            <a:ext uri="{FF2B5EF4-FFF2-40B4-BE49-F238E27FC236}">
              <a16:creationId xmlns:a16="http://schemas.microsoft.com/office/drawing/2014/main" id="{00000000-0008-0000-2000-00003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6" name="241 CuadroTexto">
          <a:extLst>
            <a:ext uri="{FF2B5EF4-FFF2-40B4-BE49-F238E27FC236}">
              <a16:creationId xmlns:a16="http://schemas.microsoft.com/office/drawing/2014/main" id="{00000000-0008-0000-2000-00003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7" name="242 CuadroTexto">
          <a:extLst>
            <a:ext uri="{FF2B5EF4-FFF2-40B4-BE49-F238E27FC236}">
              <a16:creationId xmlns:a16="http://schemas.microsoft.com/office/drawing/2014/main" id="{00000000-0008-0000-2000-00003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8" name="243 CuadroTexto">
          <a:extLst>
            <a:ext uri="{FF2B5EF4-FFF2-40B4-BE49-F238E27FC236}">
              <a16:creationId xmlns:a16="http://schemas.microsoft.com/office/drawing/2014/main" id="{00000000-0008-0000-2000-00003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9" name="244 CuadroTexto">
          <a:extLst>
            <a:ext uri="{FF2B5EF4-FFF2-40B4-BE49-F238E27FC236}">
              <a16:creationId xmlns:a16="http://schemas.microsoft.com/office/drawing/2014/main" id="{00000000-0008-0000-2000-00003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0" name="245 CuadroTexto">
          <a:extLst>
            <a:ext uri="{FF2B5EF4-FFF2-40B4-BE49-F238E27FC236}">
              <a16:creationId xmlns:a16="http://schemas.microsoft.com/office/drawing/2014/main" id="{00000000-0008-0000-2000-00003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1" name="246 CuadroTexto">
          <a:extLst>
            <a:ext uri="{FF2B5EF4-FFF2-40B4-BE49-F238E27FC236}">
              <a16:creationId xmlns:a16="http://schemas.microsoft.com/office/drawing/2014/main" id="{00000000-0008-0000-2000-00003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2" name="247 CuadroTexto">
          <a:extLst>
            <a:ext uri="{FF2B5EF4-FFF2-40B4-BE49-F238E27FC236}">
              <a16:creationId xmlns:a16="http://schemas.microsoft.com/office/drawing/2014/main" id="{00000000-0008-0000-2000-00003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3" name="248 CuadroTexto">
          <a:extLst>
            <a:ext uri="{FF2B5EF4-FFF2-40B4-BE49-F238E27FC236}">
              <a16:creationId xmlns:a16="http://schemas.microsoft.com/office/drawing/2014/main" id="{00000000-0008-0000-2000-00003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4" name="249 CuadroTexto">
          <a:extLst>
            <a:ext uri="{FF2B5EF4-FFF2-40B4-BE49-F238E27FC236}">
              <a16:creationId xmlns:a16="http://schemas.microsoft.com/office/drawing/2014/main" id="{00000000-0008-0000-2000-00003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5" name="250 CuadroTexto">
          <a:extLst>
            <a:ext uri="{FF2B5EF4-FFF2-40B4-BE49-F238E27FC236}">
              <a16:creationId xmlns:a16="http://schemas.microsoft.com/office/drawing/2014/main" id="{00000000-0008-0000-2000-00003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6" name="251 CuadroTexto">
          <a:extLst>
            <a:ext uri="{FF2B5EF4-FFF2-40B4-BE49-F238E27FC236}">
              <a16:creationId xmlns:a16="http://schemas.microsoft.com/office/drawing/2014/main" id="{00000000-0008-0000-2000-00004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7" name="252 CuadroTexto">
          <a:extLst>
            <a:ext uri="{FF2B5EF4-FFF2-40B4-BE49-F238E27FC236}">
              <a16:creationId xmlns:a16="http://schemas.microsoft.com/office/drawing/2014/main" id="{00000000-0008-0000-2000-00004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8" name="253 CuadroTexto">
          <a:extLst>
            <a:ext uri="{FF2B5EF4-FFF2-40B4-BE49-F238E27FC236}">
              <a16:creationId xmlns:a16="http://schemas.microsoft.com/office/drawing/2014/main" id="{00000000-0008-0000-2000-00004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9" name="254 CuadroTexto">
          <a:extLst>
            <a:ext uri="{FF2B5EF4-FFF2-40B4-BE49-F238E27FC236}">
              <a16:creationId xmlns:a16="http://schemas.microsoft.com/office/drawing/2014/main" id="{00000000-0008-0000-2000-00004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0" name="255 CuadroTexto">
          <a:extLst>
            <a:ext uri="{FF2B5EF4-FFF2-40B4-BE49-F238E27FC236}">
              <a16:creationId xmlns:a16="http://schemas.microsoft.com/office/drawing/2014/main" id="{00000000-0008-0000-2000-00004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1" name="256 CuadroTexto">
          <a:extLst>
            <a:ext uri="{FF2B5EF4-FFF2-40B4-BE49-F238E27FC236}">
              <a16:creationId xmlns:a16="http://schemas.microsoft.com/office/drawing/2014/main" id="{00000000-0008-0000-2000-00004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2" name="257 CuadroTexto">
          <a:extLst>
            <a:ext uri="{FF2B5EF4-FFF2-40B4-BE49-F238E27FC236}">
              <a16:creationId xmlns:a16="http://schemas.microsoft.com/office/drawing/2014/main" id="{00000000-0008-0000-2000-00004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3" name="258 CuadroTexto">
          <a:extLst>
            <a:ext uri="{FF2B5EF4-FFF2-40B4-BE49-F238E27FC236}">
              <a16:creationId xmlns:a16="http://schemas.microsoft.com/office/drawing/2014/main" id="{00000000-0008-0000-2000-00004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4" name="259 CuadroTexto">
          <a:extLst>
            <a:ext uri="{FF2B5EF4-FFF2-40B4-BE49-F238E27FC236}">
              <a16:creationId xmlns:a16="http://schemas.microsoft.com/office/drawing/2014/main" id="{00000000-0008-0000-2000-00004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5" name="260 CuadroTexto">
          <a:extLst>
            <a:ext uri="{FF2B5EF4-FFF2-40B4-BE49-F238E27FC236}">
              <a16:creationId xmlns:a16="http://schemas.microsoft.com/office/drawing/2014/main" id="{00000000-0008-0000-2000-00004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6" name="261 CuadroTexto">
          <a:extLst>
            <a:ext uri="{FF2B5EF4-FFF2-40B4-BE49-F238E27FC236}">
              <a16:creationId xmlns:a16="http://schemas.microsoft.com/office/drawing/2014/main" id="{00000000-0008-0000-2000-00004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7" name="262 CuadroTexto">
          <a:extLst>
            <a:ext uri="{FF2B5EF4-FFF2-40B4-BE49-F238E27FC236}">
              <a16:creationId xmlns:a16="http://schemas.microsoft.com/office/drawing/2014/main" id="{00000000-0008-0000-2000-00004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8" name="263 CuadroTexto">
          <a:extLst>
            <a:ext uri="{FF2B5EF4-FFF2-40B4-BE49-F238E27FC236}">
              <a16:creationId xmlns:a16="http://schemas.microsoft.com/office/drawing/2014/main" id="{00000000-0008-0000-2000-00004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9" name="264 CuadroTexto">
          <a:extLst>
            <a:ext uri="{FF2B5EF4-FFF2-40B4-BE49-F238E27FC236}">
              <a16:creationId xmlns:a16="http://schemas.microsoft.com/office/drawing/2014/main" id="{00000000-0008-0000-2000-00004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0" name="265 CuadroTexto">
          <a:extLst>
            <a:ext uri="{FF2B5EF4-FFF2-40B4-BE49-F238E27FC236}">
              <a16:creationId xmlns:a16="http://schemas.microsoft.com/office/drawing/2014/main" id="{00000000-0008-0000-2000-00004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1" name="266 CuadroTexto">
          <a:extLst>
            <a:ext uri="{FF2B5EF4-FFF2-40B4-BE49-F238E27FC236}">
              <a16:creationId xmlns:a16="http://schemas.microsoft.com/office/drawing/2014/main" id="{00000000-0008-0000-2000-00004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2" name="267 CuadroTexto">
          <a:extLst>
            <a:ext uri="{FF2B5EF4-FFF2-40B4-BE49-F238E27FC236}">
              <a16:creationId xmlns:a16="http://schemas.microsoft.com/office/drawing/2014/main" id="{00000000-0008-0000-2000-00005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153" name="268 CuadroTexto">
          <a:extLst>
            <a:ext uri="{FF2B5EF4-FFF2-40B4-BE49-F238E27FC236}">
              <a16:creationId xmlns:a16="http://schemas.microsoft.com/office/drawing/2014/main" id="{00000000-0008-0000-2000-00005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4" name="269 CuadroTexto">
          <a:extLst>
            <a:ext uri="{FF2B5EF4-FFF2-40B4-BE49-F238E27FC236}">
              <a16:creationId xmlns:a16="http://schemas.microsoft.com/office/drawing/2014/main" id="{00000000-0008-0000-2000-000052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5" name="270 CuadroTexto">
          <a:extLst>
            <a:ext uri="{FF2B5EF4-FFF2-40B4-BE49-F238E27FC236}">
              <a16:creationId xmlns:a16="http://schemas.microsoft.com/office/drawing/2014/main" id="{00000000-0008-0000-2000-000053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6" name="271 CuadroTexto">
          <a:extLst>
            <a:ext uri="{FF2B5EF4-FFF2-40B4-BE49-F238E27FC236}">
              <a16:creationId xmlns:a16="http://schemas.microsoft.com/office/drawing/2014/main" id="{00000000-0008-0000-2000-000054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7" name="272 CuadroTexto">
          <a:extLst>
            <a:ext uri="{FF2B5EF4-FFF2-40B4-BE49-F238E27FC236}">
              <a16:creationId xmlns:a16="http://schemas.microsoft.com/office/drawing/2014/main" id="{00000000-0008-0000-2000-000055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8" name="273 CuadroTexto">
          <a:extLst>
            <a:ext uri="{FF2B5EF4-FFF2-40B4-BE49-F238E27FC236}">
              <a16:creationId xmlns:a16="http://schemas.microsoft.com/office/drawing/2014/main" id="{00000000-0008-0000-2000-000056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9" name="274 CuadroTexto">
          <a:extLst>
            <a:ext uri="{FF2B5EF4-FFF2-40B4-BE49-F238E27FC236}">
              <a16:creationId xmlns:a16="http://schemas.microsoft.com/office/drawing/2014/main" id="{00000000-0008-0000-2000-000057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0" name="275 CuadroTexto">
          <a:extLst>
            <a:ext uri="{FF2B5EF4-FFF2-40B4-BE49-F238E27FC236}">
              <a16:creationId xmlns:a16="http://schemas.microsoft.com/office/drawing/2014/main" id="{00000000-0008-0000-2000-000058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1" name="276 CuadroTexto">
          <a:extLst>
            <a:ext uri="{FF2B5EF4-FFF2-40B4-BE49-F238E27FC236}">
              <a16:creationId xmlns:a16="http://schemas.microsoft.com/office/drawing/2014/main" id="{00000000-0008-0000-2000-000059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2" name="277 CuadroTexto">
          <a:extLst>
            <a:ext uri="{FF2B5EF4-FFF2-40B4-BE49-F238E27FC236}">
              <a16:creationId xmlns:a16="http://schemas.microsoft.com/office/drawing/2014/main" id="{00000000-0008-0000-2000-00005A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3" name="278 CuadroTexto">
          <a:extLst>
            <a:ext uri="{FF2B5EF4-FFF2-40B4-BE49-F238E27FC236}">
              <a16:creationId xmlns:a16="http://schemas.microsoft.com/office/drawing/2014/main" id="{00000000-0008-0000-2000-00005B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4" name="279 CuadroTexto">
          <a:extLst>
            <a:ext uri="{FF2B5EF4-FFF2-40B4-BE49-F238E27FC236}">
              <a16:creationId xmlns:a16="http://schemas.microsoft.com/office/drawing/2014/main" id="{00000000-0008-0000-2000-00005C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5" name="280 CuadroTexto">
          <a:extLst>
            <a:ext uri="{FF2B5EF4-FFF2-40B4-BE49-F238E27FC236}">
              <a16:creationId xmlns:a16="http://schemas.microsoft.com/office/drawing/2014/main" id="{00000000-0008-0000-2000-00005D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6" name="281 CuadroTexto">
          <a:extLst>
            <a:ext uri="{FF2B5EF4-FFF2-40B4-BE49-F238E27FC236}">
              <a16:creationId xmlns:a16="http://schemas.microsoft.com/office/drawing/2014/main" id="{00000000-0008-0000-2000-00005E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7" name="282 CuadroTexto">
          <a:extLst>
            <a:ext uri="{FF2B5EF4-FFF2-40B4-BE49-F238E27FC236}">
              <a16:creationId xmlns:a16="http://schemas.microsoft.com/office/drawing/2014/main" id="{00000000-0008-0000-2000-00005F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8" name="283 CuadroTexto">
          <a:extLst>
            <a:ext uri="{FF2B5EF4-FFF2-40B4-BE49-F238E27FC236}">
              <a16:creationId xmlns:a16="http://schemas.microsoft.com/office/drawing/2014/main" id="{00000000-0008-0000-2000-000060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9" name="284 CuadroTexto">
          <a:extLst>
            <a:ext uri="{FF2B5EF4-FFF2-40B4-BE49-F238E27FC236}">
              <a16:creationId xmlns:a16="http://schemas.microsoft.com/office/drawing/2014/main" id="{00000000-0008-0000-2000-00006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170" name="285 CuadroTexto">
          <a:extLst>
            <a:ext uri="{FF2B5EF4-FFF2-40B4-BE49-F238E27FC236}">
              <a16:creationId xmlns:a16="http://schemas.microsoft.com/office/drawing/2014/main" id="{00000000-0008-0000-2000-00006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1" name="286 CuadroTexto">
          <a:extLst>
            <a:ext uri="{FF2B5EF4-FFF2-40B4-BE49-F238E27FC236}">
              <a16:creationId xmlns:a16="http://schemas.microsoft.com/office/drawing/2014/main" id="{00000000-0008-0000-2000-00006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2" name="287 CuadroTexto">
          <a:extLst>
            <a:ext uri="{FF2B5EF4-FFF2-40B4-BE49-F238E27FC236}">
              <a16:creationId xmlns:a16="http://schemas.microsoft.com/office/drawing/2014/main" id="{00000000-0008-0000-2000-00006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3" name="288 CuadroTexto">
          <a:extLst>
            <a:ext uri="{FF2B5EF4-FFF2-40B4-BE49-F238E27FC236}">
              <a16:creationId xmlns:a16="http://schemas.microsoft.com/office/drawing/2014/main" id="{00000000-0008-0000-2000-00006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4" name="289 CuadroTexto">
          <a:extLst>
            <a:ext uri="{FF2B5EF4-FFF2-40B4-BE49-F238E27FC236}">
              <a16:creationId xmlns:a16="http://schemas.microsoft.com/office/drawing/2014/main" id="{00000000-0008-0000-2000-00006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5" name="290 CuadroTexto">
          <a:extLst>
            <a:ext uri="{FF2B5EF4-FFF2-40B4-BE49-F238E27FC236}">
              <a16:creationId xmlns:a16="http://schemas.microsoft.com/office/drawing/2014/main" id="{00000000-0008-0000-2000-00006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6" name="291 CuadroTexto">
          <a:extLst>
            <a:ext uri="{FF2B5EF4-FFF2-40B4-BE49-F238E27FC236}">
              <a16:creationId xmlns:a16="http://schemas.microsoft.com/office/drawing/2014/main" id="{00000000-0008-0000-2000-00006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7" name="292 CuadroTexto">
          <a:extLst>
            <a:ext uri="{FF2B5EF4-FFF2-40B4-BE49-F238E27FC236}">
              <a16:creationId xmlns:a16="http://schemas.microsoft.com/office/drawing/2014/main" id="{00000000-0008-0000-2000-00006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8" name="293 CuadroTexto">
          <a:extLst>
            <a:ext uri="{FF2B5EF4-FFF2-40B4-BE49-F238E27FC236}">
              <a16:creationId xmlns:a16="http://schemas.microsoft.com/office/drawing/2014/main" id="{00000000-0008-0000-2000-00006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9" name="294 CuadroTexto">
          <a:extLst>
            <a:ext uri="{FF2B5EF4-FFF2-40B4-BE49-F238E27FC236}">
              <a16:creationId xmlns:a16="http://schemas.microsoft.com/office/drawing/2014/main" id="{00000000-0008-0000-2000-00006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0" name="295 CuadroTexto">
          <a:extLst>
            <a:ext uri="{FF2B5EF4-FFF2-40B4-BE49-F238E27FC236}">
              <a16:creationId xmlns:a16="http://schemas.microsoft.com/office/drawing/2014/main" id="{00000000-0008-0000-2000-00006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1" name="296 CuadroTexto">
          <a:extLst>
            <a:ext uri="{FF2B5EF4-FFF2-40B4-BE49-F238E27FC236}">
              <a16:creationId xmlns:a16="http://schemas.microsoft.com/office/drawing/2014/main" id="{00000000-0008-0000-2000-00006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2" name="298 CuadroTexto">
          <a:extLst>
            <a:ext uri="{FF2B5EF4-FFF2-40B4-BE49-F238E27FC236}">
              <a16:creationId xmlns:a16="http://schemas.microsoft.com/office/drawing/2014/main" id="{00000000-0008-0000-2000-00006E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3" name="299 CuadroTexto">
          <a:extLst>
            <a:ext uri="{FF2B5EF4-FFF2-40B4-BE49-F238E27FC236}">
              <a16:creationId xmlns:a16="http://schemas.microsoft.com/office/drawing/2014/main" id="{00000000-0008-0000-2000-00006F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4" name="300 CuadroTexto">
          <a:extLst>
            <a:ext uri="{FF2B5EF4-FFF2-40B4-BE49-F238E27FC236}">
              <a16:creationId xmlns:a16="http://schemas.microsoft.com/office/drawing/2014/main" id="{00000000-0008-0000-2000-000070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5" name="301 CuadroTexto">
          <a:extLst>
            <a:ext uri="{FF2B5EF4-FFF2-40B4-BE49-F238E27FC236}">
              <a16:creationId xmlns:a16="http://schemas.microsoft.com/office/drawing/2014/main" id="{00000000-0008-0000-2000-000071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6" name="302 CuadroTexto">
          <a:extLst>
            <a:ext uri="{FF2B5EF4-FFF2-40B4-BE49-F238E27FC236}">
              <a16:creationId xmlns:a16="http://schemas.microsoft.com/office/drawing/2014/main" id="{00000000-0008-0000-2000-000072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7" name="303 CuadroTexto">
          <a:extLst>
            <a:ext uri="{FF2B5EF4-FFF2-40B4-BE49-F238E27FC236}">
              <a16:creationId xmlns:a16="http://schemas.microsoft.com/office/drawing/2014/main" id="{00000000-0008-0000-2000-000073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8" name="304 CuadroTexto">
          <a:extLst>
            <a:ext uri="{FF2B5EF4-FFF2-40B4-BE49-F238E27FC236}">
              <a16:creationId xmlns:a16="http://schemas.microsoft.com/office/drawing/2014/main" id="{00000000-0008-0000-2000-000074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9" name="305 CuadroTexto">
          <a:extLst>
            <a:ext uri="{FF2B5EF4-FFF2-40B4-BE49-F238E27FC236}">
              <a16:creationId xmlns:a16="http://schemas.microsoft.com/office/drawing/2014/main" id="{00000000-0008-0000-2000-000075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0" name="452 CuadroTexto">
          <a:extLst>
            <a:ext uri="{FF2B5EF4-FFF2-40B4-BE49-F238E27FC236}">
              <a16:creationId xmlns:a16="http://schemas.microsoft.com/office/drawing/2014/main" id="{00000000-0008-0000-2000-0000760C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91" name="17 CuadroTexto">
          <a:extLst>
            <a:ext uri="{FF2B5EF4-FFF2-40B4-BE49-F238E27FC236}">
              <a16:creationId xmlns:a16="http://schemas.microsoft.com/office/drawing/2014/main" id="{00000000-0008-0000-2000-00007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192" name="90 CuadroTexto">
          <a:extLst>
            <a:ext uri="{FF2B5EF4-FFF2-40B4-BE49-F238E27FC236}">
              <a16:creationId xmlns:a16="http://schemas.microsoft.com/office/drawing/2014/main" id="{00000000-0008-0000-2000-000078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3" name="91 CuadroTexto">
          <a:extLst>
            <a:ext uri="{FF2B5EF4-FFF2-40B4-BE49-F238E27FC236}">
              <a16:creationId xmlns:a16="http://schemas.microsoft.com/office/drawing/2014/main" id="{00000000-0008-0000-2000-000079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4" name="92 CuadroTexto">
          <a:extLst>
            <a:ext uri="{FF2B5EF4-FFF2-40B4-BE49-F238E27FC236}">
              <a16:creationId xmlns:a16="http://schemas.microsoft.com/office/drawing/2014/main" id="{00000000-0008-0000-2000-00007A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5" name="93 CuadroTexto">
          <a:extLst>
            <a:ext uri="{FF2B5EF4-FFF2-40B4-BE49-F238E27FC236}">
              <a16:creationId xmlns:a16="http://schemas.microsoft.com/office/drawing/2014/main" id="{00000000-0008-0000-2000-00007B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6" name="94 CuadroTexto">
          <a:extLst>
            <a:ext uri="{FF2B5EF4-FFF2-40B4-BE49-F238E27FC236}">
              <a16:creationId xmlns:a16="http://schemas.microsoft.com/office/drawing/2014/main" id="{00000000-0008-0000-2000-00007C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7" name="95 CuadroTexto">
          <a:extLst>
            <a:ext uri="{FF2B5EF4-FFF2-40B4-BE49-F238E27FC236}">
              <a16:creationId xmlns:a16="http://schemas.microsoft.com/office/drawing/2014/main" id="{00000000-0008-0000-2000-00007D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8" name="96 CuadroTexto">
          <a:extLst>
            <a:ext uri="{FF2B5EF4-FFF2-40B4-BE49-F238E27FC236}">
              <a16:creationId xmlns:a16="http://schemas.microsoft.com/office/drawing/2014/main" id="{00000000-0008-0000-2000-00007E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9" name="97 CuadroTexto">
          <a:extLst>
            <a:ext uri="{FF2B5EF4-FFF2-40B4-BE49-F238E27FC236}">
              <a16:creationId xmlns:a16="http://schemas.microsoft.com/office/drawing/2014/main" id="{00000000-0008-0000-2000-00007F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0" name="98 CuadroTexto">
          <a:extLst>
            <a:ext uri="{FF2B5EF4-FFF2-40B4-BE49-F238E27FC236}">
              <a16:creationId xmlns:a16="http://schemas.microsoft.com/office/drawing/2014/main" id="{00000000-0008-0000-2000-000080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1" name="99 CuadroTexto">
          <a:extLst>
            <a:ext uri="{FF2B5EF4-FFF2-40B4-BE49-F238E27FC236}">
              <a16:creationId xmlns:a16="http://schemas.microsoft.com/office/drawing/2014/main" id="{00000000-0008-0000-2000-000081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2" name="100 CuadroTexto">
          <a:extLst>
            <a:ext uri="{FF2B5EF4-FFF2-40B4-BE49-F238E27FC236}">
              <a16:creationId xmlns:a16="http://schemas.microsoft.com/office/drawing/2014/main" id="{00000000-0008-0000-2000-000082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3" name="101 CuadroTexto">
          <a:extLst>
            <a:ext uri="{FF2B5EF4-FFF2-40B4-BE49-F238E27FC236}">
              <a16:creationId xmlns:a16="http://schemas.microsoft.com/office/drawing/2014/main" id="{00000000-0008-0000-2000-000083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204" name="118 CuadroTexto">
          <a:extLst>
            <a:ext uri="{FF2B5EF4-FFF2-40B4-BE49-F238E27FC236}">
              <a16:creationId xmlns:a16="http://schemas.microsoft.com/office/drawing/2014/main" id="{00000000-0008-0000-2000-00008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5" name="119 CuadroTexto">
          <a:extLst>
            <a:ext uri="{FF2B5EF4-FFF2-40B4-BE49-F238E27FC236}">
              <a16:creationId xmlns:a16="http://schemas.microsoft.com/office/drawing/2014/main" id="{00000000-0008-0000-2000-00008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6" name="120 CuadroTexto">
          <a:extLst>
            <a:ext uri="{FF2B5EF4-FFF2-40B4-BE49-F238E27FC236}">
              <a16:creationId xmlns:a16="http://schemas.microsoft.com/office/drawing/2014/main" id="{00000000-0008-0000-2000-00008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7" name="121 CuadroTexto">
          <a:extLst>
            <a:ext uri="{FF2B5EF4-FFF2-40B4-BE49-F238E27FC236}">
              <a16:creationId xmlns:a16="http://schemas.microsoft.com/office/drawing/2014/main" id="{00000000-0008-0000-2000-00008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8" name="122 CuadroTexto">
          <a:extLst>
            <a:ext uri="{FF2B5EF4-FFF2-40B4-BE49-F238E27FC236}">
              <a16:creationId xmlns:a16="http://schemas.microsoft.com/office/drawing/2014/main" id="{00000000-0008-0000-2000-00008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9" name="123 CuadroTexto">
          <a:extLst>
            <a:ext uri="{FF2B5EF4-FFF2-40B4-BE49-F238E27FC236}">
              <a16:creationId xmlns:a16="http://schemas.microsoft.com/office/drawing/2014/main" id="{00000000-0008-0000-2000-00008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0" name="124 CuadroTexto">
          <a:extLst>
            <a:ext uri="{FF2B5EF4-FFF2-40B4-BE49-F238E27FC236}">
              <a16:creationId xmlns:a16="http://schemas.microsoft.com/office/drawing/2014/main" id="{00000000-0008-0000-2000-00008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1" name="125 CuadroTexto">
          <a:extLst>
            <a:ext uri="{FF2B5EF4-FFF2-40B4-BE49-F238E27FC236}">
              <a16:creationId xmlns:a16="http://schemas.microsoft.com/office/drawing/2014/main" id="{00000000-0008-0000-2000-00008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2" name="143 CuadroTexto">
          <a:extLst>
            <a:ext uri="{FF2B5EF4-FFF2-40B4-BE49-F238E27FC236}">
              <a16:creationId xmlns:a16="http://schemas.microsoft.com/office/drawing/2014/main" id="{00000000-0008-0000-2000-00008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3" name="144 CuadroTexto">
          <a:extLst>
            <a:ext uri="{FF2B5EF4-FFF2-40B4-BE49-F238E27FC236}">
              <a16:creationId xmlns:a16="http://schemas.microsoft.com/office/drawing/2014/main" id="{00000000-0008-0000-2000-00008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4" name="145 CuadroTexto">
          <a:extLst>
            <a:ext uri="{FF2B5EF4-FFF2-40B4-BE49-F238E27FC236}">
              <a16:creationId xmlns:a16="http://schemas.microsoft.com/office/drawing/2014/main" id="{00000000-0008-0000-2000-00008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5" name="146 CuadroTexto">
          <a:extLst>
            <a:ext uri="{FF2B5EF4-FFF2-40B4-BE49-F238E27FC236}">
              <a16:creationId xmlns:a16="http://schemas.microsoft.com/office/drawing/2014/main" id="{00000000-0008-0000-2000-00008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6" name="147 CuadroTexto">
          <a:extLst>
            <a:ext uri="{FF2B5EF4-FFF2-40B4-BE49-F238E27FC236}">
              <a16:creationId xmlns:a16="http://schemas.microsoft.com/office/drawing/2014/main" id="{00000000-0008-0000-2000-00009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7" name="148 CuadroTexto">
          <a:extLst>
            <a:ext uri="{FF2B5EF4-FFF2-40B4-BE49-F238E27FC236}">
              <a16:creationId xmlns:a16="http://schemas.microsoft.com/office/drawing/2014/main" id="{00000000-0008-0000-2000-00009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8" name="149 CuadroTexto">
          <a:extLst>
            <a:ext uri="{FF2B5EF4-FFF2-40B4-BE49-F238E27FC236}">
              <a16:creationId xmlns:a16="http://schemas.microsoft.com/office/drawing/2014/main" id="{00000000-0008-0000-2000-00009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9" name="150 CuadroTexto">
          <a:extLst>
            <a:ext uri="{FF2B5EF4-FFF2-40B4-BE49-F238E27FC236}">
              <a16:creationId xmlns:a16="http://schemas.microsoft.com/office/drawing/2014/main" id="{00000000-0008-0000-2000-00009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0" name="151 CuadroTexto">
          <a:extLst>
            <a:ext uri="{FF2B5EF4-FFF2-40B4-BE49-F238E27FC236}">
              <a16:creationId xmlns:a16="http://schemas.microsoft.com/office/drawing/2014/main" id="{00000000-0008-0000-2000-00009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1" name="152 CuadroTexto">
          <a:extLst>
            <a:ext uri="{FF2B5EF4-FFF2-40B4-BE49-F238E27FC236}">
              <a16:creationId xmlns:a16="http://schemas.microsoft.com/office/drawing/2014/main" id="{00000000-0008-0000-2000-00009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2" name="153 CuadroTexto">
          <a:extLst>
            <a:ext uri="{FF2B5EF4-FFF2-40B4-BE49-F238E27FC236}">
              <a16:creationId xmlns:a16="http://schemas.microsoft.com/office/drawing/2014/main" id="{00000000-0008-0000-2000-00009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3" name="154 CuadroTexto">
          <a:extLst>
            <a:ext uri="{FF2B5EF4-FFF2-40B4-BE49-F238E27FC236}">
              <a16:creationId xmlns:a16="http://schemas.microsoft.com/office/drawing/2014/main" id="{00000000-0008-0000-2000-00009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4" name="155 CuadroTexto">
          <a:extLst>
            <a:ext uri="{FF2B5EF4-FFF2-40B4-BE49-F238E27FC236}">
              <a16:creationId xmlns:a16="http://schemas.microsoft.com/office/drawing/2014/main" id="{00000000-0008-0000-2000-00009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5" name="156 CuadroTexto">
          <a:extLst>
            <a:ext uri="{FF2B5EF4-FFF2-40B4-BE49-F238E27FC236}">
              <a16:creationId xmlns:a16="http://schemas.microsoft.com/office/drawing/2014/main" id="{00000000-0008-0000-2000-00009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6" name="157 CuadroTexto">
          <a:extLst>
            <a:ext uri="{FF2B5EF4-FFF2-40B4-BE49-F238E27FC236}">
              <a16:creationId xmlns:a16="http://schemas.microsoft.com/office/drawing/2014/main" id="{00000000-0008-0000-2000-00009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7" name="158 CuadroTexto">
          <a:extLst>
            <a:ext uri="{FF2B5EF4-FFF2-40B4-BE49-F238E27FC236}">
              <a16:creationId xmlns:a16="http://schemas.microsoft.com/office/drawing/2014/main" id="{00000000-0008-0000-2000-00009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8" name="159 CuadroTexto">
          <a:extLst>
            <a:ext uri="{FF2B5EF4-FFF2-40B4-BE49-F238E27FC236}">
              <a16:creationId xmlns:a16="http://schemas.microsoft.com/office/drawing/2014/main" id="{00000000-0008-0000-2000-00009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9" name="160 CuadroTexto">
          <a:extLst>
            <a:ext uri="{FF2B5EF4-FFF2-40B4-BE49-F238E27FC236}">
              <a16:creationId xmlns:a16="http://schemas.microsoft.com/office/drawing/2014/main" id="{00000000-0008-0000-2000-00009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0" name="161 CuadroTexto">
          <a:extLst>
            <a:ext uri="{FF2B5EF4-FFF2-40B4-BE49-F238E27FC236}">
              <a16:creationId xmlns:a16="http://schemas.microsoft.com/office/drawing/2014/main" id="{00000000-0008-0000-2000-00009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1" name="162 CuadroTexto">
          <a:extLst>
            <a:ext uri="{FF2B5EF4-FFF2-40B4-BE49-F238E27FC236}">
              <a16:creationId xmlns:a16="http://schemas.microsoft.com/office/drawing/2014/main" id="{00000000-0008-0000-2000-00009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2" name="163 CuadroTexto">
          <a:extLst>
            <a:ext uri="{FF2B5EF4-FFF2-40B4-BE49-F238E27FC236}">
              <a16:creationId xmlns:a16="http://schemas.microsoft.com/office/drawing/2014/main" id="{00000000-0008-0000-2000-0000A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3" name="164 CuadroTexto">
          <a:extLst>
            <a:ext uri="{FF2B5EF4-FFF2-40B4-BE49-F238E27FC236}">
              <a16:creationId xmlns:a16="http://schemas.microsoft.com/office/drawing/2014/main" id="{00000000-0008-0000-2000-0000A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4" name="165 CuadroTexto">
          <a:extLst>
            <a:ext uri="{FF2B5EF4-FFF2-40B4-BE49-F238E27FC236}">
              <a16:creationId xmlns:a16="http://schemas.microsoft.com/office/drawing/2014/main" id="{00000000-0008-0000-2000-0000A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5" name="166 CuadroTexto">
          <a:extLst>
            <a:ext uri="{FF2B5EF4-FFF2-40B4-BE49-F238E27FC236}">
              <a16:creationId xmlns:a16="http://schemas.microsoft.com/office/drawing/2014/main" id="{00000000-0008-0000-2000-0000A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6" name="167 CuadroTexto">
          <a:extLst>
            <a:ext uri="{FF2B5EF4-FFF2-40B4-BE49-F238E27FC236}">
              <a16:creationId xmlns:a16="http://schemas.microsoft.com/office/drawing/2014/main" id="{00000000-0008-0000-2000-0000A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7" name="168 CuadroTexto">
          <a:extLst>
            <a:ext uri="{FF2B5EF4-FFF2-40B4-BE49-F238E27FC236}">
              <a16:creationId xmlns:a16="http://schemas.microsoft.com/office/drawing/2014/main" id="{00000000-0008-0000-2000-0000A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8" name="169 CuadroTexto">
          <a:extLst>
            <a:ext uri="{FF2B5EF4-FFF2-40B4-BE49-F238E27FC236}">
              <a16:creationId xmlns:a16="http://schemas.microsoft.com/office/drawing/2014/main" id="{00000000-0008-0000-2000-0000A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9" name="170 CuadroTexto">
          <a:extLst>
            <a:ext uri="{FF2B5EF4-FFF2-40B4-BE49-F238E27FC236}">
              <a16:creationId xmlns:a16="http://schemas.microsoft.com/office/drawing/2014/main" id="{00000000-0008-0000-2000-0000A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0" name="171 CuadroTexto">
          <a:extLst>
            <a:ext uri="{FF2B5EF4-FFF2-40B4-BE49-F238E27FC236}">
              <a16:creationId xmlns:a16="http://schemas.microsoft.com/office/drawing/2014/main" id="{00000000-0008-0000-2000-0000A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1" name="172 CuadroTexto">
          <a:extLst>
            <a:ext uri="{FF2B5EF4-FFF2-40B4-BE49-F238E27FC236}">
              <a16:creationId xmlns:a16="http://schemas.microsoft.com/office/drawing/2014/main" id="{00000000-0008-0000-2000-0000A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2" name="173 CuadroTexto">
          <a:extLst>
            <a:ext uri="{FF2B5EF4-FFF2-40B4-BE49-F238E27FC236}">
              <a16:creationId xmlns:a16="http://schemas.microsoft.com/office/drawing/2014/main" id="{00000000-0008-0000-2000-0000A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3" name="174 CuadroTexto">
          <a:extLst>
            <a:ext uri="{FF2B5EF4-FFF2-40B4-BE49-F238E27FC236}">
              <a16:creationId xmlns:a16="http://schemas.microsoft.com/office/drawing/2014/main" id="{00000000-0008-0000-2000-0000A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4" name="175 CuadroTexto">
          <a:extLst>
            <a:ext uri="{FF2B5EF4-FFF2-40B4-BE49-F238E27FC236}">
              <a16:creationId xmlns:a16="http://schemas.microsoft.com/office/drawing/2014/main" id="{00000000-0008-0000-2000-0000A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5" name="176 CuadroTexto">
          <a:extLst>
            <a:ext uri="{FF2B5EF4-FFF2-40B4-BE49-F238E27FC236}">
              <a16:creationId xmlns:a16="http://schemas.microsoft.com/office/drawing/2014/main" id="{00000000-0008-0000-2000-0000A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6" name="177 CuadroTexto">
          <a:extLst>
            <a:ext uri="{FF2B5EF4-FFF2-40B4-BE49-F238E27FC236}">
              <a16:creationId xmlns:a16="http://schemas.microsoft.com/office/drawing/2014/main" id="{00000000-0008-0000-2000-0000A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7" name="178 CuadroTexto">
          <a:extLst>
            <a:ext uri="{FF2B5EF4-FFF2-40B4-BE49-F238E27FC236}">
              <a16:creationId xmlns:a16="http://schemas.microsoft.com/office/drawing/2014/main" id="{00000000-0008-0000-2000-0000A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8" name="179 CuadroTexto">
          <a:extLst>
            <a:ext uri="{FF2B5EF4-FFF2-40B4-BE49-F238E27FC236}">
              <a16:creationId xmlns:a16="http://schemas.microsoft.com/office/drawing/2014/main" id="{00000000-0008-0000-2000-0000B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9" name="180 CuadroTexto">
          <a:extLst>
            <a:ext uri="{FF2B5EF4-FFF2-40B4-BE49-F238E27FC236}">
              <a16:creationId xmlns:a16="http://schemas.microsoft.com/office/drawing/2014/main" id="{00000000-0008-0000-2000-0000B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0" name="181 CuadroTexto">
          <a:extLst>
            <a:ext uri="{FF2B5EF4-FFF2-40B4-BE49-F238E27FC236}">
              <a16:creationId xmlns:a16="http://schemas.microsoft.com/office/drawing/2014/main" id="{00000000-0008-0000-2000-0000B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1" name="182 CuadroTexto">
          <a:extLst>
            <a:ext uri="{FF2B5EF4-FFF2-40B4-BE49-F238E27FC236}">
              <a16:creationId xmlns:a16="http://schemas.microsoft.com/office/drawing/2014/main" id="{00000000-0008-0000-2000-0000B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2" name="183 CuadroTexto">
          <a:extLst>
            <a:ext uri="{FF2B5EF4-FFF2-40B4-BE49-F238E27FC236}">
              <a16:creationId xmlns:a16="http://schemas.microsoft.com/office/drawing/2014/main" id="{00000000-0008-0000-2000-0000B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3" name="184 CuadroTexto">
          <a:extLst>
            <a:ext uri="{FF2B5EF4-FFF2-40B4-BE49-F238E27FC236}">
              <a16:creationId xmlns:a16="http://schemas.microsoft.com/office/drawing/2014/main" id="{00000000-0008-0000-2000-0000B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4" name="185 CuadroTexto">
          <a:extLst>
            <a:ext uri="{FF2B5EF4-FFF2-40B4-BE49-F238E27FC236}">
              <a16:creationId xmlns:a16="http://schemas.microsoft.com/office/drawing/2014/main" id="{00000000-0008-0000-2000-0000B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5" name="186 CuadroTexto">
          <a:extLst>
            <a:ext uri="{FF2B5EF4-FFF2-40B4-BE49-F238E27FC236}">
              <a16:creationId xmlns:a16="http://schemas.microsoft.com/office/drawing/2014/main" id="{00000000-0008-0000-2000-0000B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6" name="187 CuadroTexto">
          <a:extLst>
            <a:ext uri="{FF2B5EF4-FFF2-40B4-BE49-F238E27FC236}">
              <a16:creationId xmlns:a16="http://schemas.microsoft.com/office/drawing/2014/main" id="{00000000-0008-0000-2000-0000B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7" name="188 CuadroTexto">
          <a:extLst>
            <a:ext uri="{FF2B5EF4-FFF2-40B4-BE49-F238E27FC236}">
              <a16:creationId xmlns:a16="http://schemas.microsoft.com/office/drawing/2014/main" id="{00000000-0008-0000-2000-0000B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8" name="189 CuadroTexto">
          <a:extLst>
            <a:ext uri="{FF2B5EF4-FFF2-40B4-BE49-F238E27FC236}">
              <a16:creationId xmlns:a16="http://schemas.microsoft.com/office/drawing/2014/main" id="{00000000-0008-0000-2000-0000B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9" name="190 CuadroTexto">
          <a:extLst>
            <a:ext uri="{FF2B5EF4-FFF2-40B4-BE49-F238E27FC236}">
              <a16:creationId xmlns:a16="http://schemas.microsoft.com/office/drawing/2014/main" id="{00000000-0008-0000-2000-0000B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0" name="191 CuadroTexto">
          <a:extLst>
            <a:ext uri="{FF2B5EF4-FFF2-40B4-BE49-F238E27FC236}">
              <a16:creationId xmlns:a16="http://schemas.microsoft.com/office/drawing/2014/main" id="{00000000-0008-0000-2000-0000B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1" name="192 CuadroTexto">
          <a:extLst>
            <a:ext uri="{FF2B5EF4-FFF2-40B4-BE49-F238E27FC236}">
              <a16:creationId xmlns:a16="http://schemas.microsoft.com/office/drawing/2014/main" id="{00000000-0008-0000-2000-0000B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2" name="193 CuadroTexto">
          <a:extLst>
            <a:ext uri="{FF2B5EF4-FFF2-40B4-BE49-F238E27FC236}">
              <a16:creationId xmlns:a16="http://schemas.microsoft.com/office/drawing/2014/main" id="{00000000-0008-0000-2000-0000B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3" name="194 CuadroTexto">
          <a:extLst>
            <a:ext uri="{FF2B5EF4-FFF2-40B4-BE49-F238E27FC236}">
              <a16:creationId xmlns:a16="http://schemas.microsoft.com/office/drawing/2014/main" id="{00000000-0008-0000-2000-0000B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4" name="195 CuadroTexto">
          <a:extLst>
            <a:ext uri="{FF2B5EF4-FFF2-40B4-BE49-F238E27FC236}">
              <a16:creationId xmlns:a16="http://schemas.microsoft.com/office/drawing/2014/main" id="{00000000-0008-0000-2000-0000C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5" name="196 CuadroTexto">
          <a:extLst>
            <a:ext uri="{FF2B5EF4-FFF2-40B4-BE49-F238E27FC236}">
              <a16:creationId xmlns:a16="http://schemas.microsoft.com/office/drawing/2014/main" id="{00000000-0008-0000-2000-0000C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6" name="197 CuadroTexto">
          <a:extLst>
            <a:ext uri="{FF2B5EF4-FFF2-40B4-BE49-F238E27FC236}">
              <a16:creationId xmlns:a16="http://schemas.microsoft.com/office/drawing/2014/main" id="{00000000-0008-0000-2000-0000C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7" name="198 CuadroTexto">
          <a:extLst>
            <a:ext uri="{FF2B5EF4-FFF2-40B4-BE49-F238E27FC236}">
              <a16:creationId xmlns:a16="http://schemas.microsoft.com/office/drawing/2014/main" id="{00000000-0008-0000-2000-0000C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8" name="199 CuadroTexto">
          <a:extLst>
            <a:ext uri="{FF2B5EF4-FFF2-40B4-BE49-F238E27FC236}">
              <a16:creationId xmlns:a16="http://schemas.microsoft.com/office/drawing/2014/main" id="{00000000-0008-0000-2000-0000C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9" name="200 CuadroTexto">
          <a:extLst>
            <a:ext uri="{FF2B5EF4-FFF2-40B4-BE49-F238E27FC236}">
              <a16:creationId xmlns:a16="http://schemas.microsoft.com/office/drawing/2014/main" id="{00000000-0008-0000-2000-0000C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0" name="201 CuadroTexto">
          <a:extLst>
            <a:ext uri="{FF2B5EF4-FFF2-40B4-BE49-F238E27FC236}">
              <a16:creationId xmlns:a16="http://schemas.microsoft.com/office/drawing/2014/main" id="{00000000-0008-0000-2000-0000C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1" name="202 CuadroTexto">
          <a:extLst>
            <a:ext uri="{FF2B5EF4-FFF2-40B4-BE49-F238E27FC236}">
              <a16:creationId xmlns:a16="http://schemas.microsoft.com/office/drawing/2014/main" id="{00000000-0008-0000-2000-0000C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2" name="203 CuadroTexto">
          <a:extLst>
            <a:ext uri="{FF2B5EF4-FFF2-40B4-BE49-F238E27FC236}">
              <a16:creationId xmlns:a16="http://schemas.microsoft.com/office/drawing/2014/main" id="{00000000-0008-0000-2000-0000C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3" name="204 CuadroTexto">
          <a:extLst>
            <a:ext uri="{FF2B5EF4-FFF2-40B4-BE49-F238E27FC236}">
              <a16:creationId xmlns:a16="http://schemas.microsoft.com/office/drawing/2014/main" id="{00000000-0008-0000-2000-0000C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4" name="205 CuadroTexto">
          <a:extLst>
            <a:ext uri="{FF2B5EF4-FFF2-40B4-BE49-F238E27FC236}">
              <a16:creationId xmlns:a16="http://schemas.microsoft.com/office/drawing/2014/main" id="{00000000-0008-0000-2000-0000C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5" name="206 CuadroTexto">
          <a:extLst>
            <a:ext uri="{FF2B5EF4-FFF2-40B4-BE49-F238E27FC236}">
              <a16:creationId xmlns:a16="http://schemas.microsoft.com/office/drawing/2014/main" id="{00000000-0008-0000-2000-0000C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6" name="207 CuadroTexto">
          <a:extLst>
            <a:ext uri="{FF2B5EF4-FFF2-40B4-BE49-F238E27FC236}">
              <a16:creationId xmlns:a16="http://schemas.microsoft.com/office/drawing/2014/main" id="{00000000-0008-0000-2000-0000C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7" name="208 CuadroTexto">
          <a:extLst>
            <a:ext uri="{FF2B5EF4-FFF2-40B4-BE49-F238E27FC236}">
              <a16:creationId xmlns:a16="http://schemas.microsoft.com/office/drawing/2014/main" id="{00000000-0008-0000-2000-0000C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8" name="209 CuadroTexto">
          <a:extLst>
            <a:ext uri="{FF2B5EF4-FFF2-40B4-BE49-F238E27FC236}">
              <a16:creationId xmlns:a16="http://schemas.microsoft.com/office/drawing/2014/main" id="{00000000-0008-0000-2000-0000C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9" name="210 CuadroTexto">
          <a:extLst>
            <a:ext uri="{FF2B5EF4-FFF2-40B4-BE49-F238E27FC236}">
              <a16:creationId xmlns:a16="http://schemas.microsoft.com/office/drawing/2014/main" id="{00000000-0008-0000-2000-0000C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0" name="211 CuadroTexto">
          <a:extLst>
            <a:ext uri="{FF2B5EF4-FFF2-40B4-BE49-F238E27FC236}">
              <a16:creationId xmlns:a16="http://schemas.microsoft.com/office/drawing/2014/main" id="{00000000-0008-0000-2000-0000D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1" name="212 CuadroTexto">
          <a:extLst>
            <a:ext uri="{FF2B5EF4-FFF2-40B4-BE49-F238E27FC236}">
              <a16:creationId xmlns:a16="http://schemas.microsoft.com/office/drawing/2014/main" id="{00000000-0008-0000-2000-0000D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2" name="213 CuadroTexto">
          <a:extLst>
            <a:ext uri="{FF2B5EF4-FFF2-40B4-BE49-F238E27FC236}">
              <a16:creationId xmlns:a16="http://schemas.microsoft.com/office/drawing/2014/main" id="{00000000-0008-0000-2000-0000D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3" name="214 CuadroTexto">
          <a:extLst>
            <a:ext uri="{FF2B5EF4-FFF2-40B4-BE49-F238E27FC236}">
              <a16:creationId xmlns:a16="http://schemas.microsoft.com/office/drawing/2014/main" id="{00000000-0008-0000-2000-0000D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4" name="215 CuadroTexto">
          <a:extLst>
            <a:ext uri="{FF2B5EF4-FFF2-40B4-BE49-F238E27FC236}">
              <a16:creationId xmlns:a16="http://schemas.microsoft.com/office/drawing/2014/main" id="{00000000-0008-0000-2000-0000D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5" name="216 CuadroTexto">
          <a:extLst>
            <a:ext uri="{FF2B5EF4-FFF2-40B4-BE49-F238E27FC236}">
              <a16:creationId xmlns:a16="http://schemas.microsoft.com/office/drawing/2014/main" id="{00000000-0008-0000-2000-0000D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6" name="217 CuadroTexto">
          <a:extLst>
            <a:ext uri="{FF2B5EF4-FFF2-40B4-BE49-F238E27FC236}">
              <a16:creationId xmlns:a16="http://schemas.microsoft.com/office/drawing/2014/main" id="{00000000-0008-0000-2000-0000D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7" name="218 CuadroTexto">
          <a:extLst>
            <a:ext uri="{FF2B5EF4-FFF2-40B4-BE49-F238E27FC236}">
              <a16:creationId xmlns:a16="http://schemas.microsoft.com/office/drawing/2014/main" id="{00000000-0008-0000-2000-0000D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8" name="219 CuadroTexto">
          <a:extLst>
            <a:ext uri="{FF2B5EF4-FFF2-40B4-BE49-F238E27FC236}">
              <a16:creationId xmlns:a16="http://schemas.microsoft.com/office/drawing/2014/main" id="{00000000-0008-0000-2000-0000D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9" name="220 CuadroTexto">
          <a:extLst>
            <a:ext uri="{FF2B5EF4-FFF2-40B4-BE49-F238E27FC236}">
              <a16:creationId xmlns:a16="http://schemas.microsoft.com/office/drawing/2014/main" id="{00000000-0008-0000-2000-0000D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0" name="221 CuadroTexto">
          <a:extLst>
            <a:ext uri="{FF2B5EF4-FFF2-40B4-BE49-F238E27FC236}">
              <a16:creationId xmlns:a16="http://schemas.microsoft.com/office/drawing/2014/main" id="{00000000-0008-0000-2000-0000D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1" name="222 CuadroTexto">
          <a:extLst>
            <a:ext uri="{FF2B5EF4-FFF2-40B4-BE49-F238E27FC236}">
              <a16:creationId xmlns:a16="http://schemas.microsoft.com/office/drawing/2014/main" id="{00000000-0008-0000-2000-0000D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2" name="223 CuadroTexto">
          <a:extLst>
            <a:ext uri="{FF2B5EF4-FFF2-40B4-BE49-F238E27FC236}">
              <a16:creationId xmlns:a16="http://schemas.microsoft.com/office/drawing/2014/main" id="{00000000-0008-0000-2000-0000D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3" name="224 CuadroTexto">
          <a:extLst>
            <a:ext uri="{FF2B5EF4-FFF2-40B4-BE49-F238E27FC236}">
              <a16:creationId xmlns:a16="http://schemas.microsoft.com/office/drawing/2014/main" id="{00000000-0008-0000-2000-0000D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4" name="225 CuadroTexto">
          <a:extLst>
            <a:ext uri="{FF2B5EF4-FFF2-40B4-BE49-F238E27FC236}">
              <a16:creationId xmlns:a16="http://schemas.microsoft.com/office/drawing/2014/main" id="{00000000-0008-0000-2000-0000D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5" name="226 CuadroTexto">
          <a:extLst>
            <a:ext uri="{FF2B5EF4-FFF2-40B4-BE49-F238E27FC236}">
              <a16:creationId xmlns:a16="http://schemas.microsoft.com/office/drawing/2014/main" id="{00000000-0008-0000-2000-0000D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6" name="227 CuadroTexto">
          <a:extLst>
            <a:ext uri="{FF2B5EF4-FFF2-40B4-BE49-F238E27FC236}">
              <a16:creationId xmlns:a16="http://schemas.microsoft.com/office/drawing/2014/main" id="{00000000-0008-0000-2000-0000E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7" name="228 CuadroTexto">
          <a:extLst>
            <a:ext uri="{FF2B5EF4-FFF2-40B4-BE49-F238E27FC236}">
              <a16:creationId xmlns:a16="http://schemas.microsoft.com/office/drawing/2014/main" id="{00000000-0008-0000-2000-0000E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8" name="229 CuadroTexto">
          <a:extLst>
            <a:ext uri="{FF2B5EF4-FFF2-40B4-BE49-F238E27FC236}">
              <a16:creationId xmlns:a16="http://schemas.microsoft.com/office/drawing/2014/main" id="{00000000-0008-0000-2000-0000E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9" name="230 CuadroTexto">
          <a:extLst>
            <a:ext uri="{FF2B5EF4-FFF2-40B4-BE49-F238E27FC236}">
              <a16:creationId xmlns:a16="http://schemas.microsoft.com/office/drawing/2014/main" id="{00000000-0008-0000-2000-0000E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0" name="231 CuadroTexto">
          <a:extLst>
            <a:ext uri="{FF2B5EF4-FFF2-40B4-BE49-F238E27FC236}">
              <a16:creationId xmlns:a16="http://schemas.microsoft.com/office/drawing/2014/main" id="{00000000-0008-0000-2000-0000E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1" name="232 CuadroTexto">
          <a:extLst>
            <a:ext uri="{FF2B5EF4-FFF2-40B4-BE49-F238E27FC236}">
              <a16:creationId xmlns:a16="http://schemas.microsoft.com/office/drawing/2014/main" id="{00000000-0008-0000-2000-0000E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2" name="233 CuadroTexto">
          <a:extLst>
            <a:ext uri="{FF2B5EF4-FFF2-40B4-BE49-F238E27FC236}">
              <a16:creationId xmlns:a16="http://schemas.microsoft.com/office/drawing/2014/main" id="{00000000-0008-0000-2000-0000E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3" name="234 CuadroTexto">
          <a:extLst>
            <a:ext uri="{FF2B5EF4-FFF2-40B4-BE49-F238E27FC236}">
              <a16:creationId xmlns:a16="http://schemas.microsoft.com/office/drawing/2014/main" id="{00000000-0008-0000-2000-0000E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4" name="235 CuadroTexto">
          <a:extLst>
            <a:ext uri="{FF2B5EF4-FFF2-40B4-BE49-F238E27FC236}">
              <a16:creationId xmlns:a16="http://schemas.microsoft.com/office/drawing/2014/main" id="{00000000-0008-0000-2000-0000E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5" name="236 CuadroTexto">
          <a:extLst>
            <a:ext uri="{FF2B5EF4-FFF2-40B4-BE49-F238E27FC236}">
              <a16:creationId xmlns:a16="http://schemas.microsoft.com/office/drawing/2014/main" id="{00000000-0008-0000-2000-0000E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6" name="237 CuadroTexto">
          <a:extLst>
            <a:ext uri="{FF2B5EF4-FFF2-40B4-BE49-F238E27FC236}">
              <a16:creationId xmlns:a16="http://schemas.microsoft.com/office/drawing/2014/main" id="{00000000-0008-0000-2000-0000E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7" name="238 CuadroTexto">
          <a:extLst>
            <a:ext uri="{FF2B5EF4-FFF2-40B4-BE49-F238E27FC236}">
              <a16:creationId xmlns:a16="http://schemas.microsoft.com/office/drawing/2014/main" id="{00000000-0008-0000-2000-0000E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8" name="239 CuadroTexto">
          <a:extLst>
            <a:ext uri="{FF2B5EF4-FFF2-40B4-BE49-F238E27FC236}">
              <a16:creationId xmlns:a16="http://schemas.microsoft.com/office/drawing/2014/main" id="{00000000-0008-0000-2000-0000E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9" name="240 CuadroTexto">
          <a:extLst>
            <a:ext uri="{FF2B5EF4-FFF2-40B4-BE49-F238E27FC236}">
              <a16:creationId xmlns:a16="http://schemas.microsoft.com/office/drawing/2014/main" id="{00000000-0008-0000-2000-0000E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0" name="241 CuadroTexto">
          <a:extLst>
            <a:ext uri="{FF2B5EF4-FFF2-40B4-BE49-F238E27FC236}">
              <a16:creationId xmlns:a16="http://schemas.microsoft.com/office/drawing/2014/main" id="{00000000-0008-0000-2000-0000E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1" name="242 CuadroTexto">
          <a:extLst>
            <a:ext uri="{FF2B5EF4-FFF2-40B4-BE49-F238E27FC236}">
              <a16:creationId xmlns:a16="http://schemas.microsoft.com/office/drawing/2014/main" id="{00000000-0008-0000-2000-0000E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2" name="243 CuadroTexto">
          <a:extLst>
            <a:ext uri="{FF2B5EF4-FFF2-40B4-BE49-F238E27FC236}">
              <a16:creationId xmlns:a16="http://schemas.microsoft.com/office/drawing/2014/main" id="{00000000-0008-0000-2000-0000F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3" name="244 CuadroTexto">
          <a:extLst>
            <a:ext uri="{FF2B5EF4-FFF2-40B4-BE49-F238E27FC236}">
              <a16:creationId xmlns:a16="http://schemas.microsoft.com/office/drawing/2014/main" id="{00000000-0008-0000-2000-0000F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4" name="245 CuadroTexto">
          <a:extLst>
            <a:ext uri="{FF2B5EF4-FFF2-40B4-BE49-F238E27FC236}">
              <a16:creationId xmlns:a16="http://schemas.microsoft.com/office/drawing/2014/main" id="{00000000-0008-0000-2000-0000F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5" name="246 CuadroTexto">
          <a:extLst>
            <a:ext uri="{FF2B5EF4-FFF2-40B4-BE49-F238E27FC236}">
              <a16:creationId xmlns:a16="http://schemas.microsoft.com/office/drawing/2014/main" id="{00000000-0008-0000-2000-0000F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6" name="247 CuadroTexto">
          <a:extLst>
            <a:ext uri="{FF2B5EF4-FFF2-40B4-BE49-F238E27FC236}">
              <a16:creationId xmlns:a16="http://schemas.microsoft.com/office/drawing/2014/main" id="{00000000-0008-0000-2000-0000F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7" name="248 CuadroTexto">
          <a:extLst>
            <a:ext uri="{FF2B5EF4-FFF2-40B4-BE49-F238E27FC236}">
              <a16:creationId xmlns:a16="http://schemas.microsoft.com/office/drawing/2014/main" id="{00000000-0008-0000-2000-0000F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8" name="249 CuadroTexto">
          <a:extLst>
            <a:ext uri="{FF2B5EF4-FFF2-40B4-BE49-F238E27FC236}">
              <a16:creationId xmlns:a16="http://schemas.microsoft.com/office/drawing/2014/main" id="{00000000-0008-0000-2000-0000F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9" name="250 CuadroTexto">
          <a:extLst>
            <a:ext uri="{FF2B5EF4-FFF2-40B4-BE49-F238E27FC236}">
              <a16:creationId xmlns:a16="http://schemas.microsoft.com/office/drawing/2014/main" id="{00000000-0008-0000-2000-0000F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0" name="251 CuadroTexto">
          <a:extLst>
            <a:ext uri="{FF2B5EF4-FFF2-40B4-BE49-F238E27FC236}">
              <a16:creationId xmlns:a16="http://schemas.microsoft.com/office/drawing/2014/main" id="{00000000-0008-0000-2000-0000F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1" name="252 CuadroTexto">
          <a:extLst>
            <a:ext uri="{FF2B5EF4-FFF2-40B4-BE49-F238E27FC236}">
              <a16:creationId xmlns:a16="http://schemas.microsoft.com/office/drawing/2014/main" id="{00000000-0008-0000-2000-0000F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2" name="253 CuadroTexto">
          <a:extLst>
            <a:ext uri="{FF2B5EF4-FFF2-40B4-BE49-F238E27FC236}">
              <a16:creationId xmlns:a16="http://schemas.microsoft.com/office/drawing/2014/main" id="{00000000-0008-0000-2000-0000F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3" name="254 CuadroTexto">
          <a:extLst>
            <a:ext uri="{FF2B5EF4-FFF2-40B4-BE49-F238E27FC236}">
              <a16:creationId xmlns:a16="http://schemas.microsoft.com/office/drawing/2014/main" id="{00000000-0008-0000-2000-0000F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4" name="255 CuadroTexto">
          <a:extLst>
            <a:ext uri="{FF2B5EF4-FFF2-40B4-BE49-F238E27FC236}">
              <a16:creationId xmlns:a16="http://schemas.microsoft.com/office/drawing/2014/main" id="{00000000-0008-0000-2000-0000F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5" name="256 CuadroTexto">
          <a:extLst>
            <a:ext uri="{FF2B5EF4-FFF2-40B4-BE49-F238E27FC236}">
              <a16:creationId xmlns:a16="http://schemas.microsoft.com/office/drawing/2014/main" id="{00000000-0008-0000-2000-0000F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6" name="257 CuadroTexto">
          <a:extLst>
            <a:ext uri="{FF2B5EF4-FFF2-40B4-BE49-F238E27FC236}">
              <a16:creationId xmlns:a16="http://schemas.microsoft.com/office/drawing/2014/main" id="{00000000-0008-0000-2000-0000F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7" name="258 CuadroTexto">
          <a:extLst>
            <a:ext uri="{FF2B5EF4-FFF2-40B4-BE49-F238E27FC236}">
              <a16:creationId xmlns:a16="http://schemas.microsoft.com/office/drawing/2014/main" id="{00000000-0008-0000-2000-0000F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8" name="259 CuadroTexto">
          <a:extLst>
            <a:ext uri="{FF2B5EF4-FFF2-40B4-BE49-F238E27FC236}">
              <a16:creationId xmlns:a16="http://schemas.microsoft.com/office/drawing/2014/main" id="{00000000-0008-0000-2000-00000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9" name="260 CuadroTexto">
          <a:extLst>
            <a:ext uri="{FF2B5EF4-FFF2-40B4-BE49-F238E27FC236}">
              <a16:creationId xmlns:a16="http://schemas.microsoft.com/office/drawing/2014/main" id="{00000000-0008-0000-2000-00000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0" name="261 CuadroTexto">
          <a:extLst>
            <a:ext uri="{FF2B5EF4-FFF2-40B4-BE49-F238E27FC236}">
              <a16:creationId xmlns:a16="http://schemas.microsoft.com/office/drawing/2014/main" id="{00000000-0008-0000-2000-00000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1" name="262 CuadroTexto">
          <a:extLst>
            <a:ext uri="{FF2B5EF4-FFF2-40B4-BE49-F238E27FC236}">
              <a16:creationId xmlns:a16="http://schemas.microsoft.com/office/drawing/2014/main" id="{00000000-0008-0000-2000-00000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2" name="263 CuadroTexto">
          <a:extLst>
            <a:ext uri="{FF2B5EF4-FFF2-40B4-BE49-F238E27FC236}">
              <a16:creationId xmlns:a16="http://schemas.microsoft.com/office/drawing/2014/main" id="{00000000-0008-0000-2000-00000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3" name="264 CuadroTexto">
          <a:extLst>
            <a:ext uri="{FF2B5EF4-FFF2-40B4-BE49-F238E27FC236}">
              <a16:creationId xmlns:a16="http://schemas.microsoft.com/office/drawing/2014/main" id="{00000000-0008-0000-2000-00000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4" name="265 CuadroTexto">
          <a:extLst>
            <a:ext uri="{FF2B5EF4-FFF2-40B4-BE49-F238E27FC236}">
              <a16:creationId xmlns:a16="http://schemas.microsoft.com/office/drawing/2014/main" id="{00000000-0008-0000-2000-00000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5" name="266 CuadroTexto">
          <a:extLst>
            <a:ext uri="{FF2B5EF4-FFF2-40B4-BE49-F238E27FC236}">
              <a16:creationId xmlns:a16="http://schemas.microsoft.com/office/drawing/2014/main" id="{00000000-0008-0000-2000-00000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6" name="267 CuadroTexto">
          <a:extLst>
            <a:ext uri="{FF2B5EF4-FFF2-40B4-BE49-F238E27FC236}">
              <a16:creationId xmlns:a16="http://schemas.microsoft.com/office/drawing/2014/main" id="{00000000-0008-0000-2000-00000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337" name="268 CuadroTexto">
          <a:extLst>
            <a:ext uri="{FF2B5EF4-FFF2-40B4-BE49-F238E27FC236}">
              <a16:creationId xmlns:a16="http://schemas.microsoft.com/office/drawing/2014/main" id="{00000000-0008-0000-2000-00000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8" name="269 CuadroTexto">
          <a:extLst>
            <a:ext uri="{FF2B5EF4-FFF2-40B4-BE49-F238E27FC236}">
              <a16:creationId xmlns:a16="http://schemas.microsoft.com/office/drawing/2014/main" id="{00000000-0008-0000-2000-00000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9" name="270 CuadroTexto">
          <a:extLst>
            <a:ext uri="{FF2B5EF4-FFF2-40B4-BE49-F238E27FC236}">
              <a16:creationId xmlns:a16="http://schemas.microsoft.com/office/drawing/2014/main" id="{00000000-0008-0000-2000-00000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0" name="271 CuadroTexto">
          <a:extLst>
            <a:ext uri="{FF2B5EF4-FFF2-40B4-BE49-F238E27FC236}">
              <a16:creationId xmlns:a16="http://schemas.microsoft.com/office/drawing/2014/main" id="{00000000-0008-0000-2000-00000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1" name="272 CuadroTexto">
          <a:extLst>
            <a:ext uri="{FF2B5EF4-FFF2-40B4-BE49-F238E27FC236}">
              <a16:creationId xmlns:a16="http://schemas.microsoft.com/office/drawing/2014/main" id="{00000000-0008-0000-2000-00000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2" name="273 CuadroTexto">
          <a:extLst>
            <a:ext uri="{FF2B5EF4-FFF2-40B4-BE49-F238E27FC236}">
              <a16:creationId xmlns:a16="http://schemas.microsoft.com/office/drawing/2014/main" id="{00000000-0008-0000-2000-00000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3" name="274 CuadroTexto">
          <a:extLst>
            <a:ext uri="{FF2B5EF4-FFF2-40B4-BE49-F238E27FC236}">
              <a16:creationId xmlns:a16="http://schemas.microsoft.com/office/drawing/2014/main" id="{00000000-0008-0000-2000-00000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4" name="275 CuadroTexto">
          <a:extLst>
            <a:ext uri="{FF2B5EF4-FFF2-40B4-BE49-F238E27FC236}">
              <a16:creationId xmlns:a16="http://schemas.microsoft.com/office/drawing/2014/main" id="{00000000-0008-0000-2000-00001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5" name="276 CuadroTexto">
          <a:extLst>
            <a:ext uri="{FF2B5EF4-FFF2-40B4-BE49-F238E27FC236}">
              <a16:creationId xmlns:a16="http://schemas.microsoft.com/office/drawing/2014/main" id="{00000000-0008-0000-2000-00001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6" name="277 CuadroTexto">
          <a:extLst>
            <a:ext uri="{FF2B5EF4-FFF2-40B4-BE49-F238E27FC236}">
              <a16:creationId xmlns:a16="http://schemas.microsoft.com/office/drawing/2014/main" id="{00000000-0008-0000-2000-00001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7" name="278 CuadroTexto">
          <a:extLst>
            <a:ext uri="{FF2B5EF4-FFF2-40B4-BE49-F238E27FC236}">
              <a16:creationId xmlns:a16="http://schemas.microsoft.com/office/drawing/2014/main" id="{00000000-0008-0000-2000-00001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8" name="279 CuadroTexto">
          <a:extLst>
            <a:ext uri="{FF2B5EF4-FFF2-40B4-BE49-F238E27FC236}">
              <a16:creationId xmlns:a16="http://schemas.microsoft.com/office/drawing/2014/main" id="{00000000-0008-0000-2000-00001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9" name="280 CuadroTexto">
          <a:extLst>
            <a:ext uri="{FF2B5EF4-FFF2-40B4-BE49-F238E27FC236}">
              <a16:creationId xmlns:a16="http://schemas.microsoft.com/office/drawing/2014/main" id="{00000000-0008-0000-2000-00001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0" name="281 CuadroTexto">
          <a:extLst>
            <a:ext uri="{FF2B5EF4-FFF2-40B4-BE49-F238E27FC236}">
              <a16:creationId xmlns:a16="http://schemas.microsoft.com/office/drawing/2014/main" id="{00000000-0008-0000-2000-00001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1" name="282 CuadroTexto">
          <a:extLst>
            <a:ext uri="{FF2B5EF4-FFF2-40B4-BE49-F238E27FC236}">
              <a16:creationId xmlns:a16="http://schemas.microsoft.com/office/drawing/2014/main" id="{00000000-0008-0000-2000-00001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2" name="283 CuadroTexto">
          <a:extLst>
            <a:ext uri="{FF2B5EF4-FFF2-40B4-BE49-F238E27FC236}">
              <a16:creationId xmlns:a16="http://schemas.microsoft.com/office/drawing/2014/main" id="{00000000-0008-0000-2000-00001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3" name="284 CuadroTexto">
          <a:extLst>
            <a:ext uri="{FF2B5EF4-FFF2-40B4-BE49-F238E27FC236}">
              <a16:creationId xmlns:a16="http://schemas.microsoft.com/office/drawing/2014/main" id="{00000000-0008-0000-2000-00001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54" name="285 CuadroTexto">
          <a:extLst>
            <a:ext uri="{FF2B5EF4-FFF2-40B4-BE49-F238E27FC236}">
              <a16:creationId xmlns:a16="http://schemas.microsoft.com/office/drawing/2014/main" id="{00000000-0008-0000-2000-00001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5" name="286 CuadroTexto">
          <a:extLst>
            <a:ext uri="{FF2B5EF4-FFF2-40B4-BE49-F238E27FC236}">
              <a16:creationId xmlns:a16="http://schemas.microsoft.com/office/drawing/2014/main" id="{00000000-0008-0000-2000-00001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6" name="287 CuadroTexto">
          <a:extLst>
            <a:ext uri="{FF2B5EF4-FFF2-40B4-BE49-F238E27FC236}">
              <a16:creationId xmlns:a16="http://schemas.microsoft.com/office/drawing/2014/main" id="{00000000-0008-0000-2000-00001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7" name="288 CuadroTexto">
          <a:extLst>
            <a:ext uri="{FF2B5EF4-FFF2-40B4-BE49-F238E27FC236}">
              <a16:creationId xmlns:a16="http://schemas.microsoft.com/office/drawing/2014/main" id="{00000000-0008-0000-2000-00001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8" name="289 CuadroTexto">
          <a:extLst>
            <a:ext uri="{FF2B5EF4-FFF2-40B4-BE49-F238E27FC236}">
              <a16:creationId xmlns:a16="http://schemas.microsoft.com/office/drawing/2014/main" id="{00000000-0008-0000-2000-00001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9" name="290 CuadroTexto">
          <a:extLst>
            <a:ext uri="{FF2B5EF4-FFF2-40B4-BE49-F238E27FC236}">
              <a16:creationId xmlns:a16="http://schemas.microsoft.com/office/drawing/2014/main" id="{00000000-0008-0000-2000-00001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0" name="291 CuadroTexto">
          <a:extLst>
            <a:ext uri="{FF2B5EF4-FFF2-40B4-BE49-F238E27FC236}">
              <a16:creationId xmlns:a16="http://schemas.microsoft.com/office/drawing/2014/main" id="{00000000-0008-0000-2000-00002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1" name="292 CuadroTexto">
          <a:extLst>
            <a:ext uri="{FF2B5EF4-FFF2-40B4-BE49-F238E27FC236}">
              <a16:creationId xmlns:a16="http://schemas.microsoft.com/office/drawing/2014/main" id="{00000000-0008-0000-2000-00002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2" name="293 CuadroTexto">
          <a:extLst>
            <a:ext uri="{FF2B5EF4-FFF2-40B4-BE49-F238E27FC236}">
              <a16:creationId xmlns:a16="http://schemas.microsoft.com/office/drawing/2014/main" id="{00000000-0008-0000-2000-00002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3" name="294 CuadroTexto">
          <a:extLst>
            <a:ext uri="{FF2B5EF4-FFF2-40B4-BE49-F238E27FC236}">
              <a16:creationId xmlns:a16="http://schemas.microsoft.com/office/drawing/2014/main" id="{00000000-0008-0000-2000-00002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4" name="295 CuadroTexto">
          <a:extLst>
            <a:ext uri="{FF2B5EF4-FFF2-40B4-BE49-F238E27FC236}">
              <a16:creationId xmlns:a16="http://schemas.microsoft.com/office/drawing/2014/main" id="{00000000-0008-0000-2000-00002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5" name="296 CuadroTexto">
          <a:extLst>
            <a:ext uri="{FF2B5EF4-FFF2-40B4-BE49-F238E27FC236}">
              <a16:creationId xmlns:a16="http://schemas.microsoft.com/office/drawing/2014/main" id="{00000000-0008-0000-2000-00002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6" name="17 CuadroTexto">
          <a:extLst>
            <a:ext uri="{FF2B5EF4-FFF2-40B4-BE49-F238E27FC236}">
              <a16:creationId xmlns:a16="http://schemas.microsoft.com/office/drawing/2014/main" id="{00000000-0008-0000-2000-00002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367" name="90 CuadroTexto">
          <a:extLst>
            <a:ext uri="{FF2B5EF4-FFF2-40B4-BE49-F238E27FC236}">
              <a16:creationId xmlns:a16="http://schemas.microsoft.com/office/drawing/2014/main" id="{00000000-0008-0000-2000-00002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8" name="91 CuadroTexto">
          <a:extLst>
            <a:ext uri="{FF2B5EF4-FFF2-40B4-BE49-F238E27FC236}">
              <a16:creationId xmlns:a16="http://schemas.microsoft.com/office/drawing/2014/main" id="{00000000-0008-0000-2000-00002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9" name="92 CuadroTexto">
          <a:extLst>
            <a:ext uri="{FF2B5EF4-FFF2-40B4-BE49-F238E27FC236}">
              <a16:creationId xmlns:a16="http://schemas.microsoft.com/office/drawing/2014/main" id="{00000000-0008-0000-2000-00002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0" name="93 CuadroTexto">
          <a:extLst>
            <a:ext uri="{FF2B5EF4-FFF2-40B4-BE49-F238E27FC236}">
              <a16:creationId xmlns:a16="http://schemas.microsoft.com/office/drawing/2014/main" id="{00000000-0008-0000-2000-00002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1" name="94 CuadroTexto">
          <a:extLst>
            <a:ext uri="{FF2B5EF4-FFF2-40B4-BE49-F238E27FC236}">
              <a16:creationId xmlns:a16="http://schemas.microsoft.com/office/drawing/2014/main" id="{00000000-0008-0000-2000-00002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2" name="95 CuadroTexto">
          <a:extLst>
            <a:ext uri="{FF2B5EF4-FFF2-40B4-BE49-F238E27FC236}">
              <a16:creationId xmlns:a16="http://schemas.microsoft.com/office/drawing/2014/main" id="{00000000-0008-0000-2000-00002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3" name="96 CuadroTexto">
          <a:extLst>
            <a:ext uri="{FF2B5EF4-FFF2-40B4-BE49-F238E27FC236}">
              <a16:creationId xmlns:a16="http://schemas.microsoft.com/office/drawing/2014/main" id="{00000000-0008-0000-2000-00002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4" name="97 CuadroTexto">
          <a:extLst>
            <a:ext uri="{FF2B5EF4-FFF2-40B4-BE49-F238E27FC236}">
              <a16:creationId xmlns:a16="http://schemas.microsoft.com/office/drawing/2014/main" id="{00000000-0008-0000-2000-00002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5" name="98 CuadroTexto">
          <a:extLst>
            <a:ext uri="{FF2B5EF4-FFF2-40B4-BE49-F238E27FC236}">
              <a16:creationId xmlns:a16="http://schemas.microsoft.com/office/drawing/2014/main" id="{00000000-0008-0000-2000-00002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6" name="99 CuadroTexto">
          <a:extLst>
            <a:ext uri="{FF2B5EF4-FFF2-40B4-BE49-F238E27FC236}">
              <a16:creationId xmlns:a16="http://schemas.microsoft.com/office/drawing/2014/main" id="{00000000-0008-0000-2000-00003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7" name="100 CuadroTexto">
          <a:extLst>
            <a:ext uri="{FF2B5EF4-FFF2-40B4-BE49-F238E27FC236}">
              <a16:creationId xmlns:a16="http://schemas.microsoft.com/office/drawing/2014/main" id="{00000000-0008-0000-2000-00003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8" name="101 CuadroTexto">
          <a:extLst>
            <a:ext uri="{FF2B5EF4-FFF2-40B4-BE49-F238E27FC236}">
              <a16:creationId xmlns:a16="http://schemas.microsoft.com/office/drawing/2014/main" id="{00000000-0008-0000-2000-000032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79" name="118 CuadroTexto">
          <a:extLst>
            <a:ext uri="{FF2B5EF4-FFF2-40B4-BE49-F238E27FC236}">
              <a16:creationId xmlns:a16="http://schemas.microsoft.com/office/drawing/2014/main" id="{00000000-0008-0000-2000-00003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0" name="119 CuadroTexto">
          <a:extLst>
            <a:ext uri="{FF2B5EF4-FFF2-40B4-BE49-F238E27FC236}">
              <a16:creationId xmlns:a16="http://schemas.microsoft.com/office/drawing/2014/main" id="{00000000-0008-0000-2000-00003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1" name="120 CuadroTexto">
          <a:extLst>
            <a:ext uri="{FF2B5EF4-FFF2-40B4-BE49-F238E27FC236}">
              <a16:creationId xmlns:a16="http://schemas.microsoft.com/office/drawing/2014/main" id="{00000000-0008-0000-2000-00003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2" name="121 CuadroTexto">
          <a:extLst>
            <a:ext uri="{FF2B5EF4-FFF2-40B4-BE49-F238E27FC236}">
              <a16:creationId xmlns:a16="http://schemas.microsoft.com/office/drawing/2014/main" id="{00000000-0008-0000-2000-00003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3" name="122 CuadroTexto">
          <a:extLst>
            <a:ext uri="{FF2B5EF4-FFF2-40B4-BE49-F238E27FC236}">
              <a16:creationId xmlns:a16="http://schemas.microsoft.com/office/drawing/2014/main" id="{00000000-0008-0000-2000-00003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4" name="123 CuadroTexto">
          <a:extLst>
            <a:ext uri="{FF2B5EF4-FFF2-40B4-BE49-F238E27FC236}">
              <a16:creationId xmlns:a16="http://schemas.microsoft.com/office/drawing/2014/main" id="{00000000-0008-0000-2000-00003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5" name="124 CuadroTexto">
          <a:extLst>
            <a:ext uri="{FF2B5EF4-FFF2-40B4-BE49-F238E27FC236}">
              <a16:creationId xmlns:a16="http://schemas.microsoft.com/office/drawing/2014/main" id="{00000000-0008-0000-2000-00003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6" name="125 CuadroTexto">
          <a:extLst>
            <a:ext uri="{FF2B5EF4-FFF2-40B4-BE49-F238E27FC236}">
              <a16:creationId xmlns:a16="http://schemas.microsoft.com/office/drawing/2014/main" id="{00000000-0008-0000-2000-00003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7" name="143 CuadroTexto">
          <a:extLst>
            <a:ext uri="{FF2B5EF4-FFF2-40B4-BE49-F238E27FC236}">
              <a16:creationId xmlns:a16="http://schemas.microsoft.com/office/drawing/2014/main" id="{00000000-0008-0000-2000-00003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8" name="144 CuadroTexto">
          <a:extLst>
            <a:ext uri="{FF2B5EF4-FFF2-40B4-BE49-F238E27FC236}">
              <a16:creationId xmlns:a16="http://schemas.microsoft.com/office/drawing/2014/main" id="{00000000-0008-0000-2000-00003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9" name="145 CuadroTexto">
          <a:extLst>
            <a:ext uri="{FF2B5EF4-FFF2-40B4-BE49-F238E27FC236}">
              <a16:creationId xmlns:a16="http://schemas.microsoft.com/office/drawing/2014/main" id="{00000000-0008-0000-2000-00003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0" name="146 CuadroTexto">
          <a:extLst>
            <a:ext uri="{FF2B5EF4-FFF2-40B4-BE49-F238E27FC236}">
              <a16:creationId xmlns:a16="http://schemas.microsoft.com/office/drawing/2014/main" id="{00000000-0008-0000-2000-00003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1" name="147 CuadroTexto">
          <a:extLst>
            <a:ext uri="{FF2B5EF4-FFF2-40B4-BE49-F238E27FC236}">
              <a16:creationId xmlns:a16="http://schemas.microsoft.com/office/drawing/2014/main" id="{00000000-0008-0000-2000-00003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2" name="148 CuadroTexto">
          <a:extLst>
            <a:ext uri="{FF2B5EF4-FFF2-40B4-BE49-F238E27FC236}">
              <a16:creationId xmlns:a16="http://schemas.microsoft.com/office/drawing/2014/main" id="{00000000-0008-0000-2000-00004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3" name="149 CuadroTexto">
          <a:extLst>
            <a:ext uri="{FF2B5EF4-FFF2-40B4-BE49-F238E27FC236}">
              <a16:creationId xmlns:a16="http://schemas.microsoft.com/office/drawing/2014/main" id="{00000000-0008-0000-2000-00004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4" name="150 CuadroTexto">
          <a:extLst>
            <a:ext uri="{FF2B5EF4-FFF2-40B4-BE49-F238E27FC236}">
              <a16:creationId xmlns:a16="http://schemas.microsoft.com/office/drawing/2014/main" id="{00000000-0008-0000-2000-00004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5" name="151 CuadroTexto">
          <a:extLst>
            <a:ext uri="{FF2B5EF4-FFF2-40B4-BE49-F238E27FC236}">
              <a16:creationId xmlns:a16="http://schemas.microsoft.com/office/drawing/2014/main" id="{00000000-0008-0000-2000-00004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6" name="152 CuadroTexto">
          <a:extLst>
            <a:ext uri="{FF2B5EF4-FFF2-40B4-BE49-F238E27FC236}">
              <a16:creationId xmlns:a16="http://schemas.microsoft.com/office/drawing/2014/main" id="{00000000-0008-0000-2000-00004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7" name="153 CuadroTexto">
          <a:extLst>
            <a:ext uri="{FF2B5EF4-FFF2-40B4-BE49-F238E27FC236}">
              <a16:creationId xmlns:a16="http://schemas.microsoft.com/office/drawing/2014/main" id="{00000000-0008-0000-2000-00004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8" name="154 CuadroTexto">
          <a:extLst>
            <a:ext uri="{FF2B5EF4-FFF2-40B4-BE49-F238E27FC236}">
              <a16:creationId xmlns:a16="http://schemas.microsoft.com/office/drawing/2014/main" id="{00000000-0008-0000-2000-00004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9" name="155 CuadroTexto">
          <a:extLst>
            <a:ext uri="{FF2B5EF4-FFF2-40B4-BE49-F238E27FC236}">
              <a16:creationId xmlns:a16="http://schemas.microsoft.com/office/drawing/2014/main" id="{00000000-0008-0000-2000-00004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0" name="156 CuadroTexto">
          <a:extLst>
            <a:ext uri="{FF2B5EF4-FFF2-40B4-BE49-F238E27FC236}">
              <a16:creationId xmlns:a16="http://schemas.microsoft.com/office/drawing/2014/main" id="{00000000-0008-0000-2000-00004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1" name="157 CuadroTexto">
          <a:extLst>
            <a:ext uri="{FF2B5EF4-FFF2-40B4-BE49-F238E27FC236}">
              <a16:creationId xmlns:a16="http://schemas.microsoft.com/office/drawing/2014/main" id="{00000000-0008-0000-2000-00004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2" name="158 CuadroTexto">
          <a:extLst>
            <a:ext uri="{FF2B5EF4-FFF2-40B4-BE49-F238E27FC236}">
              <a16:creationId xmlns:a16="http://schemas.microsoft.com/office/drawing/2014/main" id="{00000000-0008-0000-2000-00004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3" name="159 CuadroTexto">
          <a:extLst>
            <a:ext uri="{FF2B5EF4-FFF2-40B4-BE49-F238E27FC236}">
              <a16:creationId xmlns:a16="http://schemas.microsoft.com/office/drawing/2014/main" id="{00000000-0008-0000-2000-00004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4" name="160 CuadroTexto">
          <a:extLst>
            <a:ext uri="{FF2B5EF4-FFF2-40B4-BE49-F238E27FC236}">
              <a16:creationId xmlns:a16="http://schemas.microsoft.com/office/drawing/2014/main" id="{00000000-0008-0000-2000-00004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5" name="161 CuadroTexto">
          <a:extLst>
            <a:ext uri="{FF2B5EF4-FFF2-40B4-BE49-F238E27FC236}">
              <a16:creationId xmlns:a16="http://schemas.microsoft.com/office/drawing/2014/main" id="{00000000-0008-0000-2000-00004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6" name="162 CuadroTexto">
          <a:extLst>
            <a:ext uri="{FF2B5EF4-FFF2-40B4-BE49-F238E27FC236}">
              <a16:creationId xmlns:a16="http://schemas.microsoft.com/office/drawing/2014/main" id="{00000000-0008-0000-2000-00004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7" name="163 CuadroTexto">
          <a:extLst>
            <a:ext uri="{FF2B5EF4-FFF2-40B4-BE49-F238E27FC236}">
              <a16:creationId xmlns:a16="http://schemas.microsoft.com/office/drawing/2014/main" id="{00000000-0008-0000-2000-00004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8" name="164 CuadroTexto">
          <a:extLst>
            <a:ext uri="{FF2B5EF4-FFF2-40B4-BE49-F238E27FC236}">
              <a16:creationId xmlns:a16="http://schemas.microsoft.com/office/drawing/2014/main" id="{00000000-0008-0000-2000-00005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9" name="165 CuadroTexto">
          <a:extLst>
            <a:ext uri="{FF2B5EF4-FFF2-40B4-BE49-F238E27FC236}">
              <a16:creationId xmlns:a16="http://schemas.microsoft.com/office/drawing/2014/main" id="{00000000-0008-0000-2000-00005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0" name="166 CuadroTexto">
          <a:extLst>
            <a:ext uri="{FF2B5EF4-FFF2-40B4-BE49-F238E27FC236}">
              <a16:creationId xmlns:a16="http://schemas.microsoft.com/office/drawing/2014/main" id="{00000000-0008-0000-2000-00005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1" name="167 CuadroTexto">
          <a:extLst>
            <a:ext uri="{FF2B5EF4-FFF2-40B4-BE49-F238E27FC236}">
              <a16:creationId xmlns:a16="http://schemas.microsoft.com/office/drawing/2014/main" id="{00000000-0008-0000-2000-00005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2" name="168 CuadroTexto">
          <a:extLst>
            <a:ext uri="{FF2B5EF4-FFF2-40B4-BE49-F238E27FC236}">
              <a16:creationId xmlns:a16="http://schemas.microsoft.com/office/drawing/2014/main" id="{00000000-0008-0000-2000-00005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3" name="169 CuadroTexto">
          <a:extLst>
            <a:ext uri="{FF2B5EF4-FFF2-40B4-BE49-F238E27FC236}">
              <a16:creationId xmlns:a16="http://schemas.microsoft.com/office/drawing/2014/main" id="{00000000-0008-0000-2000-00005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4" name="170 CuadroTexto">
          <a:extLst>
            <a:ext uri="{FF2B5EF4-FFF2-40B4-BE49-F238E27FC236}">
              <a16:creationId xmlns:a16="http://schemas.microsoft.com/office/drawing/2014/main" id="{00000000-0008-0000-2000-00005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5" name="171 CuadroTexto">
          <a:extLst>
            <a:ext uri="{FF2B5EF4-FFF2-40B4-BE49-F238E27FC236}">
              <a16:creationId xmlns:a16="http://schemas.microsoft.com/office/drawing/2014/main" id="{00000000-0008-0000-2000-00005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6" name="172 CuadroTexto">
          <a:extLst>
            <a:ext uri="{FF2B5EF4-FFF2-40B4-BE49-F238E27FC236}">
              <a16:creationId xmlns:a16="http://schemas.microsoft.com/office/drawing/2014/main" id="{00000000-0008-0000-2000-00005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7" name="173 CuadroTexto">
          <a:extLst>
            <a:ext uri="{FF2B5EF4-FFF2-40B4-BE49-F238E27FC236}">
              <a16:creationId xmlns:a16="http://schemas.microsoft.com/office/drawing/2014/main" id="{00000000-0008-0000-2000-00005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8" name="174 CuadroTexto">
          <a:extLst>
            <a:ext uri="{FF2B5EF4-FFF2-40B4-BE49-F238E27FC236}">
              <a16:creationId xmlns:a16="http://schemas.microsoft.com/office/drawing/2014/main" id="{00000000-0008-0000-2000-00005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9" name="175 CuadroTexto">
          <a:extLst>
            <a:ext uri="{FF2B5EF4-FFF2-40B4-BE49-F238E27FC236}">
              <a16:creationId xmlns:a16="http://schemas.microsoft.com/office/drawing/2014/main" id="{00000000-0008-0000-2000-00005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0" name="176 CuadroTexto">
          <a:extLst>
            <a:ext uri="{FF2B5EF4-FFF2-40B4-BE49-F238E27FC236}">
              <a16:creationId xmlns:a16="http://schemas.microsoft.com/office/drawing/2014/main" id="{00000000-0008-0000-2000-00005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1" name="177 CuadroTexto">
          <a:extLst>
            <a:ext uri="{FF2B5EF4-FFF2-40B4-BE49-F238E27FC236}">
              <a16:creationId xmlns:a16="http://schemas.microsoft.com/office/drawing/2014/main" id="{00000000-0008-0000-2000-00005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2" name="178 CuadroTexto">
          <a:extLst>
            <a:ext uri="{FF2B5EF4-FFF2-40B4-BE49-F238E27FC236}">
              <a16:creationId xmlns:a16="http://schemas.microsoft.com/office/drawing/2014/main" id="{00000000-0008-0000-2000-00005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3" name="179 CuadroTexto">
          <a:extLst>
            <a:ext uri="{FF2B5EF4-FFF2-40B4-BE49-F238E27FC236}">
              <a16:creationId xmlns:a16="http://schemas.microsoft.com/office/drawing/2014/main" id="{00000000-0008-0000-2000-00005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4" name="180 CuadroTexto">
          <a:extLst>
            <a:ext uri="{FF2B5EF4-FFF2-40B4-BE49-F238E27FC236}">
              <a16:creationId xmlns:a16="http://schemas.microsoft.com/office/drawing/2014/main" id="{00000000-0008-0000-2000-00006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5" name="181 CuadroTexto">
          <a:extLst>
            <a:ext uri="{FF2B5EF4-FFF2-40B4-BE49-F238E27FC236}">
              <a16:creationId xmlns:a16="http://schemas.microsoft.com/office/drawing/2014/main" id="{00000000-0008-0000-2000-00006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6" name="182 CuadroTexto">
          <a:extLst>
            <a:ext uri="{FF2B5EF4-FFF2-40B4-BE49-F238E27FC236}">
              <a16:creationId xmlns:a16="http://schemas.microsoft.com/office/drawing/2014/main" id="{00000000-0008-0000-2000-00006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7" name="183 CuadroTexto">
          <a:extLst>
            <a:ext uri="{FF2B5EF4-FFF2-40B4-BE49-F238E27FC236}">
              <a16:creationId xmlns:a16="http://schemas.microsoft.com/office/drawing/2014/main" id="{00000000-0008-0000-2000-00006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8" name="184 CuadroTexto">
          <a:extLst>
            <a:ext uri="{FF2B5EF4-FFF2-40B4-BE49-F238E27FC236}">
              <a16:creationId xmlns:a16="http://schemas.microsoft.com/office/drawing/2014/main" id="{00000000-0008-0000-2000-00006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9" name="185 CuadroTexto">
          <a:extLst>
            <a:ext uri="{FF2B5EF4-FFF2-40B4-BE49-F238E27FC236}">
              <a16:creationId xmlns:a16="http://schemas.microsoft.com/office/drawing/2014/main" id="{00000000-0008-0000-2000-00006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0" name="186 CuadroTexto">
          <a:extLst>
            <a:ext uri="{FF2B5EF4-FFF2-40B4-BE49-F238E27FC236}">
              <a16:creationId xmlns:a16="http://schemas.microsoft.com/office/drawing/2014/main" id="{00000000-0008-0000-2000-00006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1" name="187 CuadroTexto">
          <a:extLst>
            <a:ext uri="{FF2B5EF4-FFF2-40B4-BE49-F238E27FC236}">
              <a16:creationId xmlns:a16="http://schemas.microsoft.com/office/drawing/2014/main" id="{00000000-0008-0000-2000-00006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2" name="188 CuadroTexto">
          <a:extLst>
            <a:ext uri="{FF2B5EF4-FFF2-40B4-BE49-F238E27FC236}">
              <a16:creationId xmlns:a16="http://schemas.microsoft.com/office/drawing/2014/main" id="{00000000-0008-0000-2000-00006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3" name="189 CuadroTexto">
          <a:extLst>
            <a:ext uri="{FF2B5EF4-FFF2-40B4-BE49-F238E27FC236}">
              <a16:creationId xmlns:a16="http://schemas.microsoft.com/office/drawing/2014/main" id="{00000000-0008-0000-2000-00006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4" name="190 CuadroTexto">
          <a:extLst>
            <a:ext uri="{FF2B5EF4-FFF2-40B4-BE49-F238E27FC236}">
              <a16:creationId xmlns:a16="http://schemas.microsoft.com/office/drawing/2014/main" id="{00000000-0008-0000-2000-00006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5" name="191 CuadroTexto">
          <a:extLst>
            <a:ext uri="{FF2B5EF4-FFF2-40B4-BE49-F238E27FC236}">
              <a16:creationId xmlns:a16="http://schemas.microsoft.com/office/drawing/2014/main" id="{00000000-0008-0000-2000-00006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6" name="192 CuadroTexto">
          <a:extLst>
            <a:ext uri="{FF2B5EF4-FFF2-40B4-BE49-F238E27FC236}">
              <a16:creationId xmlns:a16="http://schemas.microsoft.com/office/drawing/2014/main" id="{00000000-0008-0000-2000-00006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7" name="193 CuadroTexto">
          <a:extLst>
            <a:ext uri="{FF2B5EF4-FFF2-40B4-BE49-F238E27FC236}">
              <a16:creationId xmlns:a16="http://schemas.microsoft.com/office/drawing/2014/main" id="{00000000-0008-0000-2000-00006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8" name="194 CuadroTexto">
          <a:extLst>
            <a:ext uri="{FF2B5EF4-FFF2-40B4-BE49-F238E27FC236}">
              <a16:creationId xmlns:a16="http://schemas.microsoft.com/office/drawing/2014/main" id="{00000000-0008-0000-2000-00006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9" name="195 CuadroTexto">
          <a:extLst>
            <a:ext uri="{FF2B5EF4-FFF2-40B4-BE49-F238E27FC236}">
              <a16:creationId xmlns:a16="http://schemas.microsoft.com/office/drawing/2014/main" id="{00000000-0008-0000-2000-00006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0" name="196 CuadroTexto">
          <a:extLst>
            <a:ext uri="{FF2B5EF4-FFF2-40B4-BE49-F238E27FC236}">
              <a16:creationId xmlns:a16="http://schemas.microsoft.com/office/drawing/2014/main" id="{00000000-0008-0000-2000-00007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1" name="197 CuadroTexto">
          <a:extLst>
            <a:ext uri="{FF2B5EF4-FFF2-40B4-BE49-F238E27FC236}">
              <a16:creationId xmlns:a16="http://schemas.microsoft.com/office/drawing/2014/main" id="{00000000-0008-0000-2000-00007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2" name="198 CuadroTexto">
          <a:extLst>
            <a:ext uri="{FF2B5EF4-FFF2-40B4-BE49-F238E27FC236}">
              <a16:creationId xmlns:a16="http://schemas.microsoft.com/office/drawing/2014/main" id="{00000000-0008-0000-2000-00007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3" name="199 CuadroTexto">
          <a:extLst>
            <a:ext uri="{FF2B5EF4-FFF2-40B4-BE49-F238E27FC236}">
              <a16:creationId xmlns:a16="http://schemas.microsoft.com/office/drawing/2014/main" id="{00000000-0008-0000-2000-00007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4" name="200 CuadroTexto">
          <a:extLst>
            <a:ext uri="{FF2B5EF4-FFF2-40B4-BE49-F238E27FC236}">
              <a16:creationId xmlns:a16="http://schemas.microsoft.com/office/drawing/2014/main" id="{00000000-0008-0000-2000-00007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5" name="201 CuadroTexto">
          <a:extLst>
            <a:ext uri="{FF2B5EF4-FFF2-40B4-BE49-F238E27FC236}">
              <a16:creationId xmlns:a16="http://schemas.microsoft.com/office/drawing/2014/main" id="{00000000-0008-0000-2000-00007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6" name="202 CuadroTexto">
          <a:extLst>
            <a:ext uri="{FF2B5EF4-FFF2-40B4-BE49-F238E27FC236}">
              <a16:creationId xmlns:a16="http://schemas.microsoft.com/office/drawing/2014/main" id="{00000000-0008-0000-2000-00007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7" name="203 CuadroTexto">
          <a:extLst>
            <a:ext uri="{FF2B5EF4-FFF2-40B4-BE49-F238E27FC236}">
              <a16:creationId xmlns:a16="http://schemas.microsoft.com/office/drawing/2014/main" id="{00000000-0008-0000-2000-00007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8" name="204 CuadroTexto">
          <a:extLst>
            <a:ext uri="{FF2B5EF4-FFF2-40B4-BE49-F238E27FC236}">
              <a16:creationId xmlns:a16="http://schemas.microsoft.com/office/drawing/2014/main" id="{00000000-0008-0000-2000-00007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9" name="205 CuadroTexto">
          <a:extLst>
            <a:ext uri="{FF2B5EF4-FFF2-40B4-BE49-F238E27FC236}">
              <a16:creationId xmlns:a16="http://schemas.microsoft.com/office/drawing/2014/main" id="{00000000-0008-0000-2000-00007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0" name="206 CuadroTexto">
          <a:extLst>
            <a:ext uri="{FF2B5EF4-FFF2-40B4-BE49-F238E27FC236}">
              <a16:creationId xmlns:a16="http://schemas.microsoft.com/office/drawing/2014/main" id="{00000000-0008-0000-2000-00007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1" name="207 CuadroTexto">
          <a:extLst>
            <a:ext uri="{FF2B5EF4-FFF2-40B4-BE49-F238E27FC236}">
              <a16:creationId xmlns:a16="http://schemas.microsoft.com/office/drawing/2014/main" id="{00000000-0008-0000-2000-00007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2" name="208 CuadroTexto">
          <a:extLst>
            <a:ext uri="{FF2B5EF4-FFF2-40B4-BE49-F238E27FC236}">
              <a16:creationId xmlns:a16="http://schemas.microsoft.com/office/drawing/2014/main" id="{00000000-0008-0000-2000-00007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3" name="209 CuadroTexto">
          <a:extLst>
            <a:ext uri="{FF2B5EF4-FFF2-40B4-BE49-F238E27FC236}">
              <a16:creationId xmlns:a16="http://schemas.microsoft.com/office/drawing/2014/main" id="{00000000-0008-0000-2000-00007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4" name="210 CuadroTexto">
          <a:extLst>
            <a:ext uri="{FF2B5EF4-FFF2-40B4-BE49-F238E27FC236}">
              <a16:creationId xmlns:a16="http://schemas.microsoft.com/office/drawing/2014/main" id="{00000000-0008-0000-2000-00007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5" name="211 CuadroTexto">
          <a:extLst>
            <a:ext uri="{FF2B5EF4-FFF2-40B4-BE49-F238E27FC236}">
              <a16:creationId xmlns:a16="http://schemas.microsoft.com/office/drawing/2014/main" id="{00000000-0008-0000-2000-00007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6" name="212 CuadroTexto">
          <a:extLst>
            <a:ext uri="{FF2B5EF4-FFF2-40B4-BE49-F238E27FC236}">
              <a16:creationId xmlns:a16="http://schemas.microsoft.com/office/drawing/2014/main" id="{00000000-0008-0000-2000-00008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7" name="213 CuadroTexto">
          <a:extLst>
            <a:ext uri="{FF2B5EF4-FFF2-40B4-BE49-F238E27FC236}">
              <a16:creationId xmlns:a16="http://schemas.microsoft.com/office/drawing/2014/main" id="{00000000-0008-0000-2000-00008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8" name="214 CuadroTexto">
          <a:extLst>
            <a:ext uri="{FF2B5EF4-FFF2-40B4-BE49-F238E27FC236}">
              <a16:creationId xmlns:a16="http://schemas.microsoft.com/office/drawing/2014/main" id="{00000000-0008-0000-2000-00008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9" name="215 CuadroTexto">
          <a:extLst>
            <a:ext uri="{FF2B5EF4-FFF2-40B4-BE49-F238E27FC236}">
              <a16:creationId xmlns:a16="http://schemas.microsoft.com/office/drawing/2014/main" id="{00000000-0008-0000-2000-00008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0" name="216 CuadroTexto">
          <a:extLst>
            <a:ext uri="{FF2B5EF4-FFF2-40B4-BE49-F238E27FC236}">
              <a16:creationId xmlns:a16="http://schemas.microsoft.com/office/drawing/2014/main" id="{00000000-0008-0000-2000-00008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1" name="217 CuadroTexto">
          <a:extLst>
            <a:ext uri="{FF2B5EF4-FFF2-40B4-BE49-F238E27FC236}">
              <a16:creationId xmlns:a16="http://schemas.microsoft.com/office/drawing/2014/main" id="{00000000-0008-0000-2000-00008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2" name="218 CuadroTexto">
          <a:extLst>
            <a:ext uri="{FF2B5EF4-FFF2-40B4-BE49-F238E27FC236}">
              <a16:creationId xmlns:a16="http://schemas.microsoft.com/office/drawing/2014/main" id="{00000000-0008-0000-2000-00008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3" name="219 CuadroTexto">
          <a:extLst>
            <a:ext uri="{FF2B5EF4-FFF2-40B4-BE49-F238E27FC236}">
              <a16:creationId xmlns:a16="http://schemas.microsoft.com/office/drawing/2014/main" id="{00000000-0008-0000-2000-00008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4" name="220 CuadroTexto">
          <a:extLst>
            <a:ext uri="{FF2B5EF4-FFF2-40B4-BE49-F238E27FC236}">
              <a16:creationId xmlns:a16="http://schemas.microsoft.com/office/drawing/2014/main" id="{00000000-0008-0000-2000-00008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5" name="221 CuadroTexto">
          <a:extLst>
            <a:ext uri="{FF2B5EF4-FFF2-40B4-BE49-F238E27FC236}">
              <a16:creationId xmlns:a16="http://schemas.microsoft.com/office/drawing/2014/main" id="{00000000-0008-0000-2000-00008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6" name="222 CuadroTexto">
          <a:extLst>
            <a:ext uri="{FF2B5EF4-FFF2-40B4-BE49-F238E27FC236}">
              <a16:creationId xmlns:a16="http://schemas.microsoft.com/office/drawing/2014/main" id="{00000000-0008-0000-2000-00008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7" name="223 CuadroTexto">
          <a:extLst>
            <a:ext uri="{FF2B5EF4-FFF2-40B4-BE49-F238E27FC236}">
              <a16:creationId xmlns:a16="http://schemas.microsoft.com/office/drawing/2014/main" id="{00000000-0008-0000-2000-00008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8" name="224 CuadroTexto">
          <a:extLst>
            <a:ext uri="{FF2B5EF4-FFF2-40B4-BE49-F238E27FC236}">
              <a16:creationId xmlns:a16="http://schemas.microsoft.com/office/drawing/2014/main" id="{00000000-0008-0000-2000-00008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9" name="225 CuadroTexto">
          <a:extLst>
            <a:ext uri="{FF2B5EF4-FFF2-40B4-BE49-F238E27FC236}">
              <a16:creationId xmlns:a16="http://schemas.microsoft.com/office/drawing/2014/main" id="{00000000-0008-0000-2000-00008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0" name="226 CuadroTexto">
          <a:extLst>
            <a:ext uri="{FF2B5EF4-FFF2-40B4-BE49-F238E27FC236}">
              <a16:creationId xmlns:a16="http://schemas.microsoft.com/office/drawing/2014/main" id="{00000000-0008-0000-2000-00008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1" name="227 CuadroTexto">
          <a:extLst>
            <a:ext uri="{FF2B5EF4-FFF2-40B4-BE49-F238E27FC236}">
              <a16:creationId xmlns:a16="http://schemas.microsoft.com/office/drawing/2014/main" id="{00000000-0008-0000-2000-00008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2" name="228 CuadroTexto">
          <a:extLst>
            <a:ext uri="{FF2B5EF4-FFF2-40B4-BE49-F238E27FC236}">
              <a16:creationId xmlns:a16="http://schemas.microsoft.com/office/drawing/2014/main" id="{00000000-0008-0000-2000-00009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3" name="229 CuadroTexto">
          <a:extLst>
            <a:ext uri="{FF2B5EF4-FFF2-40B4-BE49-F238E27FC236}">
              <a16:creationId xmlns:a16="http://schemas.microsoft.com/office/drawing/2014/main" id="{00000000-0008-0000-2000-00009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4" name="230 CuadroTexto">
          <a:extLst>
            <a:ext uri="{FF2B5EF4-FFF2-40B4-BE49-F238E27FC236}">
              <a16:creationId xmlns:a16="http://schemas.microsoft.com/office/drawing/2014/main" id="{00000000-0008-0000-2000-00009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5" name="231 CuadroTexto">
          <a:extLst>
            <a:ext uri="{FF2B5EF4-FFF2-40B4-BE49-F238E27FC236}">
              <a16:creationId xmlns:a16="http://schemas.microsoft.com/office/drawing/2014/main" id="{00000000-0008-0000-2000-00009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6" name="232 CuadroTexto">
          <a:extLst>
            <a:ext uri="{FF2B5EF4-FFF2-40B4-BE49-F238E27FC236}">
              <a16:creationId xmlns:a16="http://schemas.microsoft.com/office/drawing/2014/main" id="{00000000-0008-0000-2000-00009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7" name="233 CuadroTexto">
          <a:extLst>
            <a:ext uri="{FF2B5EF4-FFF2-40B4-BE49-F238E27FC236}">
              <a16:creationId xmlns:a16="http://schemas.microsoft.com/office/drawing/2014/main" id="{00000000-0008-0000-2000-00009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8" name="234 CuadroTexto">
          <a:extLst>
            <a:ext uri="{FF2B5EF4-FFF2-40B4-BE49-F238E27FC236}">
              <a16:creationId xmlns:a16="http://schemas.microsoft.com/office/drawing/2014/main" id="{00000000-0008-0000-2000-00009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9" name="235 CuadroTexto">
          <a:extLst>
            <a:ext uri="{FF2B5EF4-FFF2-40B4-BE49-F238E27FC236}">
              <a16:creationId xmlns:a16="http://schemas.microsoft.com/office/drawing/2014/main" id="{00000000-0008-0000-2000-00009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0" name="236 CuadroTexto">
          <a:extLst>
            <a:ext uri="{FF2B5EF4-FFF2-40B4-BE49-F238E27FC236}">
              <a16:creationId xmlns:a16="http://schemas.microsoft.com/office/drawing/2014/main" id="{00000000-0008-0000-2000-00009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1" name="237 CuadroTexto">
          <a:extLst>
            <a:ext uri="{FF2B5EF4-FFF2-40B4-BE49-F238E27FC236}">
              <a16:creationId xmlns:a16="http://schemas.microsoft.com/office/drawing/2014/main" id="{00000000-0008-0000-2000-00009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2" name="238 CuadroTexto">
          <a:extLst>
            <a:ext uri="{FF2B5EF4-FFF2-40B4-BE49-F238E27FC236}">
              <a16:creationId xmlns:a16="http://schemas.microsoft.com/office/drawing/2014/main" id="{00000000-0008-0000-2000-00009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3" name="239 CuadroTexto">
          <a:extLst>
            <a:ext uri="{FF2B5EF4-FFF2-40B4-BE49-F238E27FC236}">
              <a16:creationId xmlns:a16="http://schemas.microsoft.com/office/drawing/2014/main" id="{00000000-0008-0000-2000-00009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4" name="240 CuadroTexto">
          <a:extLst>
            <a:ext uri="{FF2B5EF4-FFF2-40B4-BE49-F238E27FC236}">
              <a16:creationId xmlns:a16="http://schemas.microsoft.com/office/drawing/2014/main" id="{00000000-0008-0000-2000-00009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5" name="241 CuadroTexto">
          <a:extLst>
            <a:ext uri="{FF2B5EF4-FFF2-40B4-BE49-F238E27FC236}">
              <a16:creationId xmlns:a16="http://schemas.microsoft.com/office/drawing/2014/main" id="{00000000-0008-0000-2000-00009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6" name="242 CuadroTexto">
          <a:extLst>
            <a:ext uri="{FF2B5EF4-FFF2-40B4-BE49-F238E27FC236}">
              <a16:creationId xmlns:a16="http://schemas.microsoft.com/office/drawing/2014/main" id="{00000000-0008-0000-2000-00009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7" name="243 CuadroTexto">
          <a:extLst>
            <a:ext uri="{FF2B5EF4-FFF2-40B4-BE49-F238E27FC236}">
              <a16:creationId xmlns:a16="http://schemas.microsoft.com/office/drawing/2014/main" id="{00000000-0008-0000-2000-00009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8" name="244 CuadroTexto">
          <a:extLst>
            <a:ext uri="{FF2B5EF4-FFF2-40B4-BE49-F238E27FC236}">
              <a16:creationId xmlns:a16="http://schemas.microsoft.com/office/drawing/2014/main" id="{00000000-0008-0000-2000-0000A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9" name="245 CuadroTexto">
          <a:extLst>
            <a:ext uri="{FF2B5EF4-FFF2-40B4-BE49-F238E27FC236}">
              <a16:creationId xmlns:a16="http://schemas.microsoft.com/office/drawing/2014/main" id="{00000000-0008-0000-2000-0000A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0" name="246 CuadroTexto">
          <a:extLst>
            <a:ext uri="{FF2B5EF4-FFF2-40B4-BE49-F238E27FC236}">
              <a16:creationId xmlns:a16="http://schemas.microsoft.com/office/drawing/2014/main" id="{00000000-0008-0000-2000-0000A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1" name="247 CuadroTexto">
          <a:extLst>
            <a:ext uri="{FF2B5EF4-FFF2-40B4-BE49-F238E27FC236}">
              <a16:creationId xmlns:a16="http://schemas.microsoft.com/office/drawing/2014/main" id="{00000000-0008-0000-2000-0000A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2" name="248 CuadroTexto">
          <a:extLst>
            <a:ext uri="{FF2B5EF4-FFF2-40B4-BE49-F238E27FC236}">
              <a16:creationId xmlns:a16="http://schemas.microsoft.com/office/drawing/2014/main" id="{00000000-0008-0000-2000-0000A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3" name="249 CuadroTexto">
          <a:extLst>
            <a:ext uri="{FF2B5EF4-FFF2-40B4-BE49-F238E27FC236}">
              <a16:creationId xmlns:a16="http://schemas.microsoft.com/office/drawing/2014/main" id="{00000000-0008-0000-2000-0000A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4" name="250 CuadroTexto">
          <a:extLst>
            <a:ext uri="{FF2B5EF4-FFF2-40B4-BE49-F238E27FC236}">
              <a16:creationId xmlns:a16="http://schemas.microsoft.com/office/drawing/2014/main" id="{00000000-0008-0000-2000-0000A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5" name="251 CuadroTexto">
          <a:extLst>
            <a:ext uri="{FF2B5EF4-FFF2-40B4-BE49-F238E27FC236}">
              <a16:creationId xmlns:a16="http://schemas.microsoft.com/office/drawing/2014/main" id="{00000000-0008-0000-2000-0000A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6" name="252 CuadroTexto">
          <a:extLst>
            <a:ext uri="{FF2B5EF4-FFF2-40B4-BE49-F238E27FC236}">
              <a16:creationId xmlns:a16="http://schemas.microsoft.com/office/drawing/2014/main" id="{00000000-0008-0000-2000-0000A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7" name="253 CuadroTexto">
          <a:extLst>
            <a:ext uri="{FF2B5EF4-FFF2-40B4-BE49-F238E27FC236}">
              <a16:creationId xmlns:a16="http://schemas.microsoft.com/office/drawing/2014/main" id="{00000000-0008-0000-2000-0000A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8" name="254 CuadroTexto">
          <a:extLst>
            <a:ext uri="{FF2B5EF4-FFF2-40B4-BE49-F238E27FC236}">
              <a16:creationId xmlns:a16="http://schemas.microsoft.com/office/drawing/2014/main" id="{00000000-0008-0000-2000-0000A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9" name="255 CuadroTexto">
          <a:extLst>
            <a:ext uri="{FF2B5EF4-FFF2-40B4-BE49-F238E27FC236}">
              <a16:creationId xmlns:a16="http://schemas.microsoft.com/office/drawing/2014/main" id="{00000000-0008-0000-2000-0000A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0" name="256 CuadroTexto">
          <a:extLst>
            <a:ext uri="{FF2B5EF4-FFF2-40B4-BE49-F238E27FC236}">
              <a16:creationId xmlns:a16="http://schemas.microsoft.com/office/drawing/2014/main" id="{00000000-0008-0000-2000-0000A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1" name="257 CuadroTexto">
          <a:extLst>
            <a:ext uri="{FF2B5EF4-FFF2-40B4-BE49-F238E27FC236}">
              <a16:creationId xmlns:a16="http://schemas.microsoft.com/office/drawing/2014/main" id="{00000000-0008-0000-2000-0000A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2" name="258 CuadroTexto">
          <a:extLst>
            <a:ext uri="{FF2B5EF4-FFF2-40B4-BE49-F238E27FC236}">
              <a16:creationId xmlns:a16="http://schemas.microsoft.com/office/drawing/2014/main" id="{00000000-0008-0000-2000-0000A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3" name="259 CuadroTexto">
          <a:extLst>
            <a:ext uri="{FF2B5EF4-FFF2-40B4-BE49-F238E27FC236}">
              <a16:creationId xmlns:a16="http://schemas.microsoft.com/office/drawing/2014/main" id="{00000000-0008-0000-2000-0000A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4" name="260 CuadroTexto">
          <a:extLst>
            <a:ext uri="{FF2B5EF4-FFF2-40B4-BE49-F238E27FC236}">
              <a16:creationId xmlns:a16="http://schemas.microsoft.com/office/drawing/2014/main" id="{00000000-0008-0000-2000-0000B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5" name="261 CuadroTexto">
          <a:extLst>
            <a:ext uri="{FF2B5EF4-FFF2-40B4-BE49-F238E27FC236}">
              <a16:creationId xmlns:a16="http://schemas.microsoft.com/office/drawing/2014/main" id="{00000000-0008-0000-2000-0000B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6" name="262 CuadroTexto">
          <a:extLst>
            <a:ext uri="{FF2B5EF4-FFF2-40B4-BE49-F238E27FC236}">
              <a16:creationId xmlns:a16="http://schemas.microsoft.com/office/drawing/2014/main" id="{00000000-0008-0000-2000-0000B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7" name="263 CuadroTexto">
          <a:extLst>
            <a:ext uri="{FF2B5EF4-FFF2-40B4-BE49-F238E27FC236}">
              <a16:creationId xmlns:a16="http://schemas.microsoft.com/office/drawing/2014/main" id="{00000000-0008-0000-2000-0000B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8" name="264 CuadroTexto">
          <a:extLst>
            <a:ext uri="{FF2B5EF4-FFF2-40B4-BE49-F238E27FC236}">
              <a16:creationId xmlns:a16="http://schemas.microsoft.com/office/drawing/2014/main" id="{00000000-0008-0000-2000-0000B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9" name="265 CuadroTexto">
          <a:extLst>
            <a:ext uri="{FF2B5EF4-FFF2-40B4-BE49-F238E27FC236}">
              <a16:creationId xmlns:a16="http://schemas.microsoft.com/office/drawing/2014/main" id="{00000000-0008-0000-2000-0000B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0" name="266 CuadroTexto">
          <a:extLst>
            <a:ext uri="{FF2B5EF4-FFF2-40B4-BE49-F238E27FC236}">
              <a16:creationId xmlns:a16="http://schemas.microsoft.com/office/drawing/2014/main" id="{00000000-0008-0000-2000-0000B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1" name="267 CuadroTexto">
          <a:extLst>
            <a:ext uri="{FF2B5EF4-FFF2-40B4-BE49-F238E27FC236}">
              <a16:creationId xmlns:a16="http://schemas.microsoft.com/office/drawing/2014/main" id="{00000000-0008-0000-2000-0000B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512" name="268 CuadroTexto">
          <a:extLst>
            <a:ext uri="{FF2B5EF4-FFF2-40B4-BE49-F238E27FC236}">
              <a16:creationId xmlns:a16="http://schemas.microsoft.com/office/drawing/2014/main" id="{00000000-0008-0000-2000-0000B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3" name="269 CuadroTexto">
          <a:extLst>
            <a:ext uri="{FF2B5EF4-FFF2-40B4-BE49-F238E27FC236}">
              <a16:creationId xmlns:a16="http://schemas.microsoft.com/office/drawing/2014/main" id="{00000000-0008-0000-2000-0000B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4" name="270 CuadroTexto">
          <a:extLst>
            <a:ext uri="{FF2B5EF4-FFF2-40B4-BE49-F238E27FC236}">
              <a16:creationId xmlns:a16="http://schemas.microsoft.com/office/drawing/2014/main" id="{00000000-0008-0000-2000-0000B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5" name="271 CuadroTexto">
          <a:extLst>
            <a:ext uri="{FF2B5EF4-FFF2-40B4-BE49-F238E27FC236}">
              <a16:creationId xmlns:a16="http://schemas.microsoft.com/office/drawing/2014/main" id="{00000000-0008-0000-2000-0000B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6" name="272 CuadroTexto">
          <a:extLst>
            <a:ext uri="{FF2B5EF4-FFF2-40B4-BE49-F238E27FC236}">
              <a16:creationId xmlns:a16="http://schemas.microsoft.com/office/drawing/2014/main" id="{00000000-0008-0000-2000-0000B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7" name="273 CuadroTexto">
          <a:extLst>
            <a:ext uri="{FF2B5EF4-FFF2-40B4-BE49-F238E27FC236}">
              <a16:creationId xmlns:a16="http://schemas.microsoft.com/office/drawing/2014/main" id="{00000000-0008-0000-2000-0000B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8" name="274 CuadroTexto">
          <a:extLst>
            <a:ext uri="{FF2B5EF4-FFF2-40B4-BE49-F238E27FC236}">
              <a16:creationId xmlns:a16="http://schemas.microsoft.com/office/drawing/2014/main" id="{00000000-0008-0000-2000-0000B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9" name="275 CuadroTexto">
          <a:extLst>
            <a:ext uri="{FF2B5EF4-FFF2-40B4-BE49-F238E27FC236}">
              <a16:creationId xmlns:a16="http://schemas.microsoft.com/office/drawing/2014/main" id="{00000000-0008-0000-2000-0000B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0" name="276 CuadroTexto">
          <a:extLst>
            <a:ext uri="{FF2B5EF4-FFF2-40B4-BE49-F238E27FC236}">
              <a16:creationId xmlns:a16="http://schemas.microsoft.com/office/drawing/2014/main" id="{00000000-0008-0000-2000-0000C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1" name="277 CuadroTexto">
          <a:extLst>
            <a:ext uri="{FF2B5EF4-FFF2-40B4-BE49-F238E27FC236}">
              <a16:creationId xmlns:a16="http://schemas.microsoft.com/office/drawing/2014/main" id="{00000000-0008-0000-2000-0000C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2" name="278 CuadroTexto">
          <a:extLst>
            <a:ext uri="{FF2B5EF4-FFF2-40B4-BE49-F238E27FC236}">
              <a16:creationId xmlns:a16="http://schemas.microsoft.com/office/drawing/2014/main" id="{00000000-0008-0000-2000-0000C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3" name="279 CuadroTexto">
          <a:extLst>
            <a:ext uri="{FF2B5EF4-FFF2-40B4-BE49-F238E27FC236}">
              <a16:creationId xmlns:a16="http://schemas.microsoft.com/office/drawing/2014/main" id="{00000000-0008-0000-2000-0000C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4" name="280 CuadroTexto">
          <a:extLst>
            <a:ext uri="{FF2B5EF4-FFF2-40B4-BE49-F238E27FC236}">
              <a16:creationId xmlns:a16="http://schemas.microsoft.com/office/drawing/2014/main" id="{00000000-0008-0000-2000-0000C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5" name="281 CuadroTexto">
          <a:extLst>
            <a:ext uri="{FF2B5EF4-FFF2-40B4-BE49-F238E27FC236}">
              <a16:creationId xmlns:a16="http://schemas.microsoft.com/office/drawing/2014/main" id="{00000000-0008-0000-2000-0000C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6" name="282 CuadroTexto">
          <a:extLst>
            <a:ext uri="{FF2B5EF4-FFF2-40B4-BE49-F238E27FC236}">
              <a16:creationId xmlns:a16="http://schemas.microsoft.com/office/drawing/2014/main" id="{00000000-0008-0000-2000-0000C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7" name="283 CuadroTexto">
          <a:extLst>
            <a:ext uri="{FF2B5EF4-FFF2-40B4-BE49-F238E27FC236}">
              <a16:creationId xmlns:a16="http://schemas.microsoft.com/office/drawing/2014/main" id="{00000000-0008-0000-2000-0000C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8" name="284 CuadroTexto">
          <a:extLst>
            <a:ext uri="{FF2B5EF4-FFF2-40B4-BE49-F238E27FC236}">
              <a16:creationId xmlns:a16="http://schemas.microsoft.com/office/drawing/2014/main" id="{00000000-0008-0000-2000-0000C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29" name="285 CuadroTexto">
          <a:extLst>
            <a:ext uri="{FF2B5EF4-FFF2-40B4-BE49-F238E27FC236}">
              <a16:creationId xmlns:a16="http://schemas.microsoft.com/office/drawing/2014/main" id="{00000000-0008-0000-2000-0000C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0" name="286 CuadroTexto">
          <a:extLst>
            <a:ext uri="{FF2B5EF4-FFF2-40B4-BE49-F238E27FC236}">
              <a16:creationId xmlns:a16="http://schemas.microsoft.com/office/drawing/2014/main" id="{00000000-0008-0000-2000-0000C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1" name="287 CuadroTexto">
          <a:extLst>
            <a:ext uri="{FF2B5EF4-FFF2-40B4-BE49-F238E27FC236}">
              <a16:creationId xmlns:a16="http://schemas.microsoft.com/office/drawing/2014/main" id="{00000000-0008-0000-2000-0000C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2" name="288 CuadroTexto">
          <a:extLst>
            <a:ext uri="{FF2B5EF4-FFF2-40B4-BE49-F238E27FC236}">
              <a16:creationId xmlns:a16="http://schemas.microsoft.com/office/drawing/2014/main" id="{00000000-0008-0000-2000-0000C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3" name="289 CuadroTexto">
          <a:extLst>
            <a:ext uri="{FF2B5EF4-FFF2-40B4-BE49-F238E27FC236}">
              <a16:creationId xmlns:a16="http://schemas.microsoft.com/office/drawing/2014/main" id="{00000000-0008-0000-2000-0000C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4" name="290 CuadroTexto">
          <a:extLst>
            <a:ext uri="{FF2B5EF4-FFF2-40B4-BE49-F238E27FC236}">
              <a16:creationId xmlns:a16="http://schemas.microsoft.com/office/drawing/2014/main" id="{00000000-0008-0000-2000-0000C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5" name="291 CuadroTexto">
          <a:extLst>
            <a:ext uri="{FF2B5EF4-FFF2-40B4-BE49-F238E27FC236}">
              <a16:creationId xmlns:a16="http://schemas.microsoft.com/office/drawing/2014/main" id="{00000000-0008-0000-2000-0000C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6" name="292 CuadroTexto">
          <a:extLst>
            <a:ext uri="{FF2B5EF4-FFF2-40B4-BE49-F238E27FC236}">
              <a16:creationId xmlns:a16="http://schemas.microsoft.com/office/drawing/2014/main" id="{00000000-0008-0000-2000-0000D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7" name="293 CuadroTexto">
          <a:extLst>
            <a:ext uri="{FF2B5EF4-FFF2-40B4-BE49-F238E27FC236}">
              <a16:creationId xmlns:a16="http://schemas.microsoft.com/office/drawing/2014/main" id="{00000000-0008-0000-2000-0000D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8" name="294 CuadroTexto">
          <a:extLst>
            <a:ext uri="{FF2B5EF4-FFF2-40B4-BE49-F238E27FC236}">
              <a16:creationId xmlns:a16="http://schemas.microsoft.com/office/drawing/2014/main" id="{00000000-0008-0000-2000-0000D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9" name="295 CuadroTexto">
          <a:extLst>
            <a:ext uri="{FF2B5EF4-FFF2-40B4-BE49-F238E27FC236}">
              <a16:creationId xmlns:a16="http://schemas.microsoft.com/office/drawing/2014/main" id="{00000000-0008-0000-2000-0000D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0" name="296 CuadroTexto">
          <a:extLst>
            <a:ext uri="{FF2B5EF4-FFF2-40B4-BE49-F238E27FC236}">
              <a16:creationId xmlns:a16="http://schemas.microsoft.com/office/drawing/2014/main" id="{00000000-0008-0000-2000-0000D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1" name="17 CuadroTexto">
          <a:extLst>
            <a:ext uri="{FF2B5EF4-FFF2-40B4-BE49-F238E27FC236}">
              <a16:creationId xmlns:a16="http://schemas.microsoft.com/office/drawing/2014/main" id="{00000000-0008-0000-2000-0000D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542" name="90 CuadroTexto">
          <a:extLst>
            <a:ext uri="{FF2B5EF4-FFF2-40B4-BE49-F238E27FC236}">
              <a16:creationId xmlns:a16="http://schemas.microsoft.com/office/drawing/2014/main" id="{00000000-0008-0000-2000-0000D6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3" name="91 CuadroTexto">
          <a:extLst>
            <a:ext uri="{FF2B5EF4-FFF2-40B4-BE49-F238E27FC236}">
              <a16:creationId xmlns:a16="http://schemas.microsoft.com/office/drawing/2014/main" id="{00000000-0008-0000-2000-0000D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4" name="92 CuadroTexto">
          <a:extLst>
            <a:ext uri="{FF2B5EF4-FFF2-40B4-BE49-F238E27FC236}">
              <a16:creationId xmlns:a16="http://schemas.microsoft.com/office/drawing/2014/main" id="{00000000-0008-0000-2000-0000D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5" name="93 CuadroTexto">
          <a:extLst>
            <a:ext uri="{FF2B5EF4-FFF2-40B4-BE49-F238E27FC236}">
              <a16:creationId xmlns:a16="http://schemas.microsoft.com/office/drawing/2014/main" id="{00000000-0008-0000-2000-0000D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6" name="94 CuadroTexto">
          <a:extLst>
            <a:ext uri="{FF2B5EF4-FFF2-40B4-BE49-F238E27FC236}">
              <a16:creationId xmlns:a16="http://schemas.microsoft.com/office/drawing/2014/main" id="{00000000-0008-0000-2000-0000D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7" name="95 CuadroTexto">
          <a:extLst>
            <a:ext uri="{FF2B5EF4-FFF2-40B4-BE49-F238E27FC236}">
              <a16:creationId xmlns:a16="http://schemas.microsoft.com/office/drawing/2014/main" id="{00000000-0008-0000-2000-0000D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8" name="96 CuadroTexto">
          <a:extLst>
            <a:ext uri="{FF2B5EF4-FFF2-40B4-BE49-F238E27FC236}">
              <a16:creationId xmlns:a16="http://schemas.microsoft.com/office/drawing/2014/main" id="{00000000-0008-0000-2000-0000D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9" name="97 CuadroTexto">
          <a:extLst>
            <a:ext uri="{FF2B5EF4-FFF2-40B4-BE49-F238E27FC236}">
              <a16:creationId xmlns:a16="http://schemas.microsoft.com/office/drawing/2014/main" id="{00000000-0008-0000-2000-0000D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0" name="98 CuadroTexto">
          <a:extLst>
            <a:ext uri="{FF2B5EF4-FFF2-40B4-BE49-F238E27FC236}">
              <a16:creationId xmlns:a16="http://schemas.microsoft.com/office/drawing/2014/main" id="{00000000-0008-0000-2000-0000D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1" name="99 CuadroTexto">
          <a:extLst>
            <a:ext uri="{FF2B5EF4-FFF2-40B4-BE49-F238E27FC236}">
              <a16:creationId xmlns:a16="http://schemas.microsoft.com/office/drawing/2014/main" id="{00000000-0008-0000-2000-0000D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2" name="100 CuadroTexto">
          <a:extLst>
            <a:ext uri="{FF2B5EF4-FFF2-40B4-BE49-F238E27FC236}">
              <a16:creationId xmlns:a16="http://schemas.microsoft.com/office/drawing/2014/main" id="{00000000-0008-0000-2000-0000E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3" name="101 CuadroTexto">
          <a:extLst>
            <a:ext uri="{FF2B5EF4-FFF2-40B4-BE49-F238E27FC236}">
              <a16:creationId xmlns:a16="http://schemas.microsoft.com/office/drawing/2014/main" id="{00000000-0008-0000-2000-0000E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54" name="118 CuadroTexto">
          <a:extLst>
            <a:ext uri="{FF2B5EF4-FFF2-40B4-BE49-F238E27FC236}">
              <a16:creationId xmlns:a16="http://schemas.microsoft.com/office/drawing/2014/main" id="{00000000-0008-0000-2000-0000E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5" name="119 CuadroTexto">
          <a:extLst>
            <a:ext uri="{FF2B5EF4-FFF2-40B4-BE49-F238E27FC236}">
              <a16:creationId xmlns:a16="http://schemas.microsoft.com/office/drawing/2014/main" id="{00000000-0008-0000-2000-0000E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6" name="120 CuadroTexto">
          <a:extLst>
            <a:ext uri="{FF2B5EF4-FFF2-40B4-BE49-F238E27FC236}">
              <a16:creationId xmlns:a16="http://schemas.microsoft.com/office/drawing/2014/main" id="{00000000-0008-0000-2000-0000E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7" name="121 CuadroTexto">
          <a:extLst>
            <a:ext uri="{FF2B5EF4-FFF2-40B4-BE49-F238E27FC236}">
              <a16:creationId xmlns:a16="http://schemas.microsoft.com/office/drawing/2014/main" id="{00000000-0008-0000-2000-0000E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8" name="122 CuadroTexto">
          <a:extLst>
            <a:ext uri="{FF2B5EF4-FFF2-40B4-BE49-F238E27FC236}">
              <a16:creationId xmlns:a16="http://schemas.microsoft.com/office/drawing/2014/main" id="{00000000-0008-0000-2000-0000E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9" name="123 CuadroTexto">
          <a:extLst>
            <a:ext uri="{FF2B5EF4-FFF2-40B4-BE49-F238E27FC236}">
              <a16:creationId xmlns:a16="http://schemas.microsoft.com/office/drawing/2014/main" id="{00000000-0008-0000-2000-0000E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0" name="124 CuadroTexto">
          <a:extLst>
            <a:ext uri="{FF2B5EF4-FFF2-40B4-BE49-F238E27FC236}">
              <a16:creationId xmlns:a16="http://schemas.microsoft.com/office/drawing/2014/main" id="{00000000-0008-0000-2000-0000E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1" name="125 CuadroTexto">
          <a:extLst>
            <a:ext uri="{FF2B5EF4-FFF2-40B4-BE49-F238E27FC236}">
              <a16:creationId xmlns:a16="http://schemas.microsoft.com/office/drawing/2014/main" id="{00000000-0008-0000-2000-0000E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2" name="143 CuadroTexto">
          <a:extLst>
            <a:ext uri="{FF2B5EF4-FFF2-40B4-BE49-F238E27FC236}">
              <a16:creationId xmlns:a16="http://schemas.microsoft.com/office/drawing/2014/main" id="{00000000-0008-0000-2000-0000E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3" name="144 CuadroTexto">
          <a:extLst>
            <a:ext uri="{FF2B5EF4-FFF2-40B4-BE49-F238E27FC236}">
              <a16:creationId xmlns:a16="http://schemas.microsoft.com/office/drawing/2014/main" id="{00000000-0008-0000-2000-0000E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4" name="145 CuadroTexto">
          <a:extLst>
            <a:ext uri="{FF2B5EF4-FFF2-40B4-BE49-F238E27FC236}">
              <a16:creationId xmlns:a16="http://schemas.microsoft.com/office/drawing/2014/main" id="{00000000-0008-0000-2000-0000E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5" name="146 CuadroTexto">
          <a:extLst>
            <a:ext uri="{FF2B5EF4-FFF2-40B4-BE49-F238E27FC236}">
              <a16:creationId xmlns:a16="http://schemas.microsoft.com/office/drawing/2014/main" id="{00000000-0008-0000-2000-0000E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6" name="147 CuadroTexto">
          <a:extLst>
            <a:ext uri="{FF2B5EF4-FFF2-40B4-BE49-F238E27FC236}">
              <a16:creationId xmlns:a16="http://schemas.microsoft.com/office/drawing/2014/main" id="{00000000-0008-0000-2000-0000E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7" name="148 CuadroTexto">
          <a:extLst>
            <a:ext uri="{FF2B5EF4-FFF2-40B4-BE49-F238E27FC236}">
              <a16:creationId xmlns:a16="http://schemas.microsoft.com/office/drawing/2014/main" id="{00000000-0008-0000-2000-0000E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8" name="149 CuadroTexto">
          <a:extLst>
            <a:ext uri="{FF2B5EF4-FFF2-40B4-BE49-F238E27FC236}">
              <a16:creationId xmlns:a16="http://schemas.microsoft.com/office/drawing/2014/main" id="{00000000-0008-0000-2000-0000F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9" name="150 CuadroTexto">
          <a:extLst>
            <a:ext uri="{FF2B5EF4-FFF2-40B4-BE49-F238E27FC236}">
              <a16:creationId xmlns:a16="http://schemas.microsoft.com/office/drawing/2014/main" id="{00000000-0008-0000-2000-0000F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0" name="151 CuadroTexto">
          <a:extLst>
            <a:ext uri="{FF2B5EF4-FFF2-40B4-BE49-F238E27FC236}">
              <a16:creationId xmlns:a16="http://schemas.microsoft.com/office/drawing/2014/main" id="{00000000-0008-0000-2000-0000F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1" name="152 CuadroTexto">
          <a:extLst>
            <a:ext uri="{FF2B5EF4-FFF2-40B4-BE49-F238E27FC236}">
              <a16:creationId xmlns:a16="http://schemas.microsoft.com/office/drawing/2014/main" id="{00000000-0008-0000-2000-0000F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2" name="153 CuadroTexto">
          <a:extLst>
            <a:ext uri="{FF2B5EF4-FFF2-40B4-BE49-F238E27FC236}">
              <a16:creationId xmlns:a16="http://schemas.microsoft.com/office/drawing/2014/main" id="{00000000-0008-0000-2000-0000F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3" name="154 CuadroTexto">
          <a:extLst>
            <a:ext uri="{FF2B5EF4-FFF2-40B4-BE49-F238E27FC236}">
              <a16:creationId xmlns:a16="http://schemas.microsoft.com/office/drawing/2014/main" id="{00000000-0008-0000-2000-0000F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4" name="155 CuadroTexto">
          <a:extLst>
            <a:ext uri="{FF2B5EF4-FFF2-40B4-BE49-F238E27FC236}">
              <a16:creationId xmlns:a16="http://schemas.microsoft.com/office/drawing/2014/main" id="{00000000-0008-0000-2000-0000F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5" name="156 CuadroTexto">
          <a:extLst>
            <a:ext uri="{FF2B5EF4-FFF2-40B4-BE49-F238E27FC236}">
              <a16:creationId xmlns:a16="http://schemas.microsoft.com/office/drawing/2014/main" id="{00000000-0008-0000-2000-0000F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6" name="157 CuadroTexto">
          <a:extLst>
            <a:ext uri="{FF2B5EF4-FFF2-40B4-BE49-F238E27FC236}">
              <a16:creationId xmlns:a16="http://schemas.microsoft.com/office/drawing/2014/main" id="{00000000-0008-0000-2000-0000F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7" name="158 CuadroTexto">
          <a:extLst>
            <a:ext uri="{FF2B5EF4-FFF2-40B4-BE49-F238E27FC236}">
              <a16:creationId xmlns:a16="http://schemas.microsoft.com/office/drawing/2014/main" id="{00000000-0008-0000-2000-0000F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8" name="159 CuadroTexto">
          <a:extLst>
            <a:ext uri="{FF2B5EF4-FFF2-40B4-BE49-F238E27FC236}">
              <a16:creationId xmlns:a16="http://schemas.microsoft.com/office/drawing/2014/main" id="{00000000-0008-0000-2000-0000F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9" name="160 CuadroTexto">
          <a:extLst>
            <a:ext uri="{FF2B5EF4-FFF2-40B4-BE49-F238E27FC236}">
              <a16:creationId xmlns:a16="http://schemas.microsoft.com/office/drawing/2014/main" id="{00000000-0008-0000-2000-0000F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0" name="161 CuadroTexto">
          <a:extLst>
            <a:ext uri="{FF2B5EF4-FFF2-40B4-BE49-F238E27FC236}">
              <a16:creationId xmlns:a16="http://schemas.microsoft.com/office/drawing/2014/main" id="{00000000-0008-0000-2000-0000F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1" name="162 CuadroTexto">
          <a:extLst>
            <a:ext uri="{FF2B5EF4-FFF2-40B4-BE49-F238E27FC236}">
              <a16:creationId xmlns:a16="http://schemas.microsoft.com/office/drawing/2014/main" id="{00000000-0008-0000-2000-0000F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2" name="163 CuadroTexto">
          <a:extLst>
            <a:ext uri="{FF2B5EF4-FFF2-40B4-BE49-F238E27FC236}">
              <a16:creationId xmlns:a16="http://schemas.microsoft.com/office/drawing/2014/main" id="{00000000-0008-0000-2000-0000F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3" name="164 CuadroTexto">
          <a:extLst>
            <a:ext uri="{FF2B5EF4-FFF2-40B4-BE49-F238E27FC236}">
              <a16:creationId xmlns:a16="http://schemas.microsoft.com/office/drawing/2014/main" id="{00000000-0008-0000-2000-0000F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4" name="165 CuadroTexto">
          <a:extLst>
            <a:ext uri="{FF2B5EF4-FFF2-40B4-BE49-F238E27FC236}">
              <a16:creationId xmlns:a16="http://schemas.microsoft.com/office/drawing/2014/main" id="{00000000-0008-0000-2000-00000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5" name="166 CuadroTexto">
          <a:extLst>
            <a:ext uri="{FF2B5EF4-FFF2-40B4-BE49-F238E27FC236}">
              <a16:creationId xmlns:a16="http://schemas.microsoft.com/office/drawing/2014/main" id="{00000000-0008-0000-2000-00000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6" name="167 CuadroTexto">
          <a:extLst>
            <a:ext uri="{FF2B5EF4-FFF2-40B4-BE49-F238E27FC236}">
              <a16:creationId xmlns:a16="http://schemas.microsoft.com/office/drawing/2014/main" id="{00000000-0008-0000-2000-00000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7" name="168 CuadroTexto">
          <a:extLst>
            <a:ext uri="{FF2B5EF4-FFF2-40B4-BE49-F238E27FC236}">
              <a16:creationId xmlns:a16="http://schemas.microsoft.com/office/drawing/2014/main" id="{00000000-0008-0000-2000-00000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8" name="169 CuadroTexto">
          <a:extLst>
            <a:ext uri="{FF2B5EF4-FFF2-40B4-BE49-F238E27FC236}">
              <a16:creationId xmlns:a16="http://schemas.microsoft.com/office/drawing/2014/main" id="{00000000-0008-0000-2000-00000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9" name="170 CuadroTexto">
          <a:extLst>
            <a:ext uri="{FF2B5EF4-FFF2-40B4-BE49-F238E27FC236}">
              <a16:creationId xmlns:a16="http://schemas.microsoft.com/office/drawing/2014/main" id="{00000000-0008-0000-2000-00000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0" name="171 CuadroTexto">
          <a:extLst>
            <a:ext uri="{FF2B5EF4-FFF2-40B4-BE49-F238E27FC236}">
              <a16:creationId xmlns:a16="http://schemas.microsoft.com/office/drawing/2014/main" id="{00000000-0008-0000-2000-00000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1" name="172 CuadroTexto">
          <a:extLst>
            <a:ext uri="{FF2B5EF4-FFF2-40B4-BE49-F238E27FC236}">
              <a16:creationId xmlns:a16="http://schemas.microsoft.com/office/drawing/2014/main" id="{00000000-0008-0000-2000-00000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2" name="173 CuadroTexto">
          <a:extLst>
            <a:ext uri="{FF2B5EF4-FFF2-40B4-BE49-F238E27FC236}">
              <a16:creationId xmlns:a16="http://schemas.microsoft.com/office/drawing/2014/main" id="{00000000-0008-0000-2000-00000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3" name="174 CuadroTexto">
          <a:extLst>
            <a:ext uri="{FF2B5EF4-FFF2-40B4-BE49-F238E27FC236}">
              <a16:creationId xmlns:a16="http://schemas.microsoft.com/office/drawing/2014/main" id="{00000000-0008-0000-2000-00000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4" name="175 CuadroTexto">
          <a:extLst>
            <a:ext uri="{FF2B5EF4-FFF2-40B4-BE49-F238E27FC236}">
              <a16:creationId xmlns:a16="http://schemas.microsoft.com/office/drawing/2014/main" id="{00000000-0008-0000-2000-00000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5" name="176 CuadroTexto">
          <a:extLst>
            <a:ext uri="{FF2B5EF4-FFF2-40B4-BE49-F238E27FC236}">
              <a16:creationId xmlns:a16="http://schemas.microsoft.com/office/drawing/2014/main" id="{00000000-0008-0000-2000-00000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6" name="177 CuadroTexto">
          <a:extLst>
            <a:ext uri="{FF2B5EF4-FFF2-40B4-BE49-F238E27FC236}">
              <a16:creationId xmlns:a16="http://schemas.microsoft.com/office/drawing/2014/main" id="{00000000-0008-0000-2000-00000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7" name="178 CuadroTexto">
          <a:extLst>
            <a:ext uri="{FF2B5EF4-FFF2-40B4-BE49-F238E27FC236}">
              <a16:creationId xmlns:a16="http://schemas.microsoft.com/office/drawing/2014/main" id="{00000000-0008-0000-2000-00000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8" name="179 CuadroTexto">
          <a:extLst>
            <a:ext uri="{FF2B5EF4-FFF2-40B4-BE49-F238E27FC236}">
              <a16:creationId xmlns:a16="http://schemas.microsoft.com/office/drawing/2014/main" id="{00000000-0008-0000-2000-00000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9" name="180 CuadroTexto">
          <a:extLst>
            <a:ext uri="{FF2B5EF4-FFF2-40B4-BE49-F238E27FC236}">
              <a16:creationId xmlns:a16="http://schemas.microsoft.com/office/drawing/2014/main" id="{00000000-0008-0000-2000-00000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0" name="181 CuadroTexto">
          <a:extLst>
            <a:ext uri="{FF2B5EF4-FFF2-40B4-BE49-F238E27FC236}">
              <a16:creationId xmlns:a16="http://schemas.microsoft.com/office/drawing/2014/main" id="{00000000-0008-0000-2000-00001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1" name="182 CuadroTexto">
          <a:extLst>
            <a:ext uri="{FF2B5EF4-FFF2-40B4-BE49-F238E27FC236}">
              <a16:creationId xmlns:a16="http://schemas.microsoft.com/office/drawing/2014/main" id="{00000000-0008-0000-2000-00001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2" name="183 CuadroTexto">
          <a:extLst>
            <a:ext uri="{FF2B5EF4-FFF2-40B4-BE49-F238E27FC236}">
              <a16:creationId xmlns:a16="http://schemas.microsoft.com/office/drawing/2014/main" id="{00000000-0008-0000-2000-00001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3" name="184 CuadroTexto">
          <a:extLst>
            <a:ext uri="{FF2B5EF4-FFF2-40B4-BE49-F238E27FC236}">
              <a16:creationId xmlns:a16="http://schemas.microsoft.com/office/drawing/2014/main" id="{00000000-0008-0000-2000-00001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4" name="185 CuadroTexto">
          <a:extLst>
            <a:ext uri="{FF2B5EF4-FFF2-40B4-BE49-F238E27FC236}">
              <a16:creationId xmlns:a16="http://schemas.microsoft.com/office/drawing/2014/main" id="{00000000-0008-0000-2000-00001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5" name="186 CuadroTexto">
          <a:extLst>
            <a:ext uri="{FF2B5EF4-FFF2-40B4-BE49-F238E27FC236}">
              <a16:creationId xmlns:a16="http://schemas.microsoft.com/office/drawing/2014/main" id="{00000000-0008-0000-2000-00001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6" name="187 CuadroTexto">
          <a:extLst>
            <a:ext uri="{FF2B5EF4-FFF2-40B4-BE49-F238E27FC236}">
              <a16:creationId xmlns:a16="http://schemas.microsoft.com/office/drawing/2014/main" id="{00000000-0008-0000-2000-00001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7" name="188 CuadroTexto">
          <a:extLst>
            <a:ext uri="{FF2B5EF4-FFF2-40B4-BE49-F238E27FC236}">
              <a16:creationId xmlns:a16="http://schemas.microsoft.com/office/drawing/2014/main" id="{00000000-0008-0000-2000-00001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8" name="189 CuadroTexto">
          <a:extLst>
            <a:ext uri="{FF2B5EF4-FFF2-40B4-BE49-F238E27FC236}">
              <a16:creationId xmlns:a16="http://schemas.microsoft.com/office/drawing/2014/main" id="{00000000-0008-0000-2000-00001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9" name="190 CuadroTexto">
          <a:extLst>
            <a:ext uri="{FF2B5EF4-FFF2-40B4-BE49-F238E27FC236}">
              <a16:creationId xmlns:a16="http://schemas.microsoft.com/office/drawing/2014/main" id="{00000000-0008-0000-2000-00001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0" name="191 CuadroTexto">
          <a:extLst>
            <a:ext uri="{FF2B5EF4-FFF2-40B4-BE49-F238E27FC236}">
              <a16:creationId xmlns:a16="http://schemas.microsoft.com/office/drawing/2014/main" id="{00000000-0008-0000-2000-00001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1" name="192 CuadroTexto">
          <a:extLst>
            <a:ext uri="{FF2B5EF4-FFF2-40B4-BE49-F238E27FC236}">
              <a16:creationId xmlns:a16="http://schemas.microsoft.com/office/drawing/2014/main" id="{00000000-0008-0000-2000-00001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2" name="193 CuadroTexto">
          <a:extLst>
            <a:ext uri="{FF2B5EF4-FFF2-40B4-BE49-F238E27FC236}">
              <a16:creationId xmlns:a16="http://schemas.microsoft.com/office/drawing/2014/main" id="{00000000-0008-0000-2000-00001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3" name="194 CuadroTexto">
          <a:extLst>
            <a:ext uri="{FF2B5EF4-FFF2-40B4-BE49-F238E27FC236}">
              <a16:creationId xmlns:a16="http://schemas.microsoft.com/office/drawing/2014/main" id="{00000000-0008-0000-2000-00001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4" name="195 CuadroTexto">
          <a:extLst>
            <a:ext uri="{FF2B5EF4-FFF2-40B4-BE49-F238E27FC236}">
              <a16:creationId xmlns:a16="http://schemas.microsoft.com/office/drawing/2014/main" id="{00000000-0008-0000-2000-00001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5" name="196 CuadroTexto">
          <a:extLst>
            <a:ext uri="{FF2B5EF4-FFF2-40B4-BE49-F238E27FC236}">
              <a16:creationId xmlns:a16="http://schemas.microsoft.com/office/drawing/2014/main" id="{00000000-0008-0000-2000-00001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6" name="197 CuadroTexto">
          <a:extLst>
            <a:ext uri="{FF2B5EF4-FFF2-40B4-BE49-F238E27FC236}">
              <a16:creationId xmlns:a16="http://schemas.microsoft.com/office/drawing/2014/main" id="{00000000-0008-0000-2000-00002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7" name="198 CuadroTexto">
          <a:extLst>
            <a:ext uri="{FF2B5EF4-FFF2-40B4-BE49-F238E27FC236}">
              <a16:creationId xmlns:a16="http://schemas.microsoft.com/office/drawing/2014/main" id="{00000000-0008-0000-2000-00002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8" name="199 CuadroTexto">
          <a:extLst>
            <a:ext uri="{FF2B5EF4-FFF2-40B4-BE49-F238E27FC236}">
              <a16:creationId xmlns:a16="http://schemas.microsoft.com/office/drawing/2014/main" id="{00000000-0008-0000-2000-00002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9" name="200 CuadroTexto">
          <a:extLst>
            <a:ext uri="{FF2B5EF4-FFF2-40B4-BE49-F238E27FC236}">
              <a16:creationId xmlns:a16="http://schemas.microsoft.com/office/drawing/2014/main" id="{00000000-0008-0000-2000-00002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0" name="201 CuadroTexto">
          <a:extLst>
            <a:ext uri="{FF2B5EF4-FFF2-40B4-BE49-F238E27FC236}">
              <a16:creationId xmlns:a16="http://schemas.microsoft.com/office/drawing/2014/main" id="{00000000-0008-0000-2000-00002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1" name="202 CuadroTexto">
          <a:extLst>
            <a:ext uri="{FF2B5EF4-FFF2-40B4-BE49-F238E27FC236}">
              <a16:creationId xmlns:a16="http://schemas.microsoft.com/office/drawing/2014/main" id="{00000000-0008-0000-2000-00002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2" name="203 CuadroTexto">
          <a:extLst>
            <a:ext uri="{FF2B5EF4-FFF2-40B4-BE49-F238E27FC236}">
              <a16:creationId xmlns:a16="http://schemas.microsoft.com/office/drawing/2014/main" id="{00000000-0008-0000-2000-00002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3" name="204 CuadroTexto">
          <a:extLst>
            <a:ext uri="{FF2B5EF4-FFF2-40B4-BE49-F238E27FC236}">
              <a16:creationId xmlns:a16="http://schemas.microsoft.com/office/drawing/2014/main" id="{00000000-0008-0000-2000-00002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4" name="205 CuadroTexto">
          <a:extLst>
            <a:ext uri="{FF2B5EF4-FFF2-40B4-BE49-F238E27FC236}">
              <a16:creationId xmlns:a16="http://schemas.microsoft.com/office/drawing/2014/main" id="{00000000-0008-0000-2000-00002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5" name="206 CuadroTexto">
          <a:extLst>
            <a:ext uri="{FF2B5EF4-FFF2-40B4-BE49-F238E27FC236}">
              <a16:creationId xmlns:a16="http://schemas.microsoft.com/office/drawing/2014/main" id="{00000000-0008-0000-2000-00002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6" name="207 CuadroTexto">
          <a:extLst>
            <a:ext uri="{FF2B5EF4-FFF2-40B4-BE49-F238E27FC236}">
              <a16:creationId xmlns:a16="http://schemas.microsoft.com/office/drawing/2014/main" id="{00000000-0008-0000-2000-00002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7" name="208 CuadroTexto">
          <a:extLst>
            <a:ext uri="{FF2B5EF4-FFF2-40B4-BE49-F238E27FC236}">
              <a16:creationId xmlns:a16="http://schemas.microsoft.com/office/drawing/2014/main" id="{00000000-0008-0000-2000-00002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8" name="209 CuadroTexto">
          <a:extLst>
            <a:ext uri="{FF2B5EF4-FFF2-40B4-BE49-F238E27FC236}">
              <a16:creationId xmlns:a16="http://schemas.microsoft.com/office/drawing/2014/main" id="{00000000-0008-0000-2000-00002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9" name="210 CuadroTexto">
          <a:extLst>
            <a:ext uri="{FF2B5EF4-FFF2-40B4-BE49-F238E27FC236}">
              <a16:creationId xmlns:a16="http://schemas.microsoft.com/office/drawing/2014/main" id="{00000000-0008-0000-2000-00002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0" name="211 CuadroTexto">
          <a:extLst>
            <a:ext uri="{FF2B5EF4-FFF2-40B4-BE49-F238E27FC236}">
              <a16:creationId xmlns:a16="http://schemas.microsoft.com/office/drawing/2014/main" id="{00000000-0008-0000-2000-00002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1" name="212 CuadroTexto">
          <a:extLst>
            <a:ext uri="{FF2B5EF4-FFF2-40B4-BE49-F238E27FC236}">
              <a16:creationId xmlns:a16="http://schemas.microsoft.com/office/drawing/2014/main" id="{00000000-0008-0000-2000-00002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2" name="213 CuadroTexto">
          <a:extLst>
            <a:ext uri="{FF2B5EF4-FFF2-40B4-BE49-F238E27FC236}">
              <a16:creationId xmlns:a16="http://schemas.microsoft.com/office/drawing/2014/main" id="{00000000-0008-0000-2000-00003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3" name="214 CuadroTexto">
          <a:extLst>
            <a:ext uri="{FF2B5EF4-FFF2-40B4-BE49-F238E27FC236}">
              <a16:creationId xmlns:a16="http://schemas.microsoft.com/office/drawing/2014/main" id="{00000000-0008-0000-2000-00003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4" name="215 CuadroTexto">
          <a:extLst>
            <a:ext uri="{FF2B5EF4-FFF2-40B4-BE49-F238E27FC236}">
              <a16:creationId xmlns:a16="http://schemas.microsoft.com/office/drawing/2014/main" id="{00000000-0008-0000-2000-00003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5" name="216 CuadroTexto">
          <a:extLst>
            <a:ext uri="{FF2B5EF4-FFF2-40B4-BE49-F238E27FC236}">
              <a16:creationId xmlns:a16="http://schemas.microsoft.com/office/drawing/2014/main" id="{00000000-0008-0000-2000-00003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6" name="217 CuadroTexto">
          <a:extLst>
            <a:ext uri="{FF2B5EF4-FFF2-40B4-BE49-F238E27FC236}">
              <a16:creationId xmlns:a16="http://schemas.microsoft.com/office/drawing/2014/main" id="{00000000-0008-0000-2000-00003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7" name="218 CuadroTexto">
          <a:extLst>
            <a:ext uri="{FF2B5EF4-FFF2-40B4-BE49-F238E27FC236}">
              <a16:creationId xmlns:a16="http://schemas.microsoft.com/office/drawing/2014/main" id="{00000000-0008-0000-2000-00003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8" name="219 CuadroTexto">
          <a:extLst>
            <a:ext uri="{FF2B5EF4-FFF2-40B4-BE49-F238E27FC236}">
              <a16:creationId xmlns:a16="http://schemas.microsoft.com/office/drawing/2014/main" id="{00000000-0008-0000-2000-00003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9" name="220 CuadroTexto">
          <a:extLst>
            <a:ext uri="{FF2B5EF4-FFF2-40B4-BE49-F238E27FC236}">
              <a16:creationId xmlns:a16="http://schemas.microsoft.com/office/drawing/2014/main" id="{00000000-0008-0000-2000-00003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0" name="221 CuadroTexto">
          <a:extLst>
            <a:ext uri="{FF2B5EF4-FFF2-40B4-BE49-F238E27FC236}">
              <a16:creationId xmlns:a16="http://schemas.microsoft.com/office/drawing/2014/main" id="{00000000-0008-0000-2000-00003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1" name="222 CuadroTexto">
          <a:extLst>
            <a:ext uri="{FF2B5EF4-FFF2-40B4-BE49-F238E27FC236}">
              <a16:creationId xmlns:a16="http://schemas.microsoft.com/office/drawing/2014/main" id="{00000000-0008-0000-2000-00003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2" name="223 CuadroTexto">
          <a:extLst>
            <a:ext uri="{FF2B5EF4-FFF2-40B4-BE49-F238E27FC236}">
              <a16:creationId xmlns:a16="http://schemas.microsoft.com/office/drawing/2014/main" id="{00000000-0008-0000-2000-00003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3" name="224 CuadroTexto">
          <a:extLst>
            <a:ext uri="{FF2B5EF4-FFF2-40B4-BE49-F238E27FC236}">
              <a16:creationId xmlns:a16="http://schemas.microsoft.com/office/drawing/2014/main" id="{00000000-0008-0000-2000-00003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4" name="225 CuadroTexto">
          <a:extLst>
            <a:ext uri="{FF2B5EF4-FFF2-40B4-BE49-F238E27FC236}">
              <a16:creationId xmlns:a16="http://schemas.microsoft.com/office/drawing/2014/main" id="{00000000-0008-0000-2000-00003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5" name="226 CuadroTexto">
          <a:extLst>
            <a:ext uri="{FF2B5EF4-FFF2-40B4-BE49-F238E27FC236}">
              <a16:creationId xmlns:a16="http://schemas.microsoft.com/office/drawing/2014/main" id="{00000000-0008-0000-2000-00003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6" name="227 CuadroTexto">
          <a:extLst>
            <a:ext uri="{FF2B5EF4-FFF2-40B4-BE49-F238E27FC236}">
              <a16:creationId xmlns:a16="http://schemas.microsoft.com/office/drawing/2014/main" id="{00000000-0008-0000-2000-00003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7" name="228 CuadroTexto">
          <a:extLst>
            <a:ext uri="{FF2B5EF4-FFF2-40B4-BE49-F238E27FC236}">
              <a16:creationId xmlns:a16="http://schemas.microsoft.com/office/drawing/2014/main" id="{00000000-0008-0000-2000-00003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8" name="229 CuadroTexto">
          <a:extLst>
            <a:ext uri="{FF2B5EF4-FFF2-40B4-BE49-F238E27FC236}">
              <a16:creationId xmlns:a16="http://schemas.microsoft.com/office/drawing/2014/main" id="{00000000-0008-0000-2000-00004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9" name="230 CuadroTexto">
          <a:extLst>
            <a:ext uri="{FF2B5EF4-FFF2-40B4-BE49-F238E27FC236}">
              <a16:creationId xmlns:a16="http://schemas.microsoft.com/office/drawing/2014/main" id="{00000000-0008-0000-2000-00004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0" name="231 CuadroTexto">
          <a:extLst>
            <a:ext uri="{FF2B5EF4-FFF2-40B4-BE49-F238E27FC236}">
              <a16:creationId xmlns:a16="http://schemas.microsoft.com/office/drawing/2014/main" id="{00000000-0008-0000-2000-00004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1" name="232 CuadroTexto">
          <a:extLst>
            <a:ext uri="{FF2B5EF4-FFF2-40B4-BE49-F238E27FC236}">
              <a16:creationId xmlns:a16="http://schemas.microsoft.com/office/drawing/2014/main" id="{00000000-0008-0000-2000-00004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2" name="233 CuadroTexto">
          <a:extLst>
            <a:ext uri="{FF2B5EF4-FFF2-40B4-BE49-F238E27FC236}">
              <a16:creationId xmlns:a16="http://schemas.microsoft.com/office/drawing/2014/main" id="{00000000-0008-0000-2000-00004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3" name="234 CuadroTexto">
          <a:extLst>
            <a:ext uri="{FF2B5EF4-FFF2-40B4-BE49-F238E27FC236}">
              <a16:creationId xmlns:a16="http://schemas.microsoft.com/office/drawing/2014/main" id="{00000000-0008-0000-2000-00004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4" name="235 CuadroTexto">
          <a:extLst>
            <a:ext uri="{FF2B5EF4-FFF2-40B4-BE49-F238E27FC236}">
              <a16:creationId xmlns:a16="http://schemas.microsoft.com/office/drawing/2014/main" id="{00000000-0008-0000-2000-00004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5" name="236 CuadroTexto">
          <a:extLst>
            <a:ext uri="{FF2B5EF4-FFF2-40B4-BE49-F238E27FC236}">
              <a16:creationId xmlns:a16="http://schemas.microsoft.com/office/drawing/2014/main" id="{00000000-0008-0000-2000-00004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6" name="237 CuadroTexto">
          <a:extLst>
            <a:ext uri="{FF2B5EF4-FFF2-40B4-BE49-F238E27FC236}">
              <a16:creationId xmlns:a16="http://schemas.microsoft.com/office/drawing/2014/main" id="{00000000-0008-0000-2000-00004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7" name="238 CuadroTexto">
          <a:extLst>
            <a:ext uri="{FF2B5EF4-FFF2-40B4-BE49-F238E27FC236}">
              <a16:creationId xmlns:a16="http://schemas.microsoft.com/office/drawing/2014/main" id="{00000000-0008-0000-2000-00004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8" name="239 CuadroTexto">
          <a:extLst>
            <a:ext uri="{FF2B5EF4-FFF2-40B4-BE49-F238E27FC236}">
              <a16:creationId xmlns:a16="http://schemas.microsoft.com/office/drawing/2014/main" id="{00000000-0008-0000-2000-00004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9" name="240 CuadroTexto">
          <a:extLst>
            <a:ext uri="{FF2B5EF4-FFF2-40B4-BE49-F238E27FC236}">
              <a16:creationId xmlns:a16="http://schemas.microsoft.com/office/drawing/2014/main" id="{00000000-0008-0000-2000-00004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0" name="241 CuadroTexto">
          <a:extLst>
            <a:ext uri="{FF2B5EF4-FFF2-40B4-BE49-F238E27FC236}">
              <a16:creationId xmlns:a16="http://schemas.microsoft.com/office/drawing/2014/main" id="{00000000-0008-0000-2000-00004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1" name="242 CuadroTexto">
          <a:extLst>
            <a:ext uri="{FF2B5EF4-FFF2-40B4-BE49-F238E27FC236}">
              <a16:creationId xmlns:a16="http://schemas.microsoft.com/office/drawing/2014/main" id="{00000000-0008-0000-2000-00004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2" name="243 CuadroTexto">
          <a:extLst>
            <a:ext uri="{FF2B5EF4-FFF2-40B4-BE49-F238E27FC236}">
              <a16:creationId xmlns:a16="http://schemas.microsoft.com/office/drawing/2014/main" id="{00000000-0008-0000-2000-00004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3" name="244 CuadroTexto">
          <a:extLst>
            <a:ext uri="{FF2B5EF4-FFF2-40B4-BE49-F238E27FC236}">
              <a16:creationId xmlns:a16="http://schemas.microsoft.com/office/drawing/2014/main" id="{00000000-0008-0000-2000-00004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4" name="245 CuadroTexto">
          <a:extLst>
            <a:ext uri="{FF2B5EF4-FFF2-40B4-BE49-F238E27FC236}">
              <a16:creationId xmlns:a16="http://schemas.microsoft.com/office/drawing/2014/main" id="{00000000-0008-0000-2000-00005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5" name="246 CuadroTexto">
          <a:extLst>
            <a:ext uri="{FF2B5EF4-FFF2-40B4-BE49-F238E27FC236}">
              <a16:creationId xmlns:a16="http://schemas.microsoft.com/office/drawing/2014/main" id="{00000000-0008-0000-2000-00005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6" name="247 CuadroTexto">
          <a:extLst>
            <a:ext uri="{FF2B5EF4-FFF2-40B4-BE49-F238E27FC236}">
              <a16:creationId xmlns:a16="http://schemas.microsoft.com/office/drawing/2014/main" id="{00000000-0008-0000-2000-00005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7" name="248 CuadroTexto">
          <a:extLst>
            <a:ext uri="{FF2B5EF4-FFF2-40B4-BE49-F238E27FC236}">
              <a16:creationId xmlns:a16="http://schemas.microsoft.com/office/drawing/2014/main" id="{00000000-0008-0000-2000-00005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8" name="249 CuadroTexto">
          <a:extLst>
            <a:ext uri="{FF2B5EF4-FFF2-40B4-BE49-F238E27FC236}">
              <a16:creationId xmlns:a16="http://schemas.microsoft.com/office/drawing/2014/main" id="{00000000-0008-0000-2000-00005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9" name="250 CuadroTexto">
          <a:extLst>
            <a:ext uri="{FF2B5EF4-FFF2-40B4-BE49-F238E27FC236}">
              <a16:creationId xmlns:a16="http://schemas.microsoft.com/office/drawing/2014/main" id="{00000000-0008-0000-2000-00005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0" name="251 CuadroTexto">
          <a:extLst>
            <a:ext uri="{FF2B5EF4-FFF2-40B4-BE49-F238E27FC236}">
              <a16:creationId xmlns:a16="http://schemas.microsoft.com/office/drawing/2014/main" id="{00000000-0008-0000-2000-00005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1" name="252 CuadroTexto">
          <a:extLst>
            <a:ext uri="{FF2B5EF4-FFF2-40B4-BE49-F238E27FC236}">
              <a16:creationId xmlns:a16="http://schemas.microsoft.com/office/drawing/2014/main" id="{00000000-0008-0000-2000-00005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2" name="253 CuadroTexto">
          <a:extLst>
            <a:ext uri="{FF2B5EF4-FFF2-40B4-BE49-F238E27FC236}">
              <a16:creationId xmlns:a16="http://schemas.microsoft.com/office/drawing/2014/main" id="{00000000-0008-0000-2000-00005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3" name="254 CuadroTexto">
          <a:extLst>
            <a:ext uri="{FF2B5EF4-FFF2-40B4-BE49-F238E27FC236}">
              <a16:creationId xmlns:a16="http://schemas.microsoft.com/office/drawing/2014/main" id="{00000000-0008-0000-2000-00005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4" name="255 CuadroTexto">
          <a:extLst>
            <a:ext uri="{FF2B5EF4-FFF2-40B4-BE49-F238E27FC236}">
              <a16:creationId xmlns:a16="http://schemas.microsoft.com/office/drawing/2014/main" id="{00000000-0008-0000-2000-00005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5" name="256 CuadroTexto">
          <a:extLst>
            <a:ext uri="{FF2B5EF4-FFF2-40B4-BE49-F238E27FC236}">
              <a16:creationId xmlns:a16="http://schemas.microsoft.com/office/drawing/2014/main" id="{00000000-0008-0000-2000-00005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6" name="257 CuadroTexto">
          <a:extLst>
            <a:ext uri="{FF2B5EF4-FFF2-40B4-BE49-F238E27FC236}">
              <a16:creationId xmlns:a16="http://schemas.microsoft.com/office/drawing/2014/main" id="{00000000-0008-0000-2000-00005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7" name="258 CuadroTexto">
          <a:extLst>
            <a:ext uri="{FF2B5EF4-FFF2-40B4-BE49-F238E27FC236}">
              <a16:creationId xmlns:a16="http://schemas.microsoft.com/office/drawing/2014/main" id="{00000000-0008-0000-2000-00005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8" name="259 CuadroTexto">
          <a:extLst>
            <a:ext uri="{FF2B5EF4-FFF2-40B4-BE49-F238E27FC236}">
              <a16:creationId xmlns:a16="http://schemas.microsoft.com/office/drawing/2014/main" id="{00000000-0008-0000-2000-00005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9" name="260 CuadroTexto">
          <a:extLst>
            <a:ext uri="{FF2B5EF4-FFF2-40B4-BE49-F238E27FC236}">
              <a16:creationId xmlns:a16="http://schemas.microsoft.com/office/drawing/2014/main" id="{00000000-0008-0000-2000-00005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0" name="261 CuadroTexto">
          <a:extLst>
            <a:ext uri="{FF2B5EF4-FFF2-40B4-BE49-F238E27FC236}">
              <a16:creationId xmlns:a16="http://schemas.microsoft.com/office/drawing/2014/main" id="{00000000-0008-0000-2000-00006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1" name="262 CuadroTexto">
          <a:extLst>
            <a:ext uri="{FF2B5EF4-FFF2-40B4-BE49-F238E27FC236}">
              <a16:creationId xmlns:a16="http://schemas.microsoft.com/office/drawing/2014/main" id="{00000000-0008-0000-2000-00006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2" name="263 CuadroTexto">
          <a:extLst>
            <a:ext uri="{FF2B5EF4-FFF2-40B4-BE49-F238E27FC236}">
              <a16:creationId xmlns:a16="http://schemas.microsoft.com/office/drawing/2014/main" id="{00000000-0008-0000-2000-00006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3" name="264 CuadroTexto">
          <a:extLst>
            <a:ext uri="{FF2B5EF4-FFF2-40B4-BE49-F238E27FC236}">
              <a16:creationId xmlns:a16="http://schemas.microsoft.com/office/drawing/2014/main" id="{00000000-0008-0000-2000-00006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4" name="265 CuadroTexto">
          <a:extLst>
            <a:ext uri="{FF2B5EF4-FFF2-40B4-BE49-F238E27FC236}">
              <a16:creationId xmlns:a16="http://schemas.microsoft.com/office/drawing/2014/main" id="{00000000-0008-0000-2000-00006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5" name="266 CuadroTexto">
          <a:extLst>
            <a:ext uri="{FF2B5EF4-FFF2-40B4-BE49-F238E27FC236}">
              <a16:creationId xmlns:a16="http://schemas.microsoft.com/office/drawing/2014/main" id="{00000000-0008-0000-2000-00006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6" name="267 CuadroTexto">
          <a:extLst>
            <a:ext uri="{FF2B5EF4-FFF2-40B4-BE49-F238E27FC236}">
              <a16:creationId xmlns:a16="http://schemas.microsoft.com/office/drawing/2014/main" id="{00000000-0008-0000-2000-00006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687" name="268 CuadroTexto">
          <a:extLst>
            <a:ext uri="{FF2B5EF4-FFF2-40B4-BE49-F238E27FC236}">
              <a16:creationId xmlns:a16="http://schemas.microsoft.com/office/drawing/2014/main" id="{00000000-0008-0000-2000-00006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8" name="269 CuadroTexto">
          <a:extLst>
            <a:ext uri="{FF2B5EF4-FFF2-40B4-BE49-F238E27FC236}">
              <a16:creationId xmlns:a16="http://schemas.microsoft.com/office/drawing/2014/main" id="{00000000-0008-0000-2000-000068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9" name="270 CuadroTexto">
          <a:extLst>
            <a:ext uri="{FF2B5EF4-FFF2-40B4-BE49-F238E27FC236}">
              <a16:creationId xmlns:a16="http://schemas.microsoft.com/office/drawing/2014/main" id="{00000000-0008-0000-2000-000069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0" name="271 CuadroTexto">
          <a:extLst>
            <a:ext uri="{FF2B5EF4-FFF2-40B4-BE49-F238E27FC236}">
              <a16:creationId xmlns:a16="http://schemas.microsoft.com/office/drawing/2014/main" id="{00000000-0008-0000-2000-00006A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1" name="272 CuadroTexto">
          <a:extLst>
            <a:ext uri="{FF2B5EF4-FFF2-40B4-BE49-F238E27FC236}">
              <a16:creationId xmlns:a16="http://schemas.microsoft.com/office/drawing/2014/main" id="{00000000-0008-0000-2000-00006B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2" name="273 CuadroTexto">
          <a:extLst>
            <a:ext uri="{FF2B5EF4-FFF2-40B4-BE49-F238E27FC236}">
              <a16:creationId xmlns:a16="http://schemas.microsoft.com/office/drawing/2014/main" id="{00000000-0008-0000-2000-00006C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3" name="274 CuadroTexto">
          <a:extLst>
            <a:ext uri="{FF2B5EF4-FFF2-40B4-BE49-F238E27FC236}">
              <a16:creationId xmlns:a16="http://schemas.microsoft.com/office/drawing/2014/main" id="{00000000-0008-0000-2000-00006D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4" name="275 CuadroTexto">
          <a:extLst>
            <a:ext uri="{FF2B5EF4-FFF2-40B4-BE49-F238E27FC236}">
              <a16:creationId xmlns:a16="http://schemas.microsoft.com/office/drawing/2014/main" id="{00000000-0008-0000-2000-00006E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5" name="276 CuadroTexto">
          <a:extLst>
            <a:ext uri="{FF2B5EF4-FFF2-40B4-BE49-F238E27FC236}">
              <a16:creationId xmlns:a16="http://schemas.microsoft.com/office/drawing/2014/main" id="{00000000-0008-0000-2000-00006F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6" name="277 CuadroTexto">
          <a:extLst>
            <a:ext uri="{FF2B5EF4-FFF2-40B4-BE49-F238E27FC236}">
              <a16:creationId xmlns:a16="http://schemas.microsoft.com/office/drawing/2014/main" id="{00000000-0008-0000-2000-000070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7" name="278 CuadroTexto">
          <a:extLst>
            <a:ext uri="{FF2B5EF4-FFF2-40B4-BE49-F238E27FC236}">
              <a16:creationId xmlns:a16="http://schemas.microsoft.com/office/drawing/2014/main" id="{00000000-0008-0000-2000-000071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8" name="279 CuadroTexto">
          <a:extLst>
            <a:ext uri="{FF2B5EF4-FFF2-40B4-BE49-F238E27FC236}">
              <a16:creationId xmlns:a16="http://schemas.microsoft.com/office/drawing/2014/main" id="{00000000-0008-0000-2000-000072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9" name="280 CuadroTexto">
          <a:extLst>
            <a:ext uri="{FF2B5EF4-FFF2-40B4-BE49-F238E27FC236}">
              <a16:creationId xmlns:a16="http://schemas.microsoft.com/office/drawing/2014/main" id="{00000000-0008-0000-2000-000073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0" name="281 CuadroTexto">
          <a:extLst>
            <a:ext uri="{FF2B5EF4-FFF2-40B4-BE49-F238E27FC236}">
              <a16:creationId xmlns:a16="http://schemas.microsoft.com/office/drawing/2014/main" id="{00000000-0008-0000-2000-000074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1" name="282 CuadroTexto">
          <a:extLst>
            <a:ext uri="{FF2B5EF4-FFF2-40B4-BE49-F238E27FC236}">
              <a16:creationId xmlns:a16="http://schemas.microsoft.com/office/drawing/2014/main" id="{00000000-0008-0000-2000-000075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2" name="283 CuadroTexto">
          <a:extLst>
            <a:ext uri="{FF2B5EF4-FFF2-40B4-BE49-F238E27FC236}">
              <a16:creationId xmlns:a16="http://schemas.microsoft.com/office/drawing/2014/main" id="{00000000-0008-0000-2000-000076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3" name="284 CuadroTexto">
          <a:extLst>
            <a:ext uri="{FF2B5EF4-FFF2-40B4-BE49-F238E27FC236}">
              <a16:creationId xmlns:a16="http://schemas.microsoft.com/office/drawing/2014/main" id="{00000000-0008-0000-2000-00007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04" name="285 CuadroTexto">
          <a:extLst>
            <a:ext uri="{FF2B5EF4-FFF2-40B4-BE49-F238E27FC236}">
              <a16:creationId xmlns:a16="http://schemas.microsoft.com/office/drawing/2014/main" id="{00000000-0008-0000-2000-00007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5" name="286 CuadroTexto">
          <a:extLst>
            <a:ext uri="{FF2B5EF4-FFF2-40B4-BE49-F238E27FC236}">
              <a16:creationId xmlns:a16="http://schemas.microsoft.com/office/drawing/2014/main" id="{00000000-0008-0000-2000-00007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6" name="287 CuadroTexto">
          <a:extLst>
            <a:ext uri="{FF2B5EF4-FFF2-40B4-BE49-F238E27FC236}">
              <a16:creationId xmlns:a16="http://schemas.microsoft.com/office/drawing/2014/main" id="{00000000-0008-0000-2000-00007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7" name="288 CuadroTexto">
          <a:extLst>
            <a:ext uri="{FF2B5EF4-FFF2-40B4-BE49-F238E27FC236}">
              <a16:creationId xmlns:a16="http://schemas.microsoft.com/office/drawing/2014/main" id="{00000000-0008-0000-2000-00007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8" name="289 CuadroTexto">
          <a:extLst>
            <a:ext uri="{FF2B5EF4-FFF2-40B4-BE49-F238E27FC236}">
              <a16:creationId xmlns:a16="http://schemas.microsoft.com/office/drawing/2014/main" id="{00000000-0008-0000-2000-00007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9" name="290 CuadroTexto">
          <a:extLst>
            <a:ext uri="{FF2B5EF4-FFF2-40B4-BE49-F238E27FC236}">
              <a16:creationId xmlns:a16="http://schemas.microsoft.com/office/drawing/2014/main" id="{00000000-0008-0000-2000-00007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0" name="291 CuadroTexto">
          <a:extLst>
            <a:ext uri="{FF2B5EF4-FFF2-40B4-BE49-F238E27FC236}">
              <a16:creationId xmlns:a16="http://schemas.microsoft.com/office/drawing/2014/main" id="{00000000-0008-0000-2000-00007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1" name="292 CuadroTexto">
          <a:extLst>
            <a:ext uri="{FF2B5EF4-FFF2-40B4-BE49-F238E27FC236}">
              <a16:creationId xmlns:a16="http://schemas.microsoft.com/office/drawing/2014/main" id="{00000000-0008-0000-2000-00007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2" name="293 CuadroTexto">
          <a:extLst>
            <a:ext uri="{FF2B5EF4-FFF2-40B4-BE49-F238E27FC236}">
              <a16:creationId xmlns:a16="http://schemas.microsoft.com/office/drawing/2014/main" id="{00000000-0008-0000-2000-00008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3" name="294 CuadroTexto">
          <a:extLst>
            <a:ext uri="{FF2B5EF4-FFF2-40B4-BE49-F238E27FC236}">
              <a16:creationId xmlns:a16="http://schemas.microsoft.com/office/drawing/2014/main" id="{00000000-0008-0000-2000-00008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4" name="295 CuadroTexto">
          <a:extLst>
            <a:ext uri="{FF2B5EF4-FFF2-40B4-BE49-F238E27FC236}">
              <a16:creationId xmlns:a16="http://schemas.microsoft.com/office/drawing/2014/main" id="{00000000-0008-0000-2000-00008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5" name="296 CuadroTexto">
          <a:extLst>
            <a:ext uri="{FF2B5EF4-FFF2-40B4-BE49-F238E27FC236}">
              <a16:creationId xmlns:a16="http://schemas.microsoft.com/office/drawing/2014/main" id="{00000000-0008-0000-2000-00008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6" name="17 CuadroTexto">
          <a:extLst>
            <a:ext uri="{FF2B5EF4-FFF2-40B4-BE49-F238E27FC236}">
              <a16:creationId xmlns:a16="http://schemas.microsoft.com/office/drawing/2014/main" id="{00000000-0008-0000-2000-00008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717" name="90 CuadroTexto">
          <a:extLst>
            <a:ext uri="{FF2B5EF4-FFF2-40B4-BE49-F238E27FC236}">
              <a16:creationId xmlns:a16="http://schemas.microsoft.com/office/drawing/2014/main" id="{00000000-0008-0000-2000-000085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8" name="91 CuadroTexto">
          <a:extLst>
            <a:ext uri="{FF2B5EF4-FFF2-40B4-BE49-F238E27FC236}">
              <a16:creationId xmlns:a16="http://schemas.microsoft.com/office/drawing/2014/main" id="{00000000-0008-0000-2000-000086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9" name="92 CuadroTexto">
          <a:extLst>
            <a:ext uri="{FF2B5EF4-FFF2-40B4-BE49-F238E27FC236}">
              <a16:creationId xmlns:a16="http://schemas.microsoft.com/office/drawing/2014/main" id="{00000000-0008-0000-2000-000087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0" name="93 CuadroTexto">
          <a:extLst>
            <a:ext uri="{FF2B5EF4-FFF2-40B4-BE49-F238E27FC236}">
              <a16:creationId xmlns:a16="http://schemas.microsoft.com/office/drawing/2014/main" id="{00000000-0008-0000-2000-000088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1" name="94 CuadroTexto">
          <a:extLst>
            <a:ext uri="{FF2B5EF4-FFF2-40B4-BE49-F238E27FC236}">
              <a16:creationId xmlns:a16="http://schemas.microsoft.com/office/drawing/2014/main" id="{00000000-0008-0000-2000-000089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2" name="95 CuadroTexto">
          <a:extLst>
            <a:ext uri="{FF2B5EF4-FFF2-40B4-BE49-F238E27FC236}">
              <a16:creationId xmlns:a16="http://schemas.microsoft.com/office/drawing/2014/main" id="{00000000-0008-0000-2000-00008A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3" name="96 CuadroTexto">
          <a:extLst>
            <a:ext uri="{FF2B5EF4-FFF2-40B4-BE49-F238E27FC236}">
              <a16:creationId xmlns:a16="http://schemas.microsoft.com/office/drawing/2014/main" id="{00000000-0008-0000-2000-00008B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4" name="97 CuadroTexto">
          <a:extLst>
            <a:ext uri="{FF2B5EF4-FFF2-40B4-BE49-F238E27FC236}">
              <a16:creationId xmlns:a16="http://schemas.microsoft.com/office/drawing/2014/main" id="{00000000-0008-0000-2000-00008C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5" name="98 CuadroTexto">
          <a:extLst>
            <a:ext uri="{FF2B5EF4-FFF2-40B4-BE49-F238E27FC236}">
              <a16:creationId xmlns:a16="http://schemas.microsoft.com/office/drawing/2014/main" id="{00000000-0008-0000-2000-00008D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6" name="99 CuadroTexto">
          <a:extLst>
            <a:ext uri="{FF2B5EF4-FFF2-40B4-BE49-F238E27FC236}">
              <a16:creationId xmlns:a16="http://schemas.microsoft.com/office/drawing/2014/main" id="{00000000-0008-0000-2000-00008E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7" name="100 CuadroTexto">
          <a:extLst>
            <a:ext uri="{FF2B5EF4-FFF2-40B4-BE49-F238E27FC236}">
              <a16:creationId xmlns:a16="http://schemas.microsoft.com/office/drawing/2014/main" id="{00000000-0008-0000-2000-00008F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8" name="101 CuadroTexto">
          <a:extLst>
            <a:ext uri="{FF2B5EF4-FFF2-40B4-BE49-F238E27FC236}">
              <a16:creationId xmlns:a16="http://schemas.microsoft.com/office/drawing/2014/main" id="{00000000-0008-0000-2000-000090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29" name="118 CuadroTexto">
          <a:extLst>
            <a:ext uri="{FF2B5EF4-FFF2-40B4-BE49-F238E27FC236}">
              <a16:creationId xmlns:a16="http://schemas.microsoft.com/office/drawing/2014/main" id="{00000000-0008-0000-2000-00009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0" name="119 CuadroTexto">
          <a:extLst>
            <a:ext uri="{FF2B5EF4-FFF2-40B4-BE49-F238E27FC236}">
              <a16:creationId xmlns:a16="http://schemas.microsoft.com/office/drawing/2014/main" id="{00000000-0008-0000-2000-00009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1" name="120 CuadroTexto">
          <a:extLst>
            <a:ext uri="{FF2B5EF4-FFF2-40B4-BE49-F238E27FC236}">
              <a16:creationId xmlns:a16="http://schemas.microsoft.com/office/drawing/2014/main" id="{00000000-0008-0000-2000-00009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2" name="121 CuadroTexto">
          <a:extLst>
            <a:ext uri="{FF2B5EF4-FFF2-40B4-BE49-F238E27FC236}">
              <a16:creationId xmlns:a16="http://schemas.microsoft.com/office/drawing/2014/main" id="{00000000-0008-0000-2000-00009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3" name="122 CuadroTexto">
          <a:extLst>
            <a:ext uri="{FF2B5EF4-FFF2-40B4-BE49-F238E27FC236}">
              <a16:creationId xmlns:a16="http://schemas.microsoft.com/office/drawing/2014/main" id="{00000000-0008-0000-2000-00009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4" name="123 CuadroTexto">
          <a:extLst>
            <a:ext uri="{FF2B5EF4-FFF2-40B4-BE49-F238E27FC236}">
              <a16:creationId xmlns:a16="http://schemas.microsoft.com/office/drawing/2014/main" id="{00000000-0008-0000-2000-00009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5" name="124 CuadroTexto">
          <a:extLst>
            <a:ext uri="{FF2B5EF4-FFF2-40B4-BE49-F238E27FC236}">
              <a16:creationId xmlns:a16="http://schemas.microsoft.com/office/drawing/2014/main" id="{00000000-0008-0000-2000-00009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6" name="125 CuadroTexto">
          <a:extLst>
            <a:ext uri="{FF2B5EF4-FFF2-40B4-BE49-F238E27FC236}">
              <a16:creationId xmlns:a16="http://schemas.microsoft.com/office/drawing/2014/main" id="{00000000-0008-0000-2000-00009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7" name="143 CuadroTexto">
          <a:extLst>
            <a:ext uri="{FF2B5EF4-FFF2-40B4-BE49-F238E27FC236}">
              <a16:creationId xmlns:a16="http://schemas.microsoft.com/office/drawing/2014/main" id="{00000000-0008-0000-2000-00009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8" name="144 CuadroTexto">
          <a:extLst>
            <a:ext uri="{FF2B5EF4-FFF2-40B4-BE49-F238E27FC236}">
              <a16:creationId xmlns:a16="http://schemas.microsoft.com/office/drawing/2014/main" id="{00000000-0008-0000-2000-00009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9" name="145 CuadroTexto">
          <a:extLst>
            <a:ext uri="{FF2B5EF4-FFF2-40B4-BE49-F238E27FC236}">
              <a16:creationId xmlns:a16="http://schemas.microsoft.com/office/drawing/2014/main" id="{00000000-0008-0000-2000-00009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0" name="146 CuadroTexto">
          <a:extLst>
            <a:ext uri="{FF2B5EF4-FFF2-40B4-BE49-F238E27FC236}">
              <a16:creationId xmlns:a16="http://schemas.microsoft.com/office/drawing/2014/main" id="{00000000-0008-0000-2000-00009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1" name="147 CuadroTexto">
          <a:extLst>
            <a:ext uri="{FF2B5EF4-FFF2-40B4-BE49-F238E27FC236}">
              <a16:creationId xmlns:a16="http://schemas.microsoft.com/office/drawing/2014/main" id="{00000000-0008-0000-2000-00009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2" name="148 CuadroTexto">
          <a:extLst>
            <a:ext uri="{FF2B5EF4-FFF2-40B4-BE49-F238E27FC236}">
              <a16:creationId xmlns:a16="http://schemas.microsoft.com/office/drawing/2014/main" id="{00000000-0008-0000-2000-00009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3" name="149 CuadroTexto">
          <a:extLst>
            <a:ext uri="{FF2B5EF4-FFF2-40B4-BE49-F238E27FC236}">
              <a16:creationId xmlns:a16="http://schemas.microsoft.com/office/drawing/2014/main" id="{00000000-0008-0000-2000-00009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4" name="150 CuadroTexto">
          <a:extLst>
            <a:ext uri="{FF2B5EF4-FFF2-40B4-BE49-F238E27FC236}">
              <a16:creationId xmlns:a16="http://schemas.microsoft.com/office/drawing/2014/main" id="{00000000-0008-0000-2000-0000A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5" name="151 CuadroTexto">
          <a:extLst>
            <a:ext uri="{FF2B5EF4-FFF2-40B4-BE49-F238E27FC236}">
              <a16:creationId xmlns:a16="http://schemas.microsoft.com/office/drawing/2014/main" id="{00000000-0008-0000-2000-0000A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6" name="152 CuadroTexto">
          <a:extLst>
            <a:ext uri="{FF2B5EF4-FFF2-40B4-BE49-F238E27FC236}">
              <a16:creationId xmlns:a16="http://schemas.microsoft.com/office/drawing/2014/main" id="{00000000-0008-0000-2000-0000A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7" name="153 CuadroTexto">
          <a:extLst>
            <a:ext uri="{FF2B5EF4-FFF2-40B4-BE49-F238E27FC236}">
              <a16:creationId xmlns:a16="http://schemas.microsoft.com/office/drawing/2014/main" id="{00000000-0008-0000-2000-0000A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8" name="154 CuadroTexto">
          <a:extLst>
            <a:ext uri="{FF2B5EF4-FFF2-40B4-BE49-F238E27FC236}">
              <a16:creationId xmlns:a16="http://schemas.microsoft.com/office/drawing/2014/main" id="{00000000-0008-0000-2000-0000A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9" name="155 CuadroTexto">
          <a:extLst>
            <a:ext uri="{FF2B5EF4-FFF2-40B4-BE49-F238E27FC236}">
              <a16:creationId xmlns:a16="http://schemas.microsoft.com/office/drawing/2014/main" id="{00000000-0008-0000-2000-0000A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0" name="156 CuadroTexto">
          <a:extLst>
            <a:ext uri="{FF2B5EF4-FFF2-40B4-BE49-F238E27FC236}">
              <a16:creationId xmlns:a16="http://schemas.microsoft.com/office/drawing/2014/main" id="{00000000-0008-0000-2000-0000A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1" name="157 CuadroTexto">
          <a:extLst>
            <a:ext uri="{FF2B5EF4-FFF2-40B4-BE49-F238E27FC236}">
              <a16:creationId xmlns:a16="http://schemas.microsoft.com/office/drawing/2014/main" id="{00000000-0008-0000-2000-0000A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2" name="158 CuadroTexto">
          <a:extLst>
            <a:ext uri="{FF2B5EF4-FFF2-40B4-BE49-F238E27FC236}">
              <a16:creationId xmlns:a16="http://schemas.microsoft.com/office/drawing/2014/main" id="{00000000-0008-0000-2000-0000A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3" name="159 CuadroTexto">
          <a:extLst>
            <a:ext uri="{FF2B5EF4-FFF2-40B4-BE49-F238E27FC236}">
              <a16:creationId xmlns:a16="http://schemas.microsoft.com/office/drawing/2014/main" id="{00000000-0008-0000-2000-0000A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4" name="160 CuadroTexto">
          <a:extLst>
            <a:ext uri="{FF2B5EF4-FFF2-40B4-BE49-F238E27FC236}">
              <a16:creationId xmlns:a16="http://schemas.microsoft.com/office/drawing/2014/main" id="{00000000-0008-0000-2000-0000A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5" name="161 CuadroTexto">
          <a:extLst>
            <a:ext uri="{FF2B5EF4-FFF2-40B4-BE49-F238E27FC236}">
              <a16:creationId xmlns:a16="http://schemas.microsoft.com/office/drawing/2014/main" id="{00000000-0008-0000-2000-0000A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6" name="162 CuadroTexto">
          <a:extLst>
            <a:ext uri="{FF2B5EF4-FFF2-40B4-BE49-F238E27FC236}">
              <a16:creationId xmlns:a16="http://schemas.microsoft.com/office/drawing/2014/main" id="{00000000-0008-0000-2000-0000A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7" name="163 CuadroTexto">
          <a:extLst>
            <a:ext uri="{FF2B5EF4-FFF2-40B4-BE49-F238E27FC236}">
              <a16:creationId xmlns:a16="http://schemas.microsoft.com/office/drawing/2014/main" id="{00000000-0008-0000-2000-0000A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8" name="164 CuadroTexto">
          <a:extLst>
            <a:ext uri="{FF2B5EF4-FFF2-40B4-BE49-F238E27FC236}">
              <a16:creationId xmlns:a16="http://schemas.microsoft.com/office/drawing/2014/main" id="{00000000-0008-0000-2000-0000A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9" name="165 CuadroTexto">
          <a:extLst>
            <a:ext uri="{FF2B5EF4-FFF2-40B4-BE49-F238E27FC236}">
              <a16:creationId xmlns:a16="http://schemas.microsoft.com/office/drawing/2014/main" id="{00000000-0008-0000-2000-0000A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0" name="166 CuadroTexto">
          <a:extLst>
            <a:ext uri="{FF2B5EF4-FFF2-40B4-BE49-F238E27FC236}">
              <a16:creationId xmlns:a16="http://schemas.microsoft.com/office/drawing/2014/main" id="{00000000-0008-0000-2000-0000B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1" name="167 CuadroTexto">
          <a:extLst>
            <a:ext uri="{FF2B5EF4-FFF2-40B4-BE49-F238E27FC236}">
              <a16:creationId xmlns:a16="http://schemas.microsoft.com/office/drawing/2014/main" id="{00000000-0008-0000-2000-0000B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2" name="168 CuadroTexto">
          <a:extLst>
            <a:ext uri="{FF2B5EF4-FFF2-40B4-BE49-F238E27FC236}">
              <a16:creationId xmlns:a16="http://schemas.microsoft.com/office/drawing/2014/main" id="{00000000-0008-0000-2000-0000B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3" name="169 CuadroTexto">
          <a:extLst>
            <a:ext uri="{FF2B5EF4-FFF2-40B4-BE49-F238E27FC236}">
              <a16:creationId xmlns:a16="http://schemas.microsoft.com/office/drawing/2014/main" id="{00000000-0008-0000-2000-0000B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4" name="170 CuadroTexto">
          <a:extLst>
            <a:ext uri="{FF2B5EF4-FFF2-40B4-BE49-F238E27FC236}">
              <a16:creationId xmlns:a16="http://schemas.microsoft.com/office/drawing/2014/main" id="{00000000-0008-0000-2000-0000B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5" name="171 CuadroTexto">
          <a:extLst>
            <a:ext uri="{FF2B5EF4-FFF2-40B4-BE49-F238E27FC236}">
              <a16:creationId xmlns:a16="http://schemas.microsoft.com/office/drawing/2014/main" id="{00000000-0008-0000-2000-0000B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6" name="172 CuadroTexto">
          <a:extLst>
            <a:ext uri="{FF2B5EF4-FFF2-40B4-BE49-F238E27FC236}">
              <a16:creationId xmlns:a16="http://schemas.microsoft.com/office/drawing/2014/main" id="{00000000-0008-0000-2000-0000B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7" name="173 CuadroTexto">
          <a:extLst>
            <a:ext uri="{FF2B5EF4-FFF2-40B4-BE49-F238E27FC236}">
              <a16:creationId xmlns:a16="http://schemas.microsoft.com/office/drawing/2014/main" id="{00000000-0008-0000-2000-0000B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8" name="174 CuadroTexto">
          <a:extLst>
            <a:ext uri="{FF2B5EF4-FFF2-40B4-BE49-F238E27FC236}">
              <a16:creationId xmlns:a16="http://schemas.microsoft.com/office/drawing/2014/main" id="{00000000-0008-0000-2000-0000B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9" name="175 CuadroTexto">
          <a:extLst>
            <a:ext uri="{FF2B5EF4-FFF2-40B4-BE49-F238E27FC236}">
              <a16:creationId xmlns:a16="http://schemas.microsoft.com/office/drawing/2014/main" id="{00000000-0008-0000-2000-0000B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0" name="176 CuadroTexto">
          <a:extLst>
            <a:ext uri="{FF2B5EF4-FFF2-40B4-BE49-F238E27FC236}">
              <a16:creationId xmlns:a16="http://schemas.microsoft.com/office/drawing/2014/main" id="{00000000-0008-0000-2000-0000B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1" name="177 CuadroTexto">
          <a:extLst>
            <a:ext uri="{FF2B5EF4-FFF2-40B4-BE49-F238E27FC236}">
              <a16:creationId xmlns:a16="http://schemas.microsoft.com/office/drawing/2014/main" id="{00000000-0008-0000-2000-0000B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2" name="178 CuadroTexto">
          <a:extLst>
            <a:ext uri="{FF2B5EF4-FFF2-40B4-BE49-F238E27FC236}">
              <a16:creationId xmlns:a16="http://schemas.microsoft.com/office/drawing/2014/main" id="{00000000-0008-0000-2000-0000B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3" name="179 CuadroTexto">
          <a:extLst>
            <a:ext uri="{FF2B5EF4-FFF2-40B4-BE49-F238E27FC236}">
              <a16:creationId xmlns:a16="http://schemas.microsoft.com/office/drawing/2014/main" id="{00000000-0008-0000-2000-0000B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4" name="180 CuadroTexto">
          <a:extLst>
            <a:ext uri="{FF2B5EF4-FFF2-40B4-BE49-F238E27FC236}">
              <a16:creationId xmlns:a16="http://schemas.microsoft.com/office/drawing/2014/main" id="{00000000-0008-0000-2000-0000B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5" name="181 CuadroTexto">
          <a:extLst>
            <a:ext uri="{FF2B5EF4-FFF2-40B4-BE49-F238E27FC236}">
              <a16:creationId xmlns:a16="http://schemas.microsoft.com/office/drawing/2014/main" id="{00000000-0008-0000-2000-0000B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6" name="182 CuadroTexto">
          <a:extLst>
            <a:ext uri="{FF2B5EF4-FFF2-40B4-BE49-F238E27FC236}">
              <a16:creationId xmlns:a16="http://schemas.microsoft.com/office/drawing/2014/main" id="{00000000-0008-0000-2000-0000C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7" name="183 CuadroTexto">
          <a:extLst>
            <a:ext uri="{FF2B5EF4-FFF2-40B4-BE49-F238E27FC236}">
              <a16:creationId xmlns:a16="http://schemas.microsoft.com/office/drawing/2014/main" id="{00000000-0008-0000-2000-0000C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8" name="184 CuadroTexto">
          <a:extLst>
            <a:ext uri="{FF2B5EF4-FFF2-40B4-BE49-F238E27FC236}">
              <a16:creationId xmlns:a16="http://schemas.microsoft.com/office/drawing/2014/main" id="{00000000-0008-0000-2000-0000C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9" name="185 CuadroTexto">
          <a:extLst>
            <a:ext uri="{FF2B5EF4-FFF2-40B4-BE49-F238E27FC236}">
              <a16:creationId xmlns:a16="http://schemas.microsoft.com/office/drawing/2014/main" id="{00000000-0008-0000-2000-0000C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0" name="186 CuadroTexto">
          <a:extLst>
            <a:ext uri="{FF2B5EF4-FFF2-40B4-BE49-F238E27FC236}">
              <a16:creationId xmlns:a16="http://schemas.microsoft.com/office/drawing/2014/main" id="{00000000-0008-0000-2000-0000C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1" name="187 CuadroTexto">
          <a:extLst>
            <a:ext uri="{FF2B5EF4-FFF2-40B4-BE49-F238E27FC236}">
              <a16:creationId xmlns:a16="http://schemas.microsoft.com/office/drawing/2014/main" id="{00000000-0008-0000-2000-0000C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2" name="188 CuadroTexto">
          <a:extLst>
            <a:ext uri="{FF2B5EF4-FFF2-40B4-BE49-F238E27FC236}">
              <a16:creationId xmlns:a16="http://schemas.microsoft.com/office/drawing/2014/main" id="{00000000-0008-0000-2000-0000C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3" name="189 CuadroTexto">
          <a:extLst>
            <a:ext uri="{FF2B5EF4-FFF2-40B4-BE49-F238E27FC236}">
              <a16:creationId xmlns:a16="http://schemas.microsoft.com/office/drawing/2014/main" id="{00000000-0008-0000-2000-0000C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4" name="190 CuadroTexto">
          <a:extLst>
            <a:ext uri="{FF2B5EF4-FFF2-40B4-BE49-F238E27FC236}">
              <a16:creationId xmlns:a16="http://schemas.microsoft.com/office/drawing/2014/main" id="{00000000-0008-0000-2000-0000C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5" name="191 CuadroTexto">
          <a:extLst>
            <a:ext uri="{FF2B5EF4-FFF2-40B4-BE49-F238E27FC236}">
              <a16:creationId xmlns:a16="http://schemas.microsoft.com/office/drawing/2014/main" id="{00000000-0008-0000-2000-0000C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6" name="192 CuadroTexto">
          <a:extLst>
            <a:ext uri="{FF2B5EF4-FFF2-40B4-BE49-F238E27FC236}">
              <a16:creationId xmlns:a16="http://schemas.microsoft.com/office/drawing/2014/main" id="{00000000-0008-0000-2000-0000C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7" name="193 CuadroTexto">
          <a:extLst>
            <a:ext uri="{FF2B5EF4-FFF2-40B4-BE49-F238E27FC236}">
              <a16:creationId xmlns:a16="http://schemas.microsoft.com/office/drawing/2014/main" id="{00000000-0008-0000-2000-0000C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8" name="194 CuadroTexto">
          <a:extLst>
            <a:ext uri="{FF2B5EF4-FFF2-40B4-BE49-F238E27FC236}">
              <a16:creationId xmlns:a16="http://schemas.microsoft.com/office/drawing/2014/main" id="{00000000-0008-0000-2000-0000C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9" name="195 CuadroTexto">
          <a:extLst>
            <a:ext uri="{FF2B5EF4-FFF2-40B4-BE49-F238E27FC236}">
              <a16:creationId xmlns:a16="http://schemas.microsoft.com/office/drawing/2014/main" id="{00000000-0008-0000-2000-0000C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0" name="196 CuadroTexto">
          <a:extLst>
            <a:ext uri="{FF2B5EF4-FFF2-40B4-BE49-F238E27FC236}">
              <a16:creationId xmlns:a16="http://schemas.microsoft.com/office/drawing/2014/main" id="{00000000-0008-0000-2000-0000C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1" name="197 CuadroTexto">
          <a:extLst>
            <a:ext uri="{FF2B5EF4-FFF2-40B4-BE49-F238E27FC236}">
              <a16:creationId xmlns:a16="http://schemas.microsoft.com/office/drawing/2014/main" id="{00000000-0008-0000-2000-0000C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2" name="198 CuadroTexto">
          <a:extLst>
            <a:ext uri="{FF2B5EF4-FFF2-40B4-BE49-F238E27FC236}">
              <a16:creationId xmlns:a16="http://schemas.microsoft.com/office/drawing/2014/main" id="{00000000-0008-0000-2000-0000D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3" name="199 CuadroTexto">
          <a:extLst>
            <a:ext uri="{FF2B5EF4-FFF2-40B4-BE49-F238E27FC236}">
              <a16:creationId xmlns:a16="http://schemas.microsoft.com/office/drawing/2014/main" id="{00000000-0008-0000-2000-0000D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4" name="200 CuadroTexto">
          <a:extLst>
            <a:ext uri="{FF2B5EF4-FFF2-40B4-BE49-F238E27FC236}">
              <a16:creationId xmlns:a16="http://schemas.microsoft.com/office/drawing/2014/main" id="{00000000-0008-0000-2000-0000D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5" name="201 CuadroTexto">
          <a:extLst>
            <a:ext uri="{FF2B5EF4-FFF2-40B4-BE49-F238E27FC236}">
              <a16:creationId xmlns:a16="http://schemas.microsoft.com/office/drawing/2014/main" id="{00000000-0008-0000-2000-0000D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6" name="202 CuadroTexto">
          <a:extLst>
            <a:ext uri="{FF2B5EF4-FFF2-40B4-BE49-F238E27FC236}">
              <a16:creationId xmlns:a16="http://schemas.microsoft.com/office/drawing/2014/main" id="{00000000-0008-0000-2000-0000D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7" name="203 CuadroTexto">
          <a:extLst>
            <a:ext uri="{FF2B5EF4-FFF2-40B4-BE49-F238E27FC236}">
              <a16:creationId xmlns:a16="http://schemas.microsoft.com/office/drawing/2014/main" id="{00000000-0008-0000-2000-0000D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8" name="204 CuadroTexto">
          <a:extLst>
            <a:ext uri="{FF2B5EF4-FFF2-40B4-BE49-F238E27FC236}">
              <a16:creationId xmlns:a16="http://schemas.microsoft.com/office/drawing/2014/main" id="{00000000-0008-0000-2000-0000D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9" name="205 CuadroTexto">
          <a:extLst>
            <a:ext uri="{FF2B5EF4-FFF2-40B4-BE49-F238E27FC236}">
              <a16:creationId xmlns:a16="http://schemas.microsoft.com/office/drawing/2014/main" id="{00000000-0008-0000-2000-0000D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0" name="206 CuadroTexto">
          <a:extLst>
            <a:ext uri="{FF2B5EF4-FFF2-40B4-BE49-F238E27FC236}">
              <a16:creationId xmlns:a16="http://schemas.microsoft.com/office/drawing/2014/main" id="{00000000-0008-0000-2000-0000D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1" name="207 CuadroTexto">
          <a:extLst>
            <a:ext uri="{FF2B5EF4-FFF2-40B4-BE49-F238E27FC236}">
              <a16:creationId xmlns:a16="http://schemas.microsoft.com/office/drawing/2014/main" id="{00000000-0008-0000-2000-0000D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2" name="208 CuadroTexto">
          <a:extLst>
            <a:ext uri="{FF2B5EF4-FFF2-40B4-BE49-F238E27FC236}">
              <a16:creationId xmlns:a16="http://schemas.microsoft.com/office/drawing/2014/main" id="{00000000-0008-0000-2000-0000D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3" name="209 CuadroTexto">
          <a:extLst>
            <a:ext uri="{FF2B5EF4-FFF2-40B4-BE49-F238E27FC236}">
              <a16:creationId xmlns:a16="http://schemas.microsoft.com/office/drawing/2014/main" id="{00000000-0008-0000-2000-0000D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4" name="210 CuadroTexto">
          <a:extLst>
            <a:ext uri="{FF2B5EF4-FFF2-40B4-BE49-F238E27FC236}">
              <a16:creationId xmlns:a16="http://schemas.microsoft.com/office/drawing/2014/main" id="{00000000-0008-0000-2000-0000D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5" name="211 CuadroTexto">
          <a:extLst>
            <a:ext uri="{FF2B5EF4-FFF2-40B4-BE49-F238E27FC236}">
              <a16:creationId xmlns:a16="http://schemas.microsoft.com/office/drawing/2014/main" id="{00000000-0008-0000-2000-0000D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6" name="212 CuadroTexto">
          <a:extLst>
            <a:ext uri="{FF2B5EF4-FFF2-40B4-BE49-F238E27FC236}">
              <a16:creationId xmlns:a16="http://schemas.microsoft.com/office/drawing/2014/main" id="{00000000-0008-0000-2000-0000D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7" name="213 CuadroTexto">
          <a:extLst>
            <a:ext uri="{FF2B5EF4-FFF2-40B4-BE49-F238E27FC236}">
              <a16:creationId xmlns:a16="http://schemas.microsoft.com/office/drawing/2014/main" id="{00000000-0008-0000-2000-0000D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8" name="214 CuadroTexto">
          <a:extLst>
            <a:ext uri="{FF2B5EF4-FFF2-40B4-BE49-F238E27FC236}">
              <a16:creationId xmlns:a16="http://schemas.microsoft.com/office/drawing/2014/main" id="{00000000-0008-0000-2000-0000E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9" name="215 CuadroTexto">
          <a:extLst>
            <a:ext uri="{FF2B5EF4-FFF2-40B4-BE49-F238E27FC236}">
              <a16:creationId xmlns:a16="http://schemas.microsoft.com/office/drawing/2014/main" id="{00000000-0008-0000-2000-0000E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0" name="216 CuadroTexto">
          <a:extLst>
            <a:ext uri="{FF2B5EF4-FFF2-40B4-BE49-F238E27FC236}">
              <a16:creationId xmlns:a16="http://schemas.microsoft.com/office/drawing/2014/main" id="{00000000-0008-0000-2000-0000E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1" name="217 CuadroTexto">
          <a:extLst>
            <a:ext uri="{FF2B5EF4-FFF2-40B4-BE49-F238E27FC236}">
              <a16:creationId xmlns:a16="http://schemas.microsoft.com/office/drawing/2014/main" id="{00000000-0008-0000-2000-0000E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2" name="218 CuadroTexto">
          <a:extLst>
            <a:ext uri="{FF2B5EF4-FFF2-40B4-BE49-F238E27FC236}">
              <a16:creationId xmlns:a16="http://schemas.microsoft.com/office/drawing/2014/main" id="{00000000-0008-0000-2000-0000E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3" name="219 CuadroTexto">
          <a:extLst>
            <a:ext uri="{FF2B5EF4-FFF2-40B4-BE49-F238E27FC236}">
              <a16:creationId xmlns:a16="http://schemas.microsoft.com/office/drawing/2014/main" id="{00000000-0008-0000-2000-0000E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4" name="220 CuadroTexto">
          <a:extLst>
            <a:ext uri="{FF2B5EF4-FFF2-40B4-BE49-F238E27FC236}">
              <a16:creationId xmlns:a16="http://schemas.microsoft.com/office/drawing/2014/main" id="{00000000-0008-0000-2000-0000E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5" name="221 CuadroTexto">
          <a:extLst>
            <a:ext uri="{FF2B5EF4-FFF2-40B4-BE49-F238E27FC236}">
              <a16:creationId xmlns:a16="http://schemas.microsoft.com/office/drawing/2014/main" id="{00000000-0008-0000-2000-0000E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6" name="222 CuadroTexto">
          <a:extLst>
            <a:ext uri="{FF2B5EF4-FFF2-40B4-BE49-F238E27FC236}">
              <a16:creationId xmlns:a16="http://schemas.microsoft.com/office/drawing/2014/main" id="{00000000-0008-0000-2000-0000E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7" name="223 CuadroTexto">
          <a:extLst>
            <a:ext uri="{FF2B5EF4-FFF2-40B4-BE49-F238E27FC236}">
              <a16:creationId xmlns:a16="http://schemas.microsoft.com/office/drawing/2014/main" id="{00000000-0008-0000-2000-0000E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8" name="224 CuadroTexto">
          <a:extLst>
            <a:ext uri="{FF2B5EF4-FFF2-40B4-BE49-F238E27FC236}">
              <a16:creationId xmlns:a16="http://schemas.microsoft.com/office/drawing/2014/main" id="{00000000-0008-0000-2000-0000E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9" name="225 CuadroTexto">
          <a:extLst>
            <a:ext uri="{FF2B5EF4-FFF2-40B4-BE49-F238E27FC236}">
              <a16:creationId xmlns:a16="http://schemas.microsoft.com/office/drawing/2014/main" id="{00000000-0008-0000-2000-0000E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0" name="226 CuadroTexto">
          <a:extLst>
            <a:ext uri="{FF2B5EF4-FFF2-40B4-BE49-F238E27FC236}">
              <a16:creationId xmlns:a16="http://schemas.microsoft.com/office/drawing/2014/main" id="{00000000-0008-0000-2000-0000E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1" name="227 CuadroTexto">
          <a:extLst>
            <a:ext uri="{FF2B5EF4-FFF2-40B4-BE49-F238E27FC236}">
              <a16:creationId xmlns:a16="http://schemas.microsoft.com/office/drawing/2014/main" id="{00000000-0008-0000-2000-0000E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2" name="228 CuadroTexto">
          <a:extLst>
            <a:ext uri="{FF2B5EF4-FFF2-40B4-BE49-F238E27FC236}">
              <a16:creationId xmlns:a16="http://schemas.microsoft.com/office/drawing/2014/main" id="{00000000-0008-0000-2000-0000E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3" name="229 CuadroTexto">
          <a:extLst>
            <a:ext uri="{FF2B5EF4-FFF2-40B4-BE49-F238E27FC236}">
              <a16:creationId xmlns:a16="http://schemas.microsoft.com/office/drawing/2014/main" id="{00000000-0008-0000-2000-0000E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4" name="230 CuadroTexto">
          <a:extLst>
            <a:ext uri="{FF2B5EF4-FFF2-40B4-BE49-F238E27FC236}">
              <a16:creationId xmlns:a16="http://schemas.microsoft.com/office/drawing/2014/main" id="{00000000-0008-0000-2000-0000F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5" name="231 CuadroTexto">
          <a:extLst>
            <a:ext uri="{FF2B5EF4-FFF2-40B4-BE49-F238E27FC236}">
              <a16:creationId xmlns:a16="http://schemas.microsoft.com/office/drawing/2014/main" id="{00000000-0008-0000-2000-0000F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6" name="232 CuadroTexto">
          <a:extLst>
            <a:ext uri="{FF2B5EF4-FFF2-40B4-BE49-F238E27FC236}">
              <a16:creationId xmlns:a16="http://schemas.microsoft.com/office/drawing/2014/main" id="{00000000-0008-0000-2000-0000F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7" name="233 CuadroTexto">
          <a:extLst>
            <a:ext uri="{FF2B5EF4-FFF2-40B4-BE49-F238E27FC236}">
              <a16:creationId xmlns:a16="http://schemas.microsoft.com/office/drawing/2014/main" id="{00000000-0008-0000-2000-0000F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8" name="234 CuadroTexto">
          <a:extLst>
            <a:ext uri="{FF2B5EF4-FFF2-40B4-BE49-F238E27FC236}">
              <a16:creationId xmlns:a16="http://schemas.microsoft.com/office/drawing/2014/main" id="{00000000-0008-0000-2000-0000F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9" name="235 CuadroTexto">
          <a:extLst>
            <a:ext uri="{FF2B5EF4-FFF2-40B4-BE49-F238E27FC236}">
              <a16:creationId xmlns:a16="http://schemas.microsoft.com/office/drawing/2014/main" id="{00000000-0008-0000-2000-0000F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0" name="236 CuadroTexto">
          <a:extLst>
            <a:ext uri="{FF2B5EF4-FFF2-40B4-BE49-F238E27FC236}">
              <a16:creationId xmlns:a16="http://schemas.microsoft.com/office/drawing/2014/main" id="{00000000-0008-0000-2000-0000F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1" name="237 CuadroTexto">
          <a:extLst>
            <a:ext uri="{FF2B5EF4-FFF2-40B4-BE49-F238E27FC236}">
              <a16:creationId xmlns:a16="http://schemas.microsoft.com/office/drawing/2014/main" id="{00000000-0008-0000-2000-0000F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2" name="238 CuadroTexto">
          <a:extLst>
            <a:ext uri="{FF2B5EF4-FFF2-40B4-BE49-F238E27FC236}">
              <a16:creationId xmlns:a16="http://schemas.microsoft.com/office/drawing/2014/main" id="{00000000-0008-0000-2000-0000F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3" name="239 CuadroTexto">
          <a:extLst>
            <a:ext uri="{FF2B5EF4-FFF2-40B4-BE49-F238E27FC236}">
              <a16:creationId xmlns:a16="http://schemas.microsoft.com/office/drawing/2014/main" id="{00000000-0008-0000-2000-0000F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4" name="240 CuadroTexto">
          <a:extLst>
            <a:ext uri="{FF2B5EF4-FFF2-40B4-BE49-F238E27FC236}">
              <a16:creationId xmlns:a16="http://schemas.microsoft.com/office/drawing/2014/main" id="{00000000-0008-0000-2000-0000F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5" name="241 CuadroTexto">
          <a:extLst>
            <a:ext uri="{FF2B5EF4-FFF2-40B4-BE49-F238E27FC236}">
              <a16:creationId xmlns:a16="http://schemas.microsoft.com/office/drawing/2014/main" id="{00000000-0008-0000-2000-0000F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6" name="242 CuadroTexto">
          <a:extLst>
            <a:ext uri="{FF2B5EF4-FFF2-40B4-BE49-F238E27FC236}">
              <a16:creationId xmlns:a16="http://schemas.microsoft.com/office/drawing/2014/main" id="{00000000-0008-0000-2000-0000F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7" name="243 CuadroTexto">
          <a:extLst>
            <a:ext uri="{FF2B5EF4-FFF2-40B4-BE49-F238E27FC236}">
              <a16:creationId xmlns:a16="http://schemas.microsoft.com/office/drawing/2014/main" id="{00000000-0008-0000-2000-0000F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8" name="244 CuadroTexto">
          <a:extLst>
            <a:ext uri="{FF2B5EF4-FFF2-40B4-BE49-F238E27FC236}">
              <a16:creationId xmlns:a16="http://schemas.microsoft.com/office/drawing/2014/main" id="{00000000-0008-0000-2000-0000F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9" name="245 CuadroTexto">
          <a:extLst>
            <a:ext uri="{FF2B5EF4-FFF2-40B4-BE49-F238E27FC236}">
              <a16:creationId xmlns:a16="http://schemas.microsoft.com/office/drawing/2014/main" id="{00000000-0008-0000-2000-0000F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0" name="246 CuadroTexto">
          <a:extLst>
            <a:ext uri="{FF2B5EF4-FFF2-40B4-BE49-F238E27FC236}">
              <a16:creationId xmlns:a16="http://schemas.microsoft.com/office/drawing/2014/main" id="{00000000-0008-0000-2000-00000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1" name="247 CuadroTexto">
          <a:extLst>
            <a:ext uri="{FF2B5EF4-FFF2-40B4-BE49-F238E27FC236}">
              <a16:creationId xmlns:a16="http://schemas.microsoft.com/office/drawing/2014/main" id="{00000000-0008-0000-2000-00000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2" name="248 CuadroTexto">
          <a:extLst>
            <a:ext uri="{FF2B5EF4-FFF2-40B4-BE49-F238E27FC236}">
              <a16:creationId xmlns:a16="http://schemas.microsoft.com/office/drawing/2014/main" id="{00000000-0008-0000-2000-00000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3" name="249 CuadroTexto">
          <a:extLst>
            <a:ext uri="{FF2B5EF4-FFF2-40B4-BE49-F238E27FC236}">
              <a16:creationId xmlns:a16="http://schemas.microsoft.com/office/drawing/2014/main" id="{00000000-0008-0000-2000-00000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4" name="250 CuadroTexto">
          <a:extLst>
            <a:ext uri="{FF2B5EF4-FFF2-40B4-BE49-F238E27FC236}">
              <a16:creationId xmlns:a16="http://schemas.microsoft.com/office/drawing/2014/main" id="{00000000-0008-0000-2000-00000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5" name="251 CuadroTexto">
          <a:extLst>
            <a:ext uri="{FF2B5EF4-FFF2-40B4-BE49-F238E27FC236}">
              <a16:creationId xmlns:a16="http://schemas.microsoft.com/office/drawing/2014/main" id="{00000000-0008-0000-2000-00000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6" name="252 CuadroTexto">
          <a:extLst>
            <a:ext uri="{FF2B5EF4-FFF2-40B4-BE49-F238E27FC236}">
              <a16:creationId xmlns:a16="http://schemas.microsoft.com/office/drawing/2014/main" id="{00000000-0008-0000-2000-00000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7" name="253 CuadroTexto">
          <a:extLst>
            <a:ext uri="{FF2B5EF4-FFF2-40B4-BE49-F238E27FC236}">
              <a16:creationId xmlns:a16="http://schemas.microsoft.com/office/drawing/2014/main" id="{00000000-0008-0000-2000-00000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8" name="254 CuadroTexto">
          <a:extLst>
            <a:ext uri="{FF2B5EF4-FFF2-40B4-BE49-F238E27FC236}">
              <a16:creationId xmlns:a16="http://schemas.microsoft.com/office/drawing/2014/main" id="{00000000-0008-0000-2000-00000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9" name="255 CuadroTexto">
          <a:extLst>
            <a:ext uri="{FF2B5EF4-FFF2-40B4-BE49-F238E27FC236}">
              <a16:creationId xmlns:a16="http://schemas.microsoft.com/office/drawing/2014/main" id="{00000000-0008-0000-2000-00000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0" name="256 CuadroTexto">
          <a:extLst>
            <a:ext uri="{FF2B5EF4-FFF2-40B4-BE49-F238E27FC236}">
              <a16:creationId xmlns:a16="http://schemas.microsoft.com/office/drawing/2014/main" id="{00000000-0008-0000-2000-00000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1" name="257 CuadroTexto">
          <a:extLst>
            <a:ext uri="{FF2B5EF4-FFF2-40B4-BE49-F238E27FC236}">
              <a16:creationId xmlns:a16="http://schemas.microsoft.com/office/drawing/2014/main" id="{00000000-0008-0000-2000-00000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2" name="258 CuadroTexto">
          <a:extLst>
            <a:ext uri="{FF2B5EF4-FFF2-40B4-BE49-F238E27FC236}">
              <a16:creationId xmlns:a16="http://schemas.microsoft.com/office/drawing/2014/main" id="{00000000-0008-0000-2000-00000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3" name="259 CuadroTexto">
          <a:extLst>
            <a:ext uri="{FF2B5EF4-FFF2-40B4-BE49-F238E27FC236}">
              <a16:creationId xmlns:a16="http://schemas.microsoft.com/office/drawing/2014/main" id="{00000000-0008-0000-2000-00000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4" name="260 CuadroTexto">
          <a:extLst>
            <a:ext uri="{FF2B5EF4-FFF2-40B4-BE49-F238E27FC236}">
              <a16:creationId xmlns:a16="http://schemas.microsoft.com/office/drawing/2014/main" id="{00000000-0008-0000-2000-00000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5" name="261 CuadroTexto">
          <a:extLst>
            <a:ext uri="{FF2B5EF4-FFF2-40B4-BE49-F238E27FC236}">
              <a16:creationId xmlns:a16="http://schemas.microsoft.com/office/drawing/2014/main" id="{00000000-0008-0000-2000-00000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6" name="262 CuadroTexto">
          <a:extLst>
            <a:ext uri="{FF2B5EF4-FFF2-40B4-BE49-F238E27FC236}">
              <a16:creationId xmlns:a16="http://schemas.microsoft.com/office/drawing/2014/main" id="{00000000-0008-0000-2000-00001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7" name="263 CuadroTexto">
          <a:extLst>
            <a:ext uri="{FF2B5EF4-FFF2-40B4-BE49-F238E27FC236}">
              <a16:creationId xmlns:a16="http://schemas.microsoft.com/office/drawing/2014/main" id="{00000000-0008-0000-2000-00001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8" name="264 CuadroTexto">
          <a:extLst>
            <a:ext uri="{FF2B5EF4-FFF2-40B4-BE49-F238E27FC236}">
              <a16:creationId xmlns:a16="http://schemas.microsoft.com/office/drawing/2014/main" id="{00000000-0008-0000-2000-00001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9" name="265 CuadroTexto">
          <a:extLst>
            <a:ext uri="{FF2B5EF4-FFF2-40B4-BE49-F238E27FC236}">
              <a16:creationId xmlns:a16="http://schemas.microsoft.com/office/drawing/2014/main" id="{00000000-0008-0000-2000-00001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0" name="266 CuadroTexto">
          <a:extLst>
            <a:ext uri="{FF2B5EF4-FFF2-40B4-BE49-F238E27FC236}">
              <a16:creationId xmlns:a16="http://schemas.microsoft.com/office/drawing/2014/main" id="{00000000-0008-0000-2000-00001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1" name="267 CuadroTexto">
          <a:extLst>
            <a:ext uri="{FF2B5EF4-FFF2-40B4-BE49-F238E27FC236}">
              <a16:creationId xmlns:a16="http://schemas.microsoft.com/office/drawing/2014/main" id="{00000000-0008-0000-2000-00001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862" name="268 CuadroTexto">
          <a:extLst>
            <a:ext uri="{FF2B5EF4-FFF2-40B4-BE49-F238E27FC236}">
              <a16:creationId xmlns:a16="http://schemas.microsoft.com/office/drawing/2014/main" id="{00000000-0008-0000-2000-00001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3" name="269 CuadroTexto">
          <a:extLst>
            <a:ext uri="{FF2B5EF4-FFF2-40B4-BE49-F238E27FC236}">
              <a16:creationId xmlns:a16="http://schemas.microsoft.com/office/drawing/2014/main" id="{00000000-0008-0000-2000-00001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4" name="270 CuadroTexto">
          <a:extLst>
            <a:ext uri="{FF2B5EF4-FFF2-40B4-BE49-F238E27FC236}">
              <a16:creationId xmlns:a16="http://schemas.microsoft.com/office/drawing/2014/main" id="{00000000-0008-0000-2000-00001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5" name="271 CuadroTexto">
          <a:extLst>
            <a:ext uri="{FF2B5EF4-FFF2-40B4-BE49-F238E27FC236}">
              <a16:creationId xmlns:a16="http://schemas.microsoft.com/office/drawing/2014/main" id="{00000000-0008-0000-2000-00001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6" name="272 CuadroTexto">
          <a:extLst>
            <a:ext uri="{FF2B5EF4-FFF2-40B4-BE49-F238E27FC236}">
              <a16:creationId xmlns:a16="http://schemas.microsoft.com/office/drawing/2014/main" id="{00000000-0008-0000-2000-00001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7" name="273 CuadroTexto">
          <a:extLst>
            <a:ext uri="{FF2B5EF4-FFF2-40B4-BE49-F238E27FC236}">
              <a16:creationId xmlns:a16="http://schemas.microsoft.com/office/drawing/2014/main" id="{00000000-0008-0000-2000-00001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8" name="274 CuadroTexto">
          <a:extLst>
            <a:ext uri="{FF2B5EF4-FFF2-40B4-BE49-F238E27FC236}">
              <a16:creationId xmlns:a16="http://schemas.microsoft.com/office/drawing/2014/main" id="{00000000-0008-0000-2000-00001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9" name="275 CuadroTexto">
          <a:extLst>
            <a:ext uri="{FF2B5EF4-FFF2-40B4-BE49-F238E27FC236}">
              <a16:creationId xmlns:a16="http://schemas.microsoft.com/office/drawing/2014/main" id="{00000000-0008-0000-2000-00001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0" name="276 CuadroTexto">
          <a:extLst>
            <a:ext uri="{FF2B5EF4-FFF2-40B4-BE49-F238E27FC236}">
              <a16:creationId xmlns:a16="http://schemas.microsoft.com/office/drawing/2014/main" id="{00000000-0008-0000-2000-00001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1" name="277 CuadroTexto">
          <a:extLst>
            <a:ext uri="{FF2B5EF4-FFF2-40B4-BE49-F238E27FC236}">
              <a16:creationId xmlns:a16="http://schemas.microsoft.com/office/drawing/2014/main" id="{00000000-0008-0000-2000-00001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2" name="278 CuadroTexto">
          <a:extLst>
            <a:ext uri="{FF2B5EF4-FFF2-40B4-BE49-F238E27FC236}">
              <a16:creationId xmlns:a16="http://schemas.microsoft.com/office/drawing/2014/main" id="{00000000-0008-0000-2000-00002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3" name="279 CuadroTexto">
          <a:extLst>
            <a:ext uri="{FF2B5EF4-FFF2-40B4-BE49-F238E27FC236}">
              <a16:creationId xmlns:a16="http://schemas.microsoft.com/office/drawing/2014/main" id="{00000000-0008-0000-2000-00002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4" name="280 CuadroTexto">
          <a:extLst>
            <a:ext uri="{FF2B5EF4-FFF2-40B4-BE49-F238E27FC236}">
              <a16:creationId xmlns:a16="http://schemas.microsoft.com/office/drawing/2014/main" id="{00000000-0008-0000-2000-00002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5" name="281 CuadroTexto">
          <a:extLst>
            <a:ext uri="{FF2B5EF4-FFF2-40B4-BE49-F238E27FC236}">
              <a16:creationId xmlns:a16="http://schemas.microsoft.com/office/drawing/2014/main" id="{00000000-0008-0000-2000-00002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6" name="282 CuadroTexto">
          <a:extLst>
            <a:ext uri="{FF2B5EF4-FFF2-40B4-BE49-F238E27FC236}">
              <a16:creationId xmlns:a16="http://schemas.microsoft.com/office/drawing/2014/main" id="{00000000-0008-0000-2000-00002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7" name="283 CuadroTexto">
          <a:extLst>
            <a:ext uri="{FF2B5EF4-FFF2-40B4-BE49-F238E27FC236}">
              <a16:creationId xmlns:a16="http://schemas.microsoft.com/office/drawing/2014/main" id="{00000000-0008-0000-2000-00002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8" name="284 CuadroTexto">
          <a:extLst>
            <a:ext uri="{FF2B5EF4-FFF2-40B4-BE49-F238E27FC236}">
              <a16:creationId xmlns:a16="http://schemas.microsoft.com/office/drawing/2014/main" id="{00000000-0008-0000-2000-00002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879" name="285 CuadroTexto">
          <a:extLst>
            <a:ext uri="{FF2B5EF4-FFF2-40B4-BE49-F238E27FC236}">
              <a16:creationId xmlns:a16="http://schemas.microsoft.com/office/drawing/2014/main" id="{00000000-0008-0000-2000-00002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0" name="286 CuadroTexto">
          <a:extLst>
            <a:ext uri="{FF2B5EF4-FFF2-40B4-BE49-F238E27FC236}">
              <a16:creationId xmlns:a16="http://schemas.microsoft.com/office/drawing/2014/main" id="{00000000-0008-0000-2000-00002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1" name="287 CuadroTexto">
          <a:extLst>
            <a:ext uri="{FF2B5EF4-FFF2-40B4-BE49-F238E27FC236}">
              <a16:creationId xmlns:a16="http://schemas.microsoft.com/office/drawing/2014/main" id="{00000000-0008-0000-2000-00002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2" name="288 CuadroTexto">
          <a:extLst>
            <a:ext uri="{FF2B5EF4-FFF2-40B4-BE49-F238E27FC236}">
              <a16:creationId xmlns:a16="http://schemas.microsoft.com/office/drawing/2014/main" id="{00000000-0008-0000-2000-00002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3" name="289 CuadroTexto">
          <a:extLst>
            <a:ext uri="{FF2B5EF4-FFF2-40B4-BE49-F238E27FC236}">
              <a16:creationId xmlns:a16="http://schemas.microsoft.com/office/drawing/2014/main" id="{00000000-0008-0000-2000-00002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4" name="290 CuadroTexto">
          <a:extLst>
            <a:ext uri="{FF2B5EF4-FFF2-40B4-BE49-F238E27FC236}">
              <a16:creationId xmlns:a16="http://schemas.microsoft.com/office/drawing/2014/main" id="{00000000-0008-0000-2000-00002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5" name="291 CuadroTexto">
          <a:extLst>
            <a:ext uri="{FF2B5EF4-FFF2-40B4-BE49-F238E27FC236}">
              <a16:creationId xmlns:a16="http://schemas.microsoft.com/office/drawing/2014/main" id="{00000000-0008-0000-2000-00002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6" name="292 CuadroTexto">
          <a:extLst>
            <a:ext uri="{FF2B5EF4-FFF2-40B4-BE49-F238E27FC236}">
              <a16:creationId xmlns:a16="http://schemas.microsoft.com/office/drawing/2014/main" id="{00000000-0008-0000-2000-00002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7" name="293 CuadroTexto">
          <a:extLst>
            <a:ext uri="{FF2B5EF4-FFF2-40B4-BE49-F238E27FC236}">
              <a16:creationId xmlns:a16="http://schemas.microsoft.com/office/drawing/2014/main" id="{00000000-0008-0000-2000-00002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8" name="294 CuadroTexto">
          <a:extLst>
            <a:ext uri="{FF2B5EF4-FFF2-40B4-BE49-F238E27FC236}">
              <a16:creationId xmlns:a16="http://schemas.microsoft.com/office/drawing/2014/main" id="{00000000-0008-0000-2000-00003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9" name="295 CuadroTexto">
          <a:extLst>
            <a:ext uri="{FF2B5EF4-FFF2-40B4-BE49-F238E27FC236}">
              <a16:creationId xmlns:a16="http://schemas.microsoft.com/office/drawing/2014/main" id="{00000000-0008-0000-2000-00003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0" name="298 CuadroTexto">
          <a:extLst>
            <a:ext uri="{FF2B5EF4-FFF2-40B4-BE49-F238E27FC236}">
              <a16:creationId xmlns:a16="http://schemas.microsoft.com/office/drawing/2014/main" id="{00000000-0008-0000-2000-000032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1" name="299 CuadroTexto">
          <a:extLst>
            <a:ext uri="{FF2B5EF4-FFF2-40B4-BE49-F238E27FC236}">
              <a16:creationId xmlns:a16="http://schemas.microsoft.com/office/drawing/2014/main" id="{00000000-0008-0000-2000-000033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2" name="300 CuadroTexto">
          <a:extLst>
            <a:ext uri="{FF2B5EF4-FFF2-40B4-BE49-F238E27FC236}">
              <a16:creationId xmlns:a16="http://schemas.microsoft.com/office/drawing/2014/main" id="{00000000-0008-0000-2000-000034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3" name="301 CuadroTexto">
          <a:extLst>
            <a:ext uri="{FF2B5EF4-FFF2-40B4-BE49-F238E27FC236}">
              <a16:creationId xmlns:a16="http://schemas.microsoft.com/office/drawing/2014/main" id="{00000000-0008-0000-2000-000035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4" name="302 CuadroTexto">
          <a:extLst>
            <a:ext uri="{FF2B5EF4-FFF2-40B4-BE49-F238E27FC236}">
              <a16:creationId xmlns:a16="http://schemas.microsoft.com/office/drawing/2014/main" id="{00000000-0008-0000-2000-000036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5" name="303 CuadroTexto">
          <a:extLst>
            <a:ext uri="{FF2B5EF4-FFF2-40B4-BE49-F238E27FC236}">
              <a16:creationId xmlns:a16="http://schemas.microsoft.com/office/drawing/2014/main" id="{00000000-0008-0000-2000-000037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6" name="304 CuadroTexto">
          <a:extLst>
            <a:ext uri="{FF2B5EF4-FFF2-40B4-BE49-F238E27FC236}">
              <a16:creationId xmlns:a16="http://schemas.microsoft.com/office/drawing/2014/main" id="{00000000-0008-0000-2000-000038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7" name="305 CuadroTexto">
          <a:extLst>
            <a:ext uri="{FF2B5EF4-FFF2-40B4-BE49-F238E27FC236}">
              <a16:creationId xmlns:a16="http://schemas.microsoft.com/office/drawing/2014/main" id="{00000000-0008-0000-2000-000039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8" name="452 CuadroTexto">
          <a:extLst>
            <a:ext uri="{FF2B5EF4-FFF2-40B4-BE49-F238E27FC236}">
              <a16:creationId xmlns:a16="http://schemas.microsoft.com/office/drawing/2014/main" id="{00000000-0008-0000-2000-00003A0F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99" name="17 CuadroTexto">
          <a:extLst>
            <a:ext uri="{FF2B5EF4-FFF2-40B4-BE49-F238E27FC236}">
              <a16:creationId xmlns:a16="http://schemas.microsoft.com/office/drawing/2014/main" id="{00000000-0008-0000-2000-00003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900" name="90 CuadroTexto">
          <a:extLst>
            <a:ext uri="{FF2B5EF4-FFF2-40B4-BE49-F238E27FC236}">
              <a16:creationId xmlns:a16="http://schemas.microsoft.com/office/drawing/2014/main" id="{00000000-0008-0000-2000-00003C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1" name="91 CuadroTexto">
          <a:extLst>
            <a:ext uri="{FF2B5EF4-FFF2-40B4-BE49-F238E27FC236}">
              <a16:creationId xmlns:a16="http://schemas.microsoft.com/office/drawing/2014/main" id="{00000000-0008-0000-2000-00003D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2" name="92 CuadroTexto">
          <a:extLst>
            <a:ext uri="{FF2B5EF4-FFF2-40B4-BE49-F238E27FC236}">
              <a16:creationId xmlns:a16="http://schemas.microsoft.com/office/drawing/2014/main" id="{00000000-0008-0000-2000-00003E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3" name="93 CuadroTexto">
          <a:extLst>
            <a:ext uri="{FF2B5EF4-FFF2-40B4-BE49-F238E27FC236}">
              <a16:creationId xmlns:a16="http://schemas.microsoft.com/office/drawing/2014/main" id="{00000000-0008-0000-2000-00003F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4" name="94 CuadroTexto">
          <a:extLst>
            <a:ext uri="{FF2B5EF4-FFF2-40B4-BE49-F238E27FC236}">
              <a16:creationId xmlns:a16="http://schemas.microsoft.com/office/drawing/2014/main" id="{00000000-0008-0000-2000-000040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5" name="95 CuadroTexto">
          <a:extLst>
            <a:ext uri="{FF2B5EF4-FFF2-40B4-BE49-F238E27FC236}">
              <a16:creationId xmlns:a16="http://schemas.microsoft.com/office/drawing/2014/main" id="{00000000-0008-0000-2000-000041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6" name="96 CuadroTexto">
          <a:extLst>
            <a:ext uri="{FF2B5EF4-FFF2-40B4-BE49-F238E27FC236}">
              <a16:creationId xmlns:a16="http://schemas.microsoft.com/office/drawing/2014/main" id="{00000000-0008-0000-2000-000042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7" name="97 CuadroTexto">
          <a:extLst>
            <a:ext uri="{FF2B5EF4-FFF2-40B4-BE49-F238E27FC236}">
              <a16:creationId xmlns:a16="http://schemas.microsoft.com/office/drawing/2014/main" id="{00000000-0008-0000-2000-000043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8" name="98 CuadroTexto">
          <a:extLst>
            <a:ext uri="{FF2B5EF4-FFF2-40B4-BE49-F238E27FC236}">
              <a16:creationId xmlns:a16="http://schemas.microsoft.com/office/drawing/2014/main" id="{00000000-0008-0000-2000-000044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9" name="99 CuadroTexto">
          <a:extLst>
            <a:ext uri="{FF2B5EF4-FFF2-40B4-BE49-F238E27FC236}">
              <a16:creationId xmlns:a16="http://schemas.microsoft.com/office/drawing/2014/main" id="{00000000-0008-0000-2000-000045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0" name="100 CuadroTexto">
          <a:extLst>
            <a:ext uri="{FF2B5EF4-FFF2-40B4-BE49-F238E27FC236}">
              <a16:creationId xmlns:a16="http://schemas.microsoft.com/office/drawing/2014/main" id="{00000000-0008-0000-2000-000046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1" name="101 CuadroTexto">
          <a:extLst>
            <a:ext uri="{FF2B5EF4-FFF2-40B4-BE49-F238E27FC236}">
              <a16:creationId xmlns:a16="http://schemas.microsoft.com/office/drawing/2014/main" id="{00000000-0008-0000-2000-000047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912" name="118 CuadroTexto">
          <a:extLst>
            <a:ext uri="{FF2B5EF4-FFF2-40B4-BE49-F238E27FC236}">
              <a16:creationId xmlns:a16="http://schemas.microsoft.com/office/drawing/2014/main" id="{00000000-0008-0000-2000-00004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3" name="119 CuadroTexto">
          <a:extLst>
            <a:ext uri="{FF2B5EF4-FFF2-40B4-BE49-F238E27FC236}">
              <a16:creationId xmlns:a16="http://schemas.microsoft.com/office/drawing/2014/main" id="{00000000-0008-0000-2000-00004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4" name="120 CuadroTexto">
          <a:extLst>
            <a:ext uri="{FF2B5EF4-FFF2-40B4-BE49-F238E27FC236}">
              <a16:creationId xmlns:a16="http://schemas.microsoft.com/office/drawing/2014/main" id="{00000000-0008-0000-2000-00004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5" name="121 CuadroTexto">
          <a:extLst>
            <a:ext uri="{FF2B5EF4-FFF2-40B4-BE49-F238E27FC236}">
              <a16:creationId xmlns:a16="http://schemas.microsoft.com/office/drawing/2014/main" id="{00000000-0008-0000-2000-00004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6" name="122 CuadroTexto">
          <a:extLst>
            <a:ext uri="{FF2B5EF4-FFF2-40B4-BE49-F238E27FC236}">
              <a16:creationId xmlns:a16="http://schemas.microsoft.com/office/drawing/2014/main" id="{00000000-0008-0000-2000-00004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7" name="123 CuadroTexto">
          <a:extLst>
            <a:ext uri="{FF2B5EF4-FFF2-40B4-BE49-F238E27FC236}">
              <a16:creationId xmlns:a16="http://schemas.microsoft.com/office/drawing/2014/main" id="{00000000-0008-0000-2000-00004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8" name="124 CuadroTexto">
          <a:extLst>
            <a:ext uri="{FF2B5EF4-FFF2-40B4-BE49-F238E27FC236}">
              <a16:creationId xmlns:a16="http://schemas.microsoft.com/office/drawing/2014/main" id="{00000000-0008-0000-2000-00004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9" name="125 CuadroTexto">
          <a:extLst>
            <a:ext uri="{FF2B5EF4-FFF2-40B4-BE49-F238E27FC236}">
              <a16:creationId xmlns:a16="http://schemas.microsoft.com/office/drawing/2014/main" id="{00000000-0008-0000-2000-00004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0" name="143 CuadroTexto">
          <a:extLst>
            <a:ext uri="{FF2B5EF4-FFF2-40B4-BE49-F238E27FC236}">
              <a16:creationId xmlns:a16="http://schemas.microsoft.com/office/drawing/2014/main" id="{00000000-0008-0000-2000-00005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1" name="144 CuadroTexto">
          <a:extLst>
            <a:ext uri="{FF2B5EF4-FFF2-40B4-BE49-F238E27FC236}">
              <a16:creationId xmlns:a16="http://schemas.microsoft.com/office/drawing/2014/main" id="{00000000-0008-0000-2000-00005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2" name="145 CuadroTexto">
          <a:extLst>
            <a:ext uri="{FF2B5EF4-FFF2-40B4-BE49-F238E27FC236}">
              <a16:creationId xmlns:a16="http://schemas.microsoft.com/office/drawing/2014/main" id="{00000000-0008-0000-2000-00005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3" name="146 CuadroTexto">
          <a:extLst>
            <a:ext uri="{FF2B5EF4-FFF2-40B4-BE49-F238E27FC236}">
              <a16:creationId xmlns:a16="http://schemas.microsoft.com/office/drawing/2014/main" id="{00000000-0008-0000-2000-00005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4" name="147 CuadroTexto">
          <a:extLst>
            <a:ext uri="{FF2B5EF4-FFF2-40B4-BE49-F238E27FC236}">
              <a16:creationId xmlns:a16="http://schemas.microsoft.com/office/drawing/2014/main" id="{00000000-0008-0000-2000-00005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5" name="148 CuadroTexto">
          <a:extLst>
            <a:ext uri="{FF2B5EF4-FFF2-40B4-BE49-F238E27FC236}">
              <a16:creationId xmlns:a16="http://schemas.microsoft.com/office/drawing/2014/main" id="{00000000-0008-0000-2000-00005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6" name="149 CuadroTexto">
          <a:extLst>
            <a:ext uri="{FF2B5EF4-FFF2-40B4-BE49-F238E27FC236}">
              <a16:creationId xmlns:a16="http://schemas.microsoft.com/office/drawing/2014/main" id="{00000000-0008-0000-2000-00005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7" name="150 CuadroTexto">
          <a:extLst>
            <a:ext uri="{FF2B5EF4-FFF2-40B4-BE49-F238E27FC236}">
              <a16:creationId xmlns:a16="http://schemas.microsoft.com/office/drawing/2014/main" id="{00000000-0008-0000-2000-00005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8" name="151 CuadroTexto">
          <a:extLst>
            <a:ext uri="{FF2B5EF4-FFF2-40B4-BE49-F238E27FC236}">
              <a16:creationId xmlns:a16="http://schemas.microsoft.com/office/drawing/2014/main" id="{00000000-0008-0000-2000-00005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9" name="152 CuadroTexto">
          <a:extLst>
            <a:ext uri="{FF2B5EF4-FFF2-40B4-BE49-F238E27FC236}">
              <a16:creationId xmlns:a16="http://schemas.microsoft.com/office/drawing/2014/main" id="{00000000-0008-0000-2000-00005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0" name="153 CuadroTexto">
          <a:extLst>
            <a:ext uri="{FF2B5EF4-FFF2-40B4-BE49-F238E27FC236}">
              <a16:creationId xmlns:a16="http://schemas.microsoft.com/office/drawing/2014/main" id="{00000000-0008-0000-2000-00005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1" name="154 CuadroTexto">
          <a:extLst>
            <a:ext uri="{FF2B5EF4-FFF2-40B4-BE49-F238E27FC236}">
              <a16:creationId xmlns:a16="http://schemas.microsoft.com/office/drawing/2014/main" id="{00000000-0008-0000-2000-00005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2" name="155 CuadroTexto">
          <a:extLst>
            <a:ext uri="{FF2B5EF4-FFF2-40B4-BE49-F238E27FC236}">
              <a16:creationId xmlns:a16="http://schemas.microsoft.com/office/drawing/2014/main" id="{00000000-0008-0000-2000-00005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3" name="156 CuadroTexto">
          <a:extLst>
            <a:ext uri="{FF2B5EF4-FFF2-40B4-BE49-F238E27FC236}">
              <a16:creationId xmlns:a16="http://schemas.microsoft.com/office/drawing/2014/main" id="{00000000-0008-0000-2000-00005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4" name="157 CuadroTexto">
          <a:extLst>
            <a:ext uri="{FF2B5EF4-FFF2-40B4-BE49-F238E27FC236}">
              <a16:creationId xmlns:a16="http://schemas.microsoft.com/office/drawing/2014/main" id="{00000000-0008-0000-2000-00005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5" name="158 CuadroTexto">
          <a:extLst>
            <a:ext uri="{FF2B5EF4-FFF2-40B4-BE49-F238E27FC236}">
              <a16:creationId xmlns:a16="http://schemas.microsoft.com/office/drawing/2014/main" id="{00000000-0008-0000-2000-00005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6" name="159 CuadroTexto">
          <a:extLst>
            <a:ext uri="{FF2B5EF4-FFF2-40B4-BE49-F238E27FC236}">
              <a16:creationId xmlns:a16="http://schemas.microsoft.com/office/drawing/2014/main" id="{00000000-0008-0000-2000-00006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7" name="160 CuadroTexto">
          <a:extLst>
            <a:ext uri="{FF2B5EF4-FFF2-40B4-BE49-F238E27FC236}">
              <a16:creationId xmlns:a16="http://schemas.microsoft.com/office/drawing/2014/main" id="{00000000-0008-0000-2000-00006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8" name="161 CuadroTexto">
          <a:extLst>
            <a:ext uri="{FF2B5EF4-FFF2-40B4-BE49-F238E27FC236}">
              <a16:creationId xmlns:a16="http://schemas.microsoft.com/office/drawing/2014/main" id="{00000000-0008-0000-2000-00006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9" name="162 CuadroTexto">
          <a:extLst>
            <a:ext uri="{FF2B5EF4-FFF2-40B4-BE49-F238E27FC236}">
              <a16:creationId xmlns:a16="http://schemas.microsoft.com/office/drawing/2014/main" id="{00000000-0008-0000-2000-00006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0" name="163 CuadroTexto">
          <a:extLst>
            <a:ext uri="{FF2B5EF4-FFF2-40B4-BE49-F238E27FC236}">
              <a16:creationId xmlns:a16="http://schemas.microsoft.com/office/drawing/2014/main" id="{00000000-0008-0000-2000-00006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1" name="164 CuadroTexto">
          <a:extLst>
            <a:ext uri="{FF2B5EF4-FFF2-40B4-BE49-F238E27FC236}">
              <a16:creationId xmlns:a16="http://schemas.microsoft.com/office/drawing/2014/main" id="{00000000-0008-0000-2000-00006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2" name="165 CuadroTexto">
          <a:extLst>
            <a:ext uri="{FF2B5EF4-FFF2-40B4-BE49-F238E27FC236}">
              <a16:creationId xmlns:a16="http://schemas.microsoft.com/office/drawing/2014/main" id="{00000000-0008-0000-2000-00006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3" name="166 CuadroTexto">
          <a:extLst>
            <a:ext uri="{FF2B5EF4-FFF2-40B4-BE49-F238E27FC236}">
              <a16:creationId xmlns:a16="http://schemas.microsoft.com/office/drawing/2014/main" id="{00000000-0008-0000-2000-00006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4" name="167 CuadroTexto">
          <a:extLst>
            <a:ext uri="{FF2B5EF4-FFF2-40B4-BE49-F238E27FC236}">
              <a16:creationId xmlns:a16="http://schemas.microsoft.com/office/drawing/2014/main" id="{00000000-0008-0000-2000-00006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5" name="168 CuadroTexto">
          <a:extLst>
            <a:ext uri="{FF2B5EF4-FFF2-40B4-BE49-F238E27FC236}">
              <a16:creationId xmlns:a16="http://schemas.microsoft.com/office/drawing/2014/main" id="{00000000-0008-0000-2000-00006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6" name="169 CuadroTexto">
          <a:extLst>
            <a:ext uri="{FF2B5EF4-FFF2-40B4-BE49-F238E27FC236}">
              <a16:creationId xmlns:a16="http://schemas.microsoft.com/office/drawing/2014/main" id="{00000000-0008-0000-2000-00006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7" name="170 CuadroTexto">
          <a:extLst>
            <a:ext uri="{FF2B5EF4-FFF2-40B4-BE49-F238E27FC236}">
              <a16:creationId xmlns:a16="http://schemas.microsoft.com/office/drawing/2014/main" id="{00000000-0008-0000-2000-00006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8" name="171 CuadroTexto">
          <a:extLst>
            <a:ext uri="{FF2B5EF4-FFF2-40B4-BE49-F238E27FC236}">
              <a16:creationId xmlns:a16="http://schemas.microsoft.com/office/drawing/2014/main" id="{00000000-0008-0000-2000-00006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9" name="172 CuadroTexto">
          <a:extLst>
            <a:ext uri="{FF2B5EF4-FFF2-40B4-BE49-F238E27FC236}">
              <a16:creationId xmlns:a16="http://schemas.microsoft.com/office/drawing/2014/main" id="{00000000-0008-0000-2000-00006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0" name="173 CuadroTexto">
          <a:extLst>
            <a:ext uri="{FF2B5EF4-FFF2-40B4-BE49-F238E27FC236}">
              <a16:creationId xmlns:a16="http://schemas.microsoft.com/office/drawing/2014/main" id="{00000000-0008-0000-2000-00006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1" name="174 CuadroTexto">
          <a:extLst>
            <a:ext uri="{FF2B5EF4-FFF2-40B4-BE49-F238E27FC236}">
              <a16:creationId xmlns:a16="http://schemas.microsoft.com/office/drawing/2014/main" id="{00000000-0008-0000-2000-00006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2" name="175 CuadroTexto">
          <a:extLst>
            <a:ext uri="{FF2B5EF4-FFF2-40B4-BE49-F238E27FC236}">
              <a16:creationId xmlns:a16="http://schemas.microsoft.com/office/drawing/2014/main" id="{00000000-0008-0000-2000-00007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3" name="176 CuadroTexto">
          <a:extLst>
            <a:ext uri="{FF2B5EF4-FFF2-40B4-BE49-F238E27FC236}">
              <a16:creationId xmlns:a16="http://schemas.microsoft.com/office/drawing/2014/main" id="{00000000-0008-0000-2000-00007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4" name="177 CuadroTexto">
          <a:extLst>
            <a:ext uri="{FF2B5EF4-FFF2-40B4-BE49-F238E27FC236}">
              <a16:creationId xmlns:a16="http://schemas.microsoft.com/office/drawing/2014/main" id="{00000000-0008-0000-2000-00007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5" name="178 CuadroTexto">
          <a:extLst>
            <a:ext uri="{FF2B5EF4-FFF2-40B4-BE49-F238E27FC236}">
              <a16:creationId xmlns:a16="http://schemas.microsoft.com/office/drawing/2014/main" id="{00000000-0008-0000-2000-00007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6" name="179 CuadroTexto">
          <a:extLst>
            <a:ext uri="{FF2B5EF4-FFF2-40B4-BE49-F238E27FC236}">
              <a16:creationId xmlns:a16="http://schemas.microsoft.com/office/drawing/2014/main" id="{00000000-0008-0000-2000-00007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7" name="180 CuadroTexto">
          <a:extLst>
            <a:ext uri="{FF2B5EF4-FFF2-40B4-BE49-F238E27FC236}">
              <a16:creationId xmlns:a16="http://schemas.microsoft.com/office/drawing/2014/main" id="{00000000-0008-0000-2000-00007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8" name="181 CuadroTexto">
          <a:extLst>
            <a:ext uri="{FF2B5EF4-FFF2-40B4-BE49-F238E27FC236}">
              <a16:creationId xmlns:a16="http://schemas.microsoft.com/office/drawing/2014/main" id="{00000000-0008-0000-2000-00007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9" name="182 CuadroTexto">
          <a:extLst>
            <a:ext uri="{FF2B5EF4-FFF2-40B4-BE49-F238E27FC236}">
              <a16:creationId xmlns:a16="http://schemas.microsoft.com/office/drawing/2014/main" id="{00000000-0008-0000-2000-00007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0" name="183 CuadroTexto">
          <a:extLst>
            <a:ext uri="{FF2B5EF4-FFF2-40B4-BE49-F238E27FC236}">
              <a16:creationId xmlns:a16="http://schemas.microsoft.com/office/drawing/2014/main" id="{00000000-0008-0000-2000-00007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1" name="184 CuadroTexto">
          <a:extLst>
            <a:ext uri="{FF2B5EF4-FFF2-40B4-BE49-F238E27FC236}">
              <a16:creationId xmlns:a16="http://schemas.microsoft.com/office/drawing/2014/main" id="{00000000-0008-0000-2000-00007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2" name="185 CuadroTexto">
          <a:extLst>
            <a:ext uri="{FF2B5EF4-FFF2-40B4-BE49-F238E27FC236}">
              <a16:creationId xmlns:a16="http://schemas.microsoft.com/office/drawing/2014/main" id="{00000000-0008-0000-2000-00007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3" name="186 CuadroTexto">
          <a:extLst>
            <a:ext uri="{FF2B5EF4-FFF2-40B4-BE49-F238E27FC236}">
              <a16:creationId xmlns:a16="http://schemas.microsoft.com/office/drawing/2014/main" id="{00000000-0008-0000-2000-00007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4" name="187 CuadroTexto">
          <a:extLst>
            <a:ext uri="{FF2B5EF4-FFF2-40B4-BE49-F238E27FC236}">
              <a16:creationId xmlns:a16="http://schemas.microsoft.com/office/drawing/2014/main" id="{00000000-0008-0000-2000-00007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5" name="188 CuadroTexto">
          <a:extLst>
            <a:ext uri="{FF2B5EF4-FFF2-40B4-BE49-F238E27FC236}">
              <a16:creationId xmlns:a16="http://schemas.microsoft.com/office/drawing/2014/main" id="{00000000-0008-0000-2000-00007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6" name="189 CuadroTexto">
          <a:extLst>
            <a:ext uri="{FF2B5EF4-FFF2-40B4-BE49-F238E27FC236}">
              <a16:creationId xmlns:a16="http://schemas.microsoft.com/office/drawing/2014/main" id="{00000000-0008-0000-2000-00007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7" name="190 CuadroTexto">
          <a:extLst>
            <a:ext uri="{FF2B5EF4-FFF2-40B4-BE49-F238E27FC236}">
              <a16:creationId xmlns:a16="http://schemas.microsoft.com/office/drawing/2014/main" id="{00000000-0008-0000-2000-00007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8" name="191 CuadroTexto">
          <a:extLst>
            <a:ext uri="{FF2B5EF4-FFF2-40B4-BE49-F238E27FC236}">
              <a16:creationId xmlns:a16="http://schemas.microsoft.com/office/drawing/2014/main" id="{00000000-0008-0000-2000-00008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9" name="192 CuadroTexto">
          <a:extLst>
            <a:ext uri="{FF2B5EF4-FFF2-40B4-BE49-F238E27FC236}">
              <a16:creationId xmlns:a16="http://schemas.microsoft.com/office/drawing/2014/main" id="{00000000-0008-0000-2000-00008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0" name="193 CuadroTexto">
          <a:extLst>
            <a:ext uri="{FF2B5EF4-FFF2-40B4-BE49-F238E27FC236}">
              <a16:creationId xmlns:a16="http://schemas.microsoft.com/office/drawing/2014/main" id="{00000000-0008-0000-2000-00008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1" name="194 CuadroTexto">
          <a:extLst>
            <a:ext uri="{FF2B5EF4-FFF2-40B4-BE49-F238E27FC236}">
              <a16:creationId xmlns:a16="http://schemas.microsoft.com/office/drawing/2014/main" id="{00000000-0008-0000-2000-00008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2" name="195 CuadroTexto">
          <a:extLst>
            <a:ext uri="{FF2B5EF4-FFF2-40B4-BE49-F238E27FC236}">
              <a16:creationId xmlns:a16="http://schemas.microsoft.com/office/drawing/2014/main" id="{00000000-0008-0000-2000-00008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3" name="196 CuadroTexto">
          <a:extLst>
            <a:ext uri="{FF2B5EF4-FFF2-40B4-BE49-F238E27FC236}">
              <a16:creationId xmlns:a16="http://schemas.microsoft.com/office/drawing/2014/main" id="{00000000-0008-0000-2000-00008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4" name="197 CuadroTexto">
          <a:extLst>
            <a:ext uri="{FF2B5EF4-FFF2-40B4-BE49-F238E27FC236}">
              <a16:creationId xmlns:a16="http://schemas.microsoft.com/office/drawing/2014/main" id="{00000000-0008-0000-2000-00008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5" name="198 CuadroTexto">
          <a:extLst>
            <a:ext uri="{FF2B5EF4-FFF2-40B4-BE49-F238E27FC236}">
              <a16:creationId xmlns:a16="http://schemas.microsoft.com/office/drawing/2014/main" id="{00000000-0008-0000-2000-00008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6" name="199 CuadroTexto">
          <a:extLst>
            <a:ext uri="{FF2B5EF4-FFF2-40B4-BE49-F238E27FC236}">
              <a16:creationId xmlns:a16="http://schemas.microsoft.com/office/drawing/2014/main" id="{00000000-0008-0000-2000-00008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7" name="200 CuadroTexto">
          <a:extLst>
            <a:ext uri="{FF2B5EF4-FFF2-40B4-BE49-F238E27FC236}">
              <a16:creationId xmlns:a16="http://schemas.microsoft.com/office/drawing/2014/main" id="{00000000-0008-0000-2000-00008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8" name="201 CuadroTexto">
          <a:extLst>
            <a:ext uri="{FF2B5EF4-FFF2-40B4-BE49-F238E27FC236}">
              <a16:creationId xmlns:a16="http://schemas.microsoft.com/office/drawing/2014/main" id="{00000000-0008-0000-2000-00008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9" name="202 CuadroTexto">
          <a:extLst>
            <a:ext uri="{FF2B5EF4-FFF2-40B4-BE49-F238E27FC236}">
              <a16:creationId xmlns:a16="http://schemas.microsoft.com/office/drawing/2014/main" id="{00000000-0008-0000-2000-00008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0" name="203 CuadroTexto">
          <a:extLst>
            <a:ext uri="{FF2B5EF4-FFF2-40B4-BE49-F238E27FC236}">
              <a16:creationId xmlns:a16="http://schemas.microsoft.com/office/drawing/2014/main" id="{00000000-0008-0000-2000-00008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1" name="204 CuadroTexto">
          <a:extLst>
            <a:ext uri="{FF2B5EF4-FFF2-40B4-BE49-F238E27FC236}">
              <a16:creationId xmlns:a16="http://schemas.microsoft.com/office/drawing/2014/main" id="{00000000-0008-0000-2000-00008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2" name="205 CuadroTexto">
          <a:extLst>
            <a:ext uri="{FF2B5EF4-FFF2-40B4-BE49-F238E27FC236}">
              <a16:creationId xmlns:a16="http://schemas.microsoft.com/office/drawing/2014/main" id="{00000000-0008-0000-2000-00008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3" name="206 CuadroTexto">
          <a:extLst>
            <a:ext uri="{FF2B5EF4-FFF2-40B4-BE49-F238E27FC236}">
              <a16:creationId xmlns:a16="http://schemas.microsoft.com/office/drawing/2014/main" id="{00000000-0008-0000-2000-00008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4" name="207 CuadroTexto">
          <a:extLst>
            <a:ext uri="{FF2B5EF4-FFF2-40B4-BE49-F238E27FC236}">
              <a16:creationId xmlns:a16="http://schemas.microsoft.com/office/drawing/2014/main" id="{00000000-0008-0000-2000-00009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5" name="208 CuadroTexto">
          <a:extLst>
            <a:ext uri="{FF2B5EF4-FFF2-40B4-BE49-F238E27FC236}">
              <a16:creationId xmlns:a16="http://schemas.microsoft.com/office/drawing/2014/main" id="{00000000-0008-0000-2000-00009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6" name="209 CuadroTexto">
          <a:extLst>
            <a:ext uri="{FF2B5EF4-FFF2-40B4-BE49-F238E27FC236}">
              <a16:creationId xmlns:a16="http://schemas.microsoft.com/office/drawing/2014/main" id="{00000000-0008-0000-2000-00009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7" name="210 CuadroTexto">
          <a:extLst>
            <a:ext uri="{FF2B5EF4-FFF2-40B4-BE49-F238E27FC236}">
              <a16:creationId xmlns:a16="http://schemas.microsoft.com/office/drawing/2014/main" id="{00000000-0008-0000-2000-00009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8" name="211 CuadroTexto">
          <a:extLst>
            <a:ext uri="{FF2B5EF4-FFF2-40B4-BE49-F238E27FC236}">
              <a16:creationId xmlns:a16="http://schemas.microsoft.com/office/drawing/2014/main" id="{00000000-0008-0000-2000-00009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9" name="212 CuadroTexto">
          <a:extLst>
            <a:ext uri="{FF2B5EF4-FFF2-40B4-BE49-F238E27FC236}">
              <a16:creationId xmlns:a16="http://schemas.microsoft.com/office/drawing/2014/main" id="{00000000-0008-0000-2000-00009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0" name="213 CuadroTexto">
          <a:extLst>
            <a:ext uri="{FF2B5EF4-FFF2-40B4-BE49-F238E27FC236}">
              <a16:creationId xmlns:a16="http://schemas.microsoft.com/office/drawing/2014/main" id="{00000000-0008-0000-2000-00009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1" name="214 CuadroTexto">
          <a:extLst>
            <a:ext uri="{FF2B5EF4-FFF2-40B4-BE49-F238E27FC236}">
              <a16:creationId xmlns:a16="http://schemas.microsoft.com/office/drawing/2014/main" id="{00000000-0008-0000-2000-00009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2" name="215 CuadroTexto">
          <a:extLst>
            <a:ext uri="{FF2B5EF4-FFF2-40B4-BE49-F238E27FC236}">
              <a16:creationId xmlns:a16="http://schemas.microsoft.com/office/drawing/2014/main" id="{00000000-0008-0000-2000-00009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3" name="216 CuadroTexto">
          <a:extLst>
            <a:ext uri="{FF2B5EF4-FFF2-40B4-BE49-F238E27FC236}">
              <a16:creationId xmlns:a16="http://schemas.microsoft.com/office/drawing/2014/main" id="{00000000-0008-0000-2000-00009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4" name="217 CuadroTexto">
          <a:extLst>
            <a:ext uri="{FF2B5EF4-FFF2-40B4-BE49-F238E27FC236}">
              <a16:creationId xmlns:a16="http://schemas.microsoft.com/office/drawing/2014/main" id="{00000000-0008-0000-2000-00009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5" name="218 CuadroTexto">
          <a:extLst>
            <a:ext uri="{FF2B5EF4-FFF2-40B4-BE49-F238E27FC236}">
              <a16:creationId xmlns:a16="http://schemas.microsoft.com/office/drawing/2014/main" id="{00000000-0008-0000-2000-00009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6" name="219 CuadroTexto">
          <a:extLst>
            <a:ext uri="{FF2B5EF4-FFF2-40B4-BE49-F238E27FC236}">
              <a16:creationId xmlns:a16="http://schemas.microsoft.com/office/drawing/2014/main" id="{00000000-0008-0000-2000-00009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7" name="220 CuadroTexto">
          <a:extLst>
            <a:ext uri="{FF2B5EF4-FFF2-40B4-BE49-F238E27FC236}">
              <a16:creationId xmlns:a16="http://schemas.microsoft.com/office/drawing/2014/main" id="{00000000-0008-0000-2000-00009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8" name="221 CuadroTexto">
          <a:extLst>
            <a:ext uri="{FF2B5EF4-FFF2-40B4-BE49-F238E27FC236}">
              <a16:creationId xmlns:a16="http://schemas.microsoft.com/office/drawing/2014/main" id="{00000000-0008-0000-2000-00009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9" name="222 CuadroTexto">
          <a:extLst>
            <a:ext uri="{FF2B5EF4-FFF2-40B4-BE49-F238E27FC236}">
              <a16:creationId xmlns:a16="http://schemas.microsoft.com/office/drawing/2014/main" id="{00000000-0008-0000-2000-00009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0" name="223 CuadroTexto">
          <a:extLst>
            <a:ext uri="{FF2B5EF4-FFF2-40B4-BE49-F238E27FC236}">
              <a16:creationId xmlns:a16="http://schemas.microsoft.com/office/drawing/2014/main" id="{00000000-0008-0000-2000-0000A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1" name="224 CuadroTexto">
          <a:extLst>
            <a:ext uri="{FF2B5EF4-FFF2-40B4-BE49-F238E27FC236}">
              <a16:creationId xmlns:a16="http://schemas.microsoft.com/office/drawing/2014/main" id="{00000000-0008-0000-2000-0000A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2" name="225 CuadroTexto">
          <a:extLst>
            <a:ext uri="{FF2B5EF4-FFF2-40B4-BE49-F238E27FC236}">
              <a16:creationId xmlns:a16="http://schemas.microsoft.com/office/drawing/2014/main" id="{00000000-0008-0000-2000-0000A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3" name="226 CuadroTexto">
          <a:extLst>
            <a:ext uri="{FF2B5EF4-FFF2-40B4-BE49-F238E27FC236}">
              <a16:creationId xmlns:a16="http://schemas.microsoft.com/office/drawing/2014/main" id="{00000000-0008-0000-2000-0000A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4" name="227 CuadroTexto">
          <a:extLst>
            <a:ext uri="{FF2B5EF4-FFF2-40B4-BE49-F238E27FC236}">
              <a16:creationId xmlns:a16="http://schemas.microsoft.com/office/drawing/2014/main" id="{00000000-0008-0000-2000-0000A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5" name="228 CuadroTexto">
          <a:extLst>
            <a:ext uri="{FF2B5EF4-FFF2-40B4-BE49-F238E27FC236}">
              <a16:creationId xmlns:a16="http://schemas.microsoft.com/office/drawing/2014/main" id="{00000000-0008-0000-2000-0000A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6" name="229 CuadroTexto">
          <a:extLst>
            <a:ext uri="{FF2B5EF4-FFF2-40B4-BE49-F238E27FC236}">
              <a16:creationId xmlns:a16="http://schemas.microsoft.com/office/drawing/2014/main" id="{00000000-0008-0000-2000-0000A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7" name="230 CuadroTexto">
          <a:extLst>
            <a:ext uri="{FF2B5EF4-FFF2-40B4-BE49-F238E27FC236}">
              <a16:creationId xmlns:a16="http://schemas.microsoft.com/office/drawing/2014/main" id="{00000000-0008-0000-2000-0000A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8" name="231 CuadroTexto">
          <a:extLst>
            <a:ext uri="{FF2B5EF4-FFF2-40B4-BE49-F238E27FC236}">
              <a16:creationId xmlns:a16="http://schemas.microsoft.com/office/drawing/2014/main" id="{00000000-0008-0000-2000-0000A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9" name="232 CuadroTexto">
          <a:extLst>
            <a:ext uri="{FF2B5EF4-FFF2-40B4-BE49-F238E27FC236}">
              <a16:creationId xmlns:a16="http://schemas.microsoft.com/office/drawing/2014/main" id="{00000000-0008-0000-2000-0000A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0" name="233 CuadroTexto">
          <a:extLst>
            <a:ext uri="{FF2B5EF4-FFF2-40B4-BE49-F238E27FC236}">
              <a16:creationId xmlns:a16="http://schemas.microsoft.com/office/drawing/2014/main" id="{00000000-0008-0000-2000-0000A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1" name="234 CuadroTexto">
          <a:extLst>
            <a:ext uri="{FF2B5EF4-FFF2-40B4-BE49-F238E27FC236}">
              <a16:creationId xmlns:a16="http://schemas.microsoft.com/office/drawing/2014/main" id="{00000000-0008-0000-2000-0000A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2" name="235 CuadroTexto">
          <a:extLst>
            <a:ext uri="{FF2B5EF4-FFF2-40B4-BE49-F238E27FC236}">
              <a16:creationId xmlns:a16="http://schemas.microsoft.com/office/drawing/2014/main" id="{00000000-0008-0000-2000-0000A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3" name="236 CuadroTexto">
          <a:extLst>
            <a:ext uri="{FF2B5EF4-FFF2-40B4-BE49-F238E27FC236}">
              <a16:creationId xmlns:a16="http://schemas.microsoft.com/office/drawing/2014/main" id="{00000000-0008-0000-2000-0000A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4" name="237 CuadroTexto">
          <a:extLst>
            <a:ext uri="{FF2B5EF4-FFF2-40B4-BE49-F238E27FC236}">
              <a16:creationId xmlns:a16="http://schemas.microsoft.com/office/drawing/2014/main" id="{00000000-0008-0000-2000-0000A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5" name="238 CuadroTexto">
          <a:extLst>
            <a:ext uri="{FF2B5EF4-FFF2-40B4-BE49-F238E27FC236}">
              <a16:creationId xmlns:a16="http://schemas.microsoft.com/office/drawing/2014/main" id="{00000000-0008-0000-2000-0000A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6" name="239 CuadroTexto">
          <a:extLst>
            <a:ext uri="{FF2B5EF4-FFF2-40B4-BE49-F238E27FC236}">
              <a16:creationId xmlns:a16="http://schemas.microsoft.com/office/drawing/2014/main" id="{00000000-0008-0000-2000-0000B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7" name="240 CuadroTexto">
          <a:extLst>
            <a:ext uri="{FF2B5EF4-FFF2-40B4-BE49-F238E27FC236}">
              <a16:creationId xmlns:a16="http://schemas.microsoft.com/office/drawing/2014/main" id="{00000000-0008-0000-2000-0000B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8" name="241 CuadroTexto">
          <a:extLst>
            <a:ext uri="{FF2B5EF4-FFF2-40B4-BE49-F238E27FC236}">
              <a16:creationId xmlns:a16="http://schemas.microsoft.com/office/drawing/2014/main" id="{00000000-0008-0000-2000-0000B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9" name="242 CuadroTexto">
          <a:extLst>
            <a:ext uri="{FF2B5EF4-FFF2-40B4-BE49-F238E27FC236}">
              <a16:creationId xmlns:a16="http://schemas.microsoft.com/office/drawing/2014/main" id="{00000000-0008-0000-2000-0000B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0" name="243 CuadroTexto">
          <a:extLst>
            <a:ext uri="{FF2B5EF4-FFF2-40B4-BE49-F238E27FC236}">
              <a16:creationId xmlns:a16="http://schemas.microsoft.com/office/drawing/2014/main" id="{00000000-0008-0000-2000-0000B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1" name="244 CuadroTexto">
          <a:extLst>
            <a:ext uri="{FF2B5EF4-FFF2-40B4-BE49-F238E27FC236}">
              <a16:creationId xmlns:a16="http://schemas.microsoft.com/office/drawing/2014/main" id="{00000000-0008-0000-2000-0000B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2" name="245 CuadroTexto">
          <a:extLst>
            <a:ext uri="{FF2B5EF4-FFF2-40B4-BE49-F238E27FC236}">
              <a16:creationId xmlns:a16="http://schemas.microsoft.com/office/drawing/2014/main" id="{00000000-0008-0000-2000-0000B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3" name="246 CuadroTexto">
          <a:extLst>
            <a:ext uri="{FF2B5EF4-FFF2-40B4-BE49-F238E27FC236}">
              <a16:creationId xmlns:a16="http://schemas.microsoft.com/office/drawing/2014/main" id="{00000000-0008-0000-2000-0000B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4" name="247 CuadroTexto">
          <a:extLst>
            <a:ext uri="{FF2B5EF4-FFF2-40B4-BE49-F238E27FC236}">
              <a16:creationId xmlns:a16="http://schemas.microsoft.com/office/drawing/2014/main" id="{00000000-0008-0000-2000-0000B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5" name="248 CuadroTexto">
          <a:extLst>
            <a:ext uri="{FF2B5EF4-FFF2-40B4-BE49-F238E27FC236}">
              <a16:creationId xmlns:a16="http://schemas.microsoft.com/office/drawing/2014/main" id="{00000000-0008-0000-2000-0000B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6" name="249 CuadroTexto">
          <a:extLst>
            <a:ext uri="{FF2B5EF4-FFF2-40B4-BE49-F238E27FC236}">
              <a16:creationId xmlns:a16="http://schemas.microsoft.com/office/drawing/2014/main" id="{00000000-0008-0000-2000-0000B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7" name="250 CuadroTexto">
          <a:extLst>
            <a:ext uri="{FF2B5EF4-FFF2-40B4-BE49-F238E27FC236}">
              <a16:creationId xmlns:a16="http://schemas.microsoft.com/office/drawing/2014/main" id="{00000000-0008-0000-2000-0000B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8" name="251 CuadroTexto">
          <a:extLst>
            <a:ext uri="{FF2B5EF4-FFF2-40B4-BE49-F238E27FC236}">
              <a16:creationId xmlns:a16="http://schemas.microsoft.com/office/drawing/2014/main" id="{00000000-0008-0000-2000-0000B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9" name="252 CuadroTexto">
          <a:extLst>
            <a:ext uri="{FF2B5EF4-FFF2-40B4-BE49-F238E27FC236}">
              <a16:creationId xmlns:a16="http://schemas.microsoft.com/office/drawing/2014/main" id="{00000000-0008-0000-2000-0000B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0" name="253 CuadroTexto">
          <a:extLst>
            <a:ext uri="{FF2B5EF4-FFF2-40B4-BE49-F238E27FC236}">
              <a16:creationId xmlns:a16="http://schemas.microsoft.com/office/drawing/2014/main" id="{00000000-0008-0000-2000-0000B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1" name="254 CuadroTexto">
          <a:extLst>
            <a:ext uri="{FF2B5EF4-FFF2-40B4-BE49-F238E27FC236}">
              <a16:creationId xmlns:a16="http://schemas.microsoft.com/office/drawing/2014/main" id="{00000000-0008-0000-2000-0000B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2" name="255 CuadroTexto">
          <a:extLst>
            <a:ext uri="{FF2B5EF4-FFF2-40B4-BE49-F238E27FC236}">
              <a16:creationId xmlns:a16="http://schemas.microsoft.com/office/drawing/2014/main" id="{00000000-0008-0000-2000-0000C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3" name="256 CuadroTexto">
          <a:extLst>
            <a:ext uri="{FF2B5EF4-FFF2-40B4-BE49-F238E27FC236}">
              <a16:creationId xmlns:a16="http://schemas.microsoft.com/office/drawing/2014/main" id="{00000000-0008-0000-2000-0000C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4" name="257 CuadroTexto">
          <a:extLst>
            <a:ext uri="{FF2B5EF4-FFF2-40B4-BE49-F238E27FC236}">
              <a16:creationId xmlns:a16="http://schemas.microsoft.com/office/drawing/2014/main" id="{00000000-0008-0000-2000-0000C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5" name="258 CuadroTexto">
          <a:extLst>
            <a:ext uri="{FF2B5EF4-FFF2-40B4-BE49-F238E27FC236}">
              <a16:creationId xmlns:a16="http://schemas.microsoft.com/office/drawing/2014/main" id="{00000000-0008-0000-2000-0000C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6" name="259 CuadroTexto">
          <a:extLst>
            <a:ext uri="{FF2B5EF4-FFF2-40B4-BE49-F238E27FC236}">
              <a16:creationId xmlns:a16="http://schemas.microsoft.com/office/drawing/2014/main" id="{00000000-0008-0000-2000-0000C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7" name="260 CuadroTexto">
          <a:extLst>
            <a:ext uri="{FF2B5EF4-FFF2-40B4-BE49-F238E27FC236}">
              <a16:creationId xmlns:a16="http://schemas.microsoft.com/office/drawing/2014/main" id="{00000000-0008-0000-2000-0000C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8" name="261 CuadroTexto">
          <a:extLst>
            <a:ext uri="{FF2B5EF4-FFF2-40B4-BE49-F238E27FC236}">
              <a16:creationId xmlns:a16="http://schemas.microsoft.com/office/drawing/2014/main" id="{00000000-0008-0000-2000-0000C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9" name="262 CuadroTexto">
          <a:extLst>
            <a:ext uri="{FF2B5EF4-FFF2-40B4-BE49-F238E27FC236}">
              <a16:creationId xmlns:a16="http://schemas.microsoft.com/office/drawing/2014/main" id="{00000000-0008-0000-2000-0000C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0" name="263 CuadroTexto">
          <a:extLst>
            <a:ext uri="{FF2B5EF4-FFF2-40B4-BE49-F238E27FC236}">
              <a16:creationId xmlns:a16="http://schemas.microsoft.com/office/drawing/2014/main" id="{00000000-0008-0000-2000-0000C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1" name="264 CuadroTexto">
          <a:extLst>
            <a:ext uri="{FF2B5EF4-FFF2-40B4-BE49-F238E27FC236}">
              <a16:creationId xmlns:a16="http://schemas.microsoft.com/office/drawing/2014/main" id="{00000000-0008-0000-2000-0000C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2" name="265 CuadroTexto">
          <a:extLst>
            <a:ext uri="{FF2B5EF4-FFF2-40B4-BE49-F238E27FC236}">
              <a16:creationId xmlns:a16="http://schemas.microsoft.com/office/drawing/2014/main" id="{00000000-0008-0000-2000-0000C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3" name="266 CuadroTexto">
          <a:extLst>
            <a:ext uri="{FF2B5EF4-FFF2-40B4-BE49-F238E27FC236}">
              <a16:creationId xmlns:a16="http://schemas.microsoft.com/office/drawing/2014/main" id="{00000000-0008-0000-2000-0000C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4" name="267 CuadroTexto">
          <a:extLst>
            <a:ext uri="{FF2B5EF4-FFF2-40B4-BE49-F238E27FC236}">
              <a16:creationId xmlns:a16="http://schemas.microsoft.com/office/drawing/2014/main" id="{00000000-0008-0000-2000-0000C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045" name="268 CuadroTexto">
          <a:extLst>
            <a:ext uri="{FF2B5EF4-FFF2-40B4-BE49-F238E27FC236}">
              <a16:creationId xmlns:a16="http://schemas.microsoft.com/office/drawing/2014/main" id="{00000000-0008-0000-2000-0000C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6" name="269 CuadroTexto">
          <a:extLst>
            <a:ext uri="{FF2B5EF4-FFF2-40B4-BE49-F238E27FC236}">
              <a16:creationId xmlns:a16="http://schemas.microsoft.com/office/drawing/2014/main" id="{00000000-0008-0000-2000-0000C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7" name="270 CuadroTexto">
          <a:extLst>
            <a:ext uri="{FF2B5EF4-FFF2-40B4-BE49-F238E27FC236}">
              <a16:creationId xmlns:a16="http://schemas.microsoft.com/office/drawing/2014/main" id="{00000000-0008-0000-2000-0000C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8" name="271 CuadroTexto">
          <a:extLst>
            <a:ext uri="{FF2B5EF4-FFF2-40B4-BE49-F238E27FC236}">
              <a16:creationId xmlns:a16="http://schemas.microsoft.com/office/drawing/2014/main" id="{00000000-0008-0000-2000-0000D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9" name="272 CuadroTexto">
          <a:extLst>
            <a:ext uri="{FF2B5EF4-FFF2-40B4-BE49-F238E27FC236}">
              <a16:creationId xmlns:a16="http://schemas.microsoft.com/office/drawing/2014/main" id="{00000000-0008-0000-2000-0000D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0" name="273 CuadroTexto">
          <a:extLst>
            <a:ext uri="{FF2B5EF4-FFF2-40B4-BE49-F238E27FC236}">
              <a16:creationId xmlns:a16="http://schemas.microsoft.com/office/drawing/2014/main" id="{00000000-0008-0000-2000-0000D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1" name="274 CuadroTexto">
          <a:extLst>
            <a:ext uri="{FF2B5EF4-FFF2-40B4-BE49-F238E27FC236}">
              <a16:creationId xmlns:a16="http://schemas.microsoft.com/office/drawing/2014/main" id="{00000000-0008-0000-2000-0000D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2" name="275 CuadroTexto">
          <a:extLst>
            <a:ext uri="{FF2B5EF4-FFF2-40B4-BE49-F238E27FC236}">
              <a16:creationId xmlns:a16="http://schemas.microsoft.com/office/drawing/2014/main" id="{00000000-0008-0000-2000-0000D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3" name="276 CuadroTexto">
          <a:extLst>
            <a:ext uri="{FF2B5EF4-FFF2-40B4-BE49-F238E27FC236}">
              <a16:creationId xmlns:a16="http://schemas.microsoft.com/office/drawing/2014/main" id="{00000000-0008-0000-2000-0000D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4" name="277 CuadroTexto">
          <a:extLst>
            <a:ext uri="{FF2B5EF4-FFF2-40B4-BE49-F238E27FC236}">
              <a16:creationId xmlns:a16="http://schemas.microsoft.com/office/drawing/2014/main" id="{00000000-0008-0000-2000-0000D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5" name="278 CuadroTexto">
          <a:extLst>
            <a:ext uri="{FF2B5EF4-FFF2-40B4-BE49-F238E27FC236}">
              <a16:creationId xmlns:a16="http://schemas.microsoft.com/office/drawing/2014/main" id="{00000000-0008-0000-2000-0000D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6" name="279 CuadroTexto">
          <a:extLst>
            <a:ext uri="{FF2B5EF4-FFF2-40B4-BE49-F238E27FC236}">
              <a16:creationId xmlns:a16="http://schemas.microsoft.com/office/drawing/2014/main" id="{00000000-0008-0000-2000-0000D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7" name="280 CuadroTexto">
          <a:extLst>
            <a:ext uri="{FF2B5EF4-FFF2-40B4-BE49-F238E27FC236}">
              <a16:creationId xmlns:a16="http://schemas.microsoft.com/office/drawing/2014/main" id="{00000000-0008-0000-2000-0000D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8" name="281 CuadroTexto">
          <a:extLst>
            <a:ext uri="{FF2B5EF4-FFF2-40B4-BE49-F238E27FC236}">
              <a16:creationId xmlns:a16="http://schemas.microsoft.com/office/drawing/2014/main" id="{00000000-0008-0000-2000-0000D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9" name="282 CuadroTexto">
          <a:extLst>
            <a:ext uri="{FF2B5EF4-FFF2-40B4-BE49-F238E27FC236}">
              <a16:creationId xmlns:a16="http://schemas.microsoft.com/office/drawing/2014/main" id="{00000000-0008-0000-2000-0000D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0" name="283 CuadroTexto">
          <a:extLst>
            <a:ext uri="{FF2B5EF4-FFF2-40B4-BE49-F238E27FC236}">
              <a16:creationId xmlns:a16="http://schemas.microsoft.com/office/drawing/2014/main" id="{00000000-0008-0000-2000-0000D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1" name="284 CuadroTexto">
          <a:extLst>
            <a:ext uri="{FF2B5EF4-FFF2-40B4-BE49-F238E27FC236}">
              <a16:creationId xmlns:a16="http://schemas.microsoft.com/office/drawing/2014/main" id="{00000000-0008-0000-2000-0000D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062" name="285 CuadroTexto">
          <a:extLst>
            <a:ext uri="{FF2B5EF4-FFF2-40B4-BE49-F238E27FC236}">
              <a16:creationId xmlns:a16="http://schemas.microsoft.com/office/drawing/2014/main" id="{00000000-0008-0000-2000-0000D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3" name="286 CuadroTexto">
          <a:extLst>
            <a:ext uri="{FF2B5EF4-FFF2-40B4-BE49-F238E27FC236}">
              <a16:creationId xmlns:a16="http://schemas.microsoft.com/office/drawing/2014/main" id="{00000000-0008-0000-2000-0000D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4" name="287 CuadroTexto">
          <a:extLst>
            <a:ext uri="{FF2B5EF4-FFF2-40B4-BE49-F238E27FC236}">
              <a16:creationId xmlns:a16="http://schemas.microsoft.com/office/drawing/2014/main" id="{00000000-0008-0000-2000-0000E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5" name="288 CuadroTexto">
          <a:extLst>
            <a:ext uri="{FF2B5EF4-FFF2-40B4-BE49-F238E27FC236}">
              <a16:creationId xmlns:a16="http://schemas.microsoft.com/office/drawing/2014/main" id="{00000000-0008-0000-2000-0000E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6" name="289 CuadroTexto">
          <a:extLst>
            <a:ext uri="{FF2B5EF4-FFF2-40B4-BE49-F238E27FC236}">
              <a16:creationId xmlns:a16="http://schemas.microsoft.com/office/drawing/2014/main" id="{00000000-0008-0000-2000-0000E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7" name="290 CuadroTexto">
          <a:extLst>
            <a:ext uri="{FF2B5EF4-FFF2-40B4-BE49-F238E27FC236}">
              <a16:creationId xmlns:a16="http://schemas.microsoft.com/office/drawing/2014/main" id="{00000000-0008-0000-2000-0000E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8" name="291 CuadroTexto">
          <a:extLst>
            <a:ext uri="{FF2B5EF4-FFF2-40B4-BE49-F238E27FC236}">
              <a16:creationId xmlns:a16="http://schemas.microsoft.com/office/drawing/2014/main" id="{00000000-0008-0000-2000-0000E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9" name="292 CuadroTexto">
          <a:extLst>
            <a:ext uri="{FF2B5EF4-FFF2-40B4-BE49-F238E27FC236}">
              <a16:creationId xmlns:a16="http://schemas.microsoft.com/office/drawing/2014/main" id="{00000000-0008-0000-2000-0000E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0" name="293 CuadroTexto">
          <a:extLst>
            <a:ext uri="{FF2B5EF4-FFF2-40B4-BE49-F238E27FC236}">
              <a16:creationId xmlns:a16="http://schemas.microsoft.com/office/drawing/2014/main" id="{00000000-0008-0000-2000-0000E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1" name="294 CuadroTexto">
          <a:extLst>
            <a:ext uri="{FF2B5EF4-FFF2-40B4-BE49-F238E27FC236}">
              <a16:creationId xmlns:a16="http://schemas.microsoft.com/office/drawing/2014/main" id="{00000000-0008-0000-2000-0000E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2" name="295 CuadroTexto">
          <a:extLst>
            <a:ext uri="{FF2B5EF4-FFF2-40B4-BE49-F238E27FC236}">
              <a16:creationId xmlns:a16="http://schemas.microsoft.com/office/drawing/2014/main" id="{00000000-0008-0000-2000-0000E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3" name="296 CuadroTexto">
          <a:extLst>
            <a:ext uri="{FF2B5EF4-FFF2-40B4-BE49-F238E27FC236}">
              <a16:creationId xmlns:a16="http://schemas.microsoft.com/office/drawing/2014/main" id="{00000000-0008-0000-2000-0000E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4" name="1 CuadroTexto">
          <a:extLst>
            <a:ext uri="{FF2B5EF4-FFF2-40B4-BE49-F238E27FC236}">
              <a16:creationId xmlns:a16="http://schemas.microsoft.com/office/drawing/2014/main" id="{00000000-0008-0000-2000-0000E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5" name="2 CuadroTexto">
          <a:extLst>
            <a:ext uri="{FF2B5EF4-FFF2-40B4-BE49-F238E27FC236}">
              <a16:creationId xmlns:a16="http://schemas.microsoft.com/office/drawing/2014/main" id="{00000000-0008-0000-2000-0000E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6" name="3 CuadroTexto">
          <a:extLst>
            <a:ext uri="{FF2B5EF4-FFF2-40B4-BE49-F238E27FC236}">
              <a16:creationId xmlns:a16="http://schemas.microsoft.com/office/drawing/2014/main" id="{00000000-0008-0000-2000-0000E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7" name="4 CuadroTexto">
          <a:extLst>
            <a:ext uri="{FF2B5EF4-FFF2-40B4-BE49-F238E27FC236}">
              <a16:creationId xmlns:a16="http://schemas.microsoft.com/office/drawing/2014/main" id="{00000000-0008-0000-2000-0000E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8" name="5 CuadroTexto">
          <a:extLst>
            <a:ext uri="{FF2B5EF4-FFF2-40B4-BE49-F238E27FC236}">
              <a16:creationId xmlns:a16="http://schemas.microsoft.com/office/drawing/2014/main" id="{00000000-0008-0000-2000-0000E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9" name="6 CuadroTexto">
          <a:extLst>
            <a:ext uri="{FF2B5EF4-FFF2-40B4-BE49-F238E27FC236}">
              <a16:creationId xmlns:a16="http://schemas.microsoft.com/office/drawing/2014/main" id="{00000000-0008-0000-2000-0000E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0" name="7 CuadroTexto">
          <a:extLst>
            <a:ext uri="{FF2B5EF4-FFF2-40B4-BE49-F238E27FC236}">
              <a16:creationId xmlns:a16="http://schemas.microsoft.com/office/drawing/2014/main" id="{00000000-0008-0000-2000-0000F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1" name="8 CuadroTexto">
          <a:extLst>
            <a:ext uri="{FF2B5EF4-FFF2-40B4-BE49-F238E27FC236}">
              <a16:creationId xmlns:a16="http://schemas.microsoft.com/office/drawing/2014/main" id="{00000000-0008-0000-2000-0000F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2" name="9 CuadroTexto">
          <a:extLst>
            <a:ext uri="{FF2B5EF4-FFF2-40B4-BE49-F238E27FC236}">
              <a16:creationId xmlns:a16="http://schemas.microsoft.com/office/drawing/2014/main" id="{00000000-0008-0000-2000-0000F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3" name="10 CuadroTexto">
          <a:extLst>
            <a:ext uri="{FF2B5EF4-FFF2-40B4-BE49-F238E27FC236}">
              <a16:creationId xmlns:a16="http://schemas.microsoft.com/office/drawing/2014/main" id="{00000000-0008-0000-2000-0000F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4" name="11 CuadroTexto">
          <a:extLst>
            <a:ext uri="{FF2B5EF4-FFF2-40B4-BE49-F238E27FC236}">
              <a16:creationId xmlns:a16="http://schemas.microsoft.com/office/drawing/2014/main" id="{00000000-0008-0000-2000-0000F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5" name="12 CuadroTexto">
          <a:extLst>
            <a:ext uri="{FF2B5EF4-FFF2-40B4-BE49-F238E27FC236}">
              <a16:creationId xmlns:a16="http://schemas.microsoft.com/office/drawing/2014/main" id="{00000000-0008-0000-2000-0000F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6" name="13 CuadroTexto">
          <a:extLst>
            <a:ext uri="{FF2B5EF4-FFF2-40B4-BE49-F238E27FC236}">
              <a16:creationId xmlns:a16="http://schemas.microsoft.com/office/drawing/2014/main" id="{00000000-0008-0000-2000-0000F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7" name="14 CuadroTexto">
          <a:extLst>
            <a:ext uri="{FF2B5EF4-FFF2-40B4-BE49-F238E27FC236}">
              <a16:creationId xmlns:a16="http://schemas.microsoft.com/office/drawing/2014/main" id="{00000000-0008-0000-2000-0000F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8" name="15 CuadroTexto">
          <a:extLst>
            <a:ext uri="{FF2B5EF4-FFF2-40B4-BE49-F238E27FC236}">
              <a16:creationId xmlns:a16="http://schemas.microsoft.com/office/drawing/2014/main" id="{00000000-0008-0000-2000-0000F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9" name="16 CuadroTexto">
          <a:extLst>
            <a:ext uri="{FF2B5EF4-FFF2-40B4-BE49-F238E27FC236}">
              <a16:creationId xmlns:a16="http://schemas.microsoft.com/office/drawing/2014/main" id="{00000000-0008-0000-2000-0000F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0" name="18 CuadroTexto">
          <a:extLst>
            <a:ext uri="{FF2B5EF4-FFF2-40B4-BE49-F238E27FC236}">
              <a16:creationId xmlns:a16="http://schemas.microsoft.com/office/drawing/2014/main" id="{00000000-0008-0000-2000-0000F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1" name="19 CuadroTexto">
          <a:extLst>
            <a:ext uri="{FF2B5EF4-FFF2-40B4-BE49-F238E27FC236}">
              <a16:creationId xmlns:a16="http://schemas.microsoft.com/office/drawing/2014/main" id="{00000000-0008-0000-2000-0000F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2" name="20 CuadroTexto">
          <a:extLst>
            <a:ext uri="{FF2B5EF4-FFF2-40B4-BE49-F238E27FC236}">
              <a16:creationId xmlns:a16="http://schemas.microsoft.com/office/drawing/2014/main" id="{00000000-0008-0000-2000-0000F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3" name="21 CuadroTexto">
          <a:extLst>
            <a:ext uri="{FF2B5EF4-FFF2-40B4-BE49-F238E27FC236}">
              <a16:creationId xmlns:a16="http://schemas.microsoft.com/office/drawing/2014/main" id="{00000000-0008-0000-2000-0000F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4" name="22 CuadroTexto">
          <a:extLst>
            <a:ext uri="{FF2B5EF4-FFF2-40B4-BE49-F238E27FC236}">
              <a16:creationId xmlns:a16="http://schemas.microsoft.com/office/drawing/2014/main" id="{00000000-0008-0000-2000-0000F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5" name="23 CuadroTexto">
          <a:extLst>
            <a:ext uri="{FF2B5EF4-FFF2-40B4-BE49-F238E27FC236}">
              <a16:creationId xmlns:a16="http://schemas.microsoft.com/office/drawing/2014/main" id="{00000000-0008-0000-2000-0000F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6" name="24 CuadroTexto">
          <a:extLst>
            <a:ext uri="{FF2B5EF4-FFF2-40B4-BE49-F238E27FC236}">
              <a16:creationId xmlns:a16="http://schemas.microsoft.com/office/drawing/2014/main" id="{00000000-0008-0000-2000-00000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7" name="25 CuadroTexto">
          <a:extLst>
            <a:ext uri="{FF2B5EF4-FFF2-40B4-BE49-F238E27FC236}">
              <a16:creationId xmlns:a16="http://schemas.microsoft.com/office/drawing/2014/main" id="{00000000-0008-0000-2000-00000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8" name="26 CuadroTexto">
          <a:extLst>
            <a:ext uri="{FF2B5EF4-FFF2-40B4-BE49-F238E27FC236}">
              <a16:creationId xmlns:a16="http://schemas.microsoft.com/office/drawing/2014/main" id="{00000000-0008-0000-2000-00000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9" name="27 CuadroTexto">
          <a:extLst>
            <a:ext uri="{FF2B5EF4-FFF2-40B4-BE49-F238E27FC236}">
              <a16:creationId xmlns:a16="http://schemas.microsoft.com/office/drawing/2014/main" id="{00000000-0008-0000-2000-00000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0" name="28 CuadroTexto">
          <a:extLst>
            <a:ext uri="{FF2B5EF4-FFF2-40B4-BE49-F238E27FC236}">
              <a16:creationId xmlns:a16="http://schemas.microsoft.com/office/drawing/2014/main" id="{00000000-0008-0000-2000-00000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1" name="29 CuadroTexto">
          <a:extLst>
            <a:ext uri="{FF2B5EF4-FFF2-40B4-BE49-F238E27FC236}">
              <a16:creationId xmlns:a16="http://schemas.microsoft.com/office/drawing/2014/main" id="{00000000-0008-0000-2000-00000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2" name="30 CuadroTexto">
          <a:extLst>
            <a:ext uri="{FF2B5EF4-FFF2-40B4-BE49-F238E27FC236}">
              <a16:creationId xmlns:a16="http://schemas.microsoft.com/office/drawing/2014/main" id="{00000000-0008-0000-2000-00000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3" name="31 CuadroTexto">
          <a:extLst>
            <a:ext uri="{FF2B5EF4-FFF2-40B4-BE49-F238E27FC236}">
              <a16:creationId xmlns:a16="http://schemas.microsoft.com/office/drawing/2014/main" id="{00000000-0008-0000-2000-00000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4" name="32 CuadroTexto">
          <a:extLst>
            <a:ext uri="{FF2B5EF4-FFF2-40B4-BE49-F238E27FC236}">
              <a16:creationId xmlns:a16="http://schemas.microsoft.com/office/drawing/2014/main" id="{00000000-0008-0000-2000-00000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5" name="33 CuadroTexto">
          <a:extLst>
            <a:ext uri="{FF2B5EF4-FFF2-40B4-BE49-F238E27FC236}">
              <a16:creationId xmlns:a16="http://schemas.microsoft.com/office/drawing/2014/main" id="{00000000-0008-0000-2000-00000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6" name="34 CuadroTexto">
          <a:extLst>
            <a:ext uri="{FF2B5EF4-FFF2-40B4-BE49-F238E27FC236}">
              <a16:creationId xmlns:a16="http://schemas.microsoft.com/office/drawing/2014/main" id="{00000000-0008-0000-2000-00000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7" name="35 CuadroTexto">
          <a:extLst>
            <a:ext uri="{FF2B5EF4-FFF2-40B4-BE49-F238E27FC236}">
              <a16:creationId xmlns:a16="http://schemas.microsoft.com/office/drawing/2014/main" id="{00000000-0008-0000-2000-00000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8" name="36 CuadroTexto">
          <a:extLst>
            <a:ext uri="{FF2B5EF4-FFF2-40B4-BE49-F238E27FC236}">
              <a16:creationId xmlns:a16="http://schemas.microsoft.com/office/drawing/2014/main" id="{00000000-0008-0000-2000-00000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9" name="37 CuadroTexto">
          <a:extLst>
            <a:ext uri="{FF2B5EF4-FFF2-40B4-BE49-F238E27FC236}">
              <a16:creationId xmlns:a16="http://schemas.microsoft.com/office/drawing/2014/main" id="{00000000-0008-0000-2000-00000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0" name="38 CuadroTexto">
          <a:extLst>
            <a:ext uri="{FF2B5EF4-FFF2-40B4-BE49-F238E27FC236}">
              <a16:creationId xmlns:a16="http://schemas.microsoft.com/office/drawing/2014/main" id="{00000000-0008-0000-2000-00000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1" name="39 CuadroTexto">
          <a:extLst>
            <a:ext uri="{FF2B5EF4-FFF2-40B4-BE49-F238E27FC236}">
              <a16:creationId xmlns:a16="http://schemas.microsoft.com/office/drawing/2014/main" id="{00000000-0008-0000-2000-00000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2" name="40 CuadroTexto">
          <a:extLst>
            <a:ext uri="{FF2B5EF4-FFF2-40B4-BE49-F238E27FC236}">
              <a16:creationId xmlns:a16="http://schemas.microsoft.com/office/drawing/2014/main" id="{00000000-0008-0000-2000-00001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3" name="41 CuadroTexto">
          <a:extLst>
            <a:ext uri="{FF2B5EF4-FFF2-40B4-BE49-F238E27FC236}">
              <a16:creationId xmlns:a16="http://schemas.microsoft.com/office/drawing/2014/main" id="{00000000-0008-0000-2000-00001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4" name="42 CuadroTexto">
          <a:extLst>
            <a:ext uri="{FF2B5EF4-FFF2-40B4-BE49-F238E27FC236}">
              <a16:creationId xmlns:a16="http://schemas.microsoft.com/office/drawing/2014/main" id="{00000000-0008-0000-2000-00001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5" name="43 CuadroTexto">
          <a:extLst>
            <a:ext uri="{FF2B5EF4-FFF2-40B4-BE49-F238E27FC236}">
              <a16:creationId xmlns:a16="http://schemas.microsoft.com/office/drawing/2014/main" id="{00000000-0008-0000-2000-00001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6" name="44 CuadroTexto">
          <a:extLst>
            <a:ext uri="{FF2B5EF4-FFF2-40B4-BE49-F238E27FC236}">
              <a16:creationId xmlns:a16="http://schemas.microsoft.com/office/drawing/2014/main" id="{00000000-0008-0000-2000-00001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7" name="45 CuadroTexto">
          <a:extLst>
            <a:ext uri="{FF2B5EF4-FFF2-40B4-BE49-F238E27FC236}">
              <a16:creationId xmlns:a16="http://schemas.microsoft.com/office/drawing/2014/main" id="{00000000-0008-0000-2000-00001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8" name="46 CuadroTexto">
          <a:extLst>
            <a:ext uri="{FF2B5EF4-FFF2-40B4-BE49-F238E27FC236}">
              <a16:creationId xmlns:a16="http://schemas.microsoft.com/office/drawing/2014/main" id="{00000000-0008-0000-2000-00001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9" name="47 CuadroTexto">
          <a:extLst>
            <a:ext uri="{FF2B5EF4-FFF2-40B4-BE49-F238E27FC236}">
              <a16:creationId xmlns:a16="http://schemas.microsoft.com/office/drawing/2014/main" id="{00000000-0008-0000-2000-00001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0" name="48 CuadroTexto">
          <a:extLst>
            <a:ext uri="{FF2B5EF4-FFF2-40B4-BE49-F238E27FC236}">
              <a16:creationId xmlns:a16="http://schemas.microsoft.com/office/drawing/2014/main" id="{00000000-0008-0000-2000-00001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1" name="49 CuadroTexto">
          <a:extLst>
            <a:ext uri="{FF2B5EF4-FFF2-40B4-BE49-F238E27FC236}">
              <a16:creationId xmlns:a16="http://schemas.microsoft.com/office/drawing/2014/main" id="{00000000-0008-0000-2000-00001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2" name="50 CuadroTexto">
          <a:extLst>
            <a:ext uri="{FF2B5EF4-FFF2-40B4-BE49-F238E27FC236}">
              <a16:creationId xmlns:a16="http://schemas.microsoft.com/office/drawing/2014/main" id="{00000000-0008-0000-2000-00001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3" name="51 CuadroTexto">
          <a:extLst>
            <a:ext uri="{FF2B5EF4-FFF2-40B4-BE49-F238E27FC236}">
              <a16:creationId xmlns:a16="http://schemas.microsoft.com/office/drawing/2014/main" id="{00000000-0008-0000-2000-00001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4" name="52 CuadroTexto">
          <a:extLst>
            <a:ext uri="{FF2B5EF4-FFF2-40B4-BE49-F238E27FC236}">
              <a16:creationId xmlns:a16="http://schemas.microsoft.com/office/drawing/2014/main" id="{00000000-0008-0000-2000-00001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5" name="53 CuadroTexto">
          <a:extLst>
            <a:ext uri="{FF2B5EF4-FFF2-40B4-BE49-F238E27FC236}">
              <a16:creationId xmlns:a16="http://schemas.microsoft.com/office/drawing/2014/main" id="{00000000-0008-0000-2000-00001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6" name="54 CuadroTexto">
          <a:extLst>
            <a:ext uri="{FF2B5EF4-FFF2-40B4-BE49-F238E27FC236}">
              <a16:creationId xmlns:a16="http://schemas.microsoft.com/office/drawing/2014/main" id="{00000000-0008-0000-2000-00001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7" name="55 CuadroTexto">
          <a:extLst>
            <a:ext uri="{FF2B5EF4-FFF2-40B4-BE49-F238E27FC236}">
              <a16:creationId xmlns:a16="http://schemas.microsoft.com/office/drawing/2014/main" id="{00000000-0008-0000-2000-00001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8" name="56 CuadroTexto">
          <a:extLst>
            <a:ext uri="{FF2B5EF4-FFF2-40B4-BE49-F238E27FC236}">
              <a16:creationId xmlns:a16="http://schemas.microsoft.com/office/drawing/2014/main" id="{00000000-0008-0000-2000-00002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9" name="57 CuadroTexto">
          <a:extLst>
            <a:ext uri="{FF2B5EF4-FFF2-40B4-BE49-F238E27FC236}">
              <a16:creationId xmlns:a16="http://schemas.microsoft.com/office/drawing/2014/main" id="{00000000-0008-0000-2000-00002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0" name="58 CuadroTexto">
          <a:extLst>
            <a:ext uri="{FF2B5EF4-FFF2-40B4-BE49-F238E27FC236}">
              <a16:creationId xmlns:a16="http://schemas.microsoft.com/office/drawing/2014/main" id="{00000000-0008-0000-2000-00002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1" name="59 CuadroTexto">
          <a:extLst>
            <a:ext uri="{FF2B5EF4-FFF2-40B4-BE49-F238E27FC236}">
              <a16:creationId xmlns:a16="http://schemas.microsoft.com/office/drawing/2014/main" id="{00000000-0008-0000-2000-00002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2" name="60 CuadroTexto">
          <a:extLst>
            <a:ext uri="{FF2B5EF4-FFF2-40B4-BE49-F238E27FC236}">
              <a16:creationId xmlns:a16="http://schemas.microsoft.com/office/drawing/2014/main" id="{00000000-0008-0000-2000-00002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3" name="61 CuadroTexto">
          <a:extLst>
            <a:ext uri="{FF2B5EF4-FFF2-40B4-BE49-F238E27FC236}">
              <a16:creationId xmlns:a16="http://schemas.microsoft.com/office/drawing/2014/main" id="{00000000-0008-0000-2000-00002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4" name="62 CuadroTexto">
          <a:extLst>
            <a:ext uri="{FF2B5EF4-FFF2-40B4-BE49-F238E27FC236}">
              <a16:creationId xmlns:a16="http://schemas.microsoft.com/office/drawing/2014/main" id="{00000000-0008-0000-2000-00002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5" name="63 CuadroTexto">
          <a:extLst>
            <a:ext uri="{FF2B5EF4-FFF2-40B4-BE49-F238E27FC236}">
              <a16:creationId xmlns:a16="http://schemas.microsoft.com/office/drawing/2014/main" id="{00000000-0008-0000-2000-00002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6" name="64 CuadroTexto">
          <a:extLst>
            <a:ext uri="{FF2B5EF4-FFF2-40B4-BE49-F238E27FC236}">
              <a16:creationId xmlns:a16="http://schemas.microsoft.com/office/drawing/2014/main" id="{00000000-0008-0000-2000-00002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7" name="65 CuadroTexto">
          <a:extLst>
            <a:ext uri="{FF2B5EF4-FFF2-40B4-BE49-F238E27FC236}">
              <a16:creationId xmlns:a16="http://schemas.microsoft.com/office/drawing/2014/main" id="{00000000-0008-0000-2000-00002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8" name="66 CuadroTexto">
          <a:extLst>
            <a:ext uri="{FF2B5EF4-FFF2-40B4-BE49-F238E27FC236}">
              <a16:creationId xmlns:a16="http://schemas.microsoft.com/office/drawing/2014/main" id="{00000000-0008-0000-2000-00002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9" name="67 CuadroTexto">
          <a:extLst>
            <a:ext uri="{FF2B5EF4-FFF2-40B4-BE49-F238E27FC236}">
              <a16:creationId xmlns:a16="http://schemas.microsoft.com/office/drawing/2014/main" id="{00000000-0008-0000-2000-00002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0" name="68 CuadroTexto">
          <a:extLst>
            <a:ext uri="{FF2B5EF4-FFF2-40B4-BE49-F238E27FC236}">
              <a16:creationId xmlns:a16="http://schemas.microsoft.com/office/drawing/2014/main" id="{00000000-0008-0000-2000-00002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1" name="69 CuadroTexto">
          <a:extLst>
            <a:ext uri="{FF2B5EF4-FFF2-40B4-BE49-F238E27FC236}">
              <a16:creationId xmlns:a16="http://schemas.microsoft.com/office/drawing/2014/main" id="{00000000-0008-0000-2000-00002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2" name="70 CuadroTexto">
          <a:extLst>
            <a:ext uri="{FF2B5EF4-FFF2-40B4-BE49-F238E27FC236}">
              <a16:creationId xmlns:a16="http://schemas.microsoft.com/office/drawing/2014/main" id="{00000000-0008-0000-2000-00002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3" name="71 CuadroTexto">
          <a:extLst>
            <a:ext uri="{FF2B5EF4-FFF2-40B4-BE49-F238E27FC236}">
              <a16:creationId xmlns:a16="http://schemas.microsoft.com/office/drawing/2014/main" id="{00000000-0008-0000-2000-00002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4" name="72 CuadroTexto">
          <a:extLst>
            <a:ext uri="{FF2B5EF4-FFF2-40B4-BE49-F238E27FC236}">
              <a16:creationId xmlns:a16="http://schemas.microsoft.com/office/drawing/2014/main" id="{00000000-0008-0000-2000-00003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5" name="73 CuadroTexto">
          <a:extLst>
            <a:ext uri="{FF2B5EF4-FFF2-40B4-BE49-F238E27FC236}">
              <a16:creationId xmlns:a16="http://schemas.microsoft.com/office/drawing/2014/main" id="{00000000-0008-0000-2000-00003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6" name="74 CuadroTexto">
          <a:extLst>
            <a:ext uri="{FF2B5EF4-FFF2-40B4-BE49-F238E27FC236}">
              <a16:creationId xmlns:a16="http://schemas.microsoft.com/office/drawing/2014/main" id="{00000000-0008-0000-2000-00003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7" name="75 CuadroTexto">
          <a:extLst>
            <a:ext uri="{FF2B5EF4-FFF2-40B4-BE49-F238E27FC236}">
              <a16:creationId xmlns:a16="http://schemas.microsoft.com/office/drawing/2014/main" id="{00000000-0008-0000-2000-00003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8" name="76 CuadroTexto">
          <a:extLst>
            <a:ext uri="{FF2B5EF4-FFF2-40B4-BE49-F238E27FC236}">
              <a16:creationId xmlns:a16="http://schemas.microsoft.com/office/drawing/2014/main" id="{00000000-0008-0000-2000-00003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9" name="77 CuadroTexto">
          <a:extLst>
            <a:ext uri="{FF2B5EF4-FFF2-40B4-BE49-F238E27FC236}">
              <a16:creationId xmlns:a16="http://schemas.microsoft.com/office/drawing/2014/main" id="{00000000-0008-0000-2000-00003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0" name="78 CuadroTexto">
          <a:extLst>
            <a:ext uri="{FF2B5EF4-FFF2-40B4-BE49-F238E27FC236}">
              <a16:creationId xmlns:a16="http://schemas.microsoft.com/office/drawing/2014/main" id="{00000000-0008-0000-2000-00003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1" name="79 CuadroTexto">
          <a:extLst>
            <a:ext uri="{FF2B5EF4-FFF2-40B4-BE49-F238E27FC236}">
              <a16:creationId xmlns:a16="http://schemas.microsoft.com/office/drawing/2014/main" id="{00000000-0008-0000-2000-00003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2" name="80 CuadroTexto">
          <a:extLst>
            <a:ext uri="{FF2B5EF4-FFF2-40B4-BE49-F238E27FC236}">
              <a16:creationId xmlns:a16="http://schemas.microsoft.com/office/drawing/2014/main" id="{00000000-0008-0000-2000-00003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3" name="81 CuadroTexto">
          <a:extLst>
            <a:ext uri="{FF2B5EF4-FFF2-40B4-BE49-F238E27FC236}">
              <a16:creationId xmlns:a16="http://schemas.microsoft.com/office/drawing/2014/main" id="{00000000-0008-0000-2000-00003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4" name="82 CuadroTexto">
          <a:extLst>
            <a:ext uri="{FF2B5EF4-FFF2-40B4-BE49-F238E27FC236}">
              <a16:creationId xmlns:a16="http://schemas.microsoft.com/office/drawing/2014/main" id="{00000000-0008-0000-2000-00003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5" name="83 CuadroTexto">
          <a:extLst>
            <a:ext uri="{FF2B5EF4-FFF2-40B4-BE49-F238E27FC236}">
              <a16:creationId xmlns:a16="http://schemas.microsoft.com/office/drawing/2014/main" id="{00000000-0008-0000-2000-00003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6" name="84 CuadroTexto">
          <a:extLst>
            <a:ext uri="{FF2B5EF4-FFF2-40B4-BE49-F238E27FC236}">
              <a16:creationId xmlns:a16="http://schemas.microsoft.com/office/drawing/2014/main" id="{00000000-0008-0000-2000-00003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7" name="85 CuadroTexto">
          <a:extLst>
            <a:ext uri="{FF2B5EF4-FFF2-40B4-BE49-F238E27FC236}">
              <a16:creationId xmlns:a16="http://schemas.microsoft.com/office/drawing/2014/main" id="{00000000-0008-0000-2000-00003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8" name="86 CuadroTexto">
          <a:extLst>
            <a:ext uri="{FF2B5EF4-FFF2-40B4-BE49-F238E27FC236}">
              <a16:creationId xmlns:a16="http://schemas.microsoft.com/office/drawing/2014/main" id="{00000000-0008-0000-2000-00003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9" name="87 CuadroTexto">
          <a:extLst>
            <a:ext uri="{FF2B5EF4-FFF2-40B4-BE49-F238E27FC236}">
              <a16:creationId xmlns:a16="http://schemas.microsoft.com/office/drawing/2014/main" id="{00000000-0008-0000-2000-00003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0" name="88 CuadroTexto">
          <a:extLst>
            <a:ext uri="{FF2B5EF4-FFF2-40B4-BE49-F238E27FC236}">
              <a16:creationId xmlns:a16="http://schemas.microsoft.com/office/drawing/2014/main" id="{00000000-0008-0000-2000-00004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1" name="89 CuadroTexto">
          <a:extLst>
            <a:ext uri="{FF2B5EF4-FFF2-40B4-BE49-F238E27FC236}">
              <a16:creationId xmlns:a16="http://schemas.microsoft.com/office/drawing/2014/main" id="{00000000-0008-0000-2000-00004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2" name="102 CuadroTexto">
          <a:extLst>
            <a:ext uri="{FF2B5EF4-FFF2-40B4-BE49-F238E27FC236}">
              <a16:creationId xmlns:a16="http://schemas.microsoft.com/office/drawing/2014/main" id="{00000000-0008-0000-2000-00004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3" name="103 CuadroTexto">
          <a:extLst>
            <a:ext uri="{FF2B5EF4-FFF2-40B4-BE49-F238E27FC236}">
              <a16:creationId xmlns:a16="http://schemas.microsoft.com/office/drawing/2014/main" id="{00000000-0008-0000-2000-00004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4" name="104 CuadroTexto">
          <a:extLst>
            <a:ext uri="{FF2B5EF4-FFF2-40B4-BE49-F238E27FC236}">
              <a16:creationId xmlns:a16="http://schemas.microsoft.com/office/drawing/2014/main" id="{00000000-0008-0000-2000-00004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5" name="105 CuadroTexto">
          <a:extLst>
            <a:ext uri="{FF2B5EF4-FFF2-40B4-BE49-F238E27FC236}">
              <a16:creationId xmlns:a16="http://schemas.microsoft.com/office/drawing/2014/main" id="{00000000-0008-0000-2000-00004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6" name="106 CuadroTexto">
          <a:extLst>
            <a:ext uri="{FF2B5EF4-FFF2-40B4-BE49-F238E27FC236}">
              <a16:creationId xmlns:a16="http://schemas.microsoft.com/office/drawing/2014/main" id="{00000000-0008-0000-2000-00004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7" name="107 CuadroTexto">
          <a:extLst>
            <a:ext uri="{FF2B5EF4-FFF2-40B4-BE49-F238E27FC236}">
              <a16:creationId xmlns:a16="http://schemas.microsoft.com/office/drawing/2014/main" id="{00000000-0008-0000-2000-00004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8" name="108 CuadroTexto">
          <a:extLst>
            <a:ext uri="{FF2B5EF4-FFF2-40B4-BE49-F238E27FC236}">
              <a16:creationId xmlns:a16="http://schemas.microsoft.com/office/drawing/2014/main" id="{00000000-0008-0000-2000-00004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9" name="109 CuadroTexto">
          <a:extLst>
            <a:ext uri="{FF2B5EF4-FFF2-40B4-BE49-F238E27FC236}">
              <a16:creationId xmlns:a16="http://schemas.microsoft.com/office/drawing/2014/main" id="{00000000-0008-0000-2000-00004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0" name="110 CuadroTexto">
          <a:extLst>
            <a:ext uri="{FF2B5EF4-FFF2-40B4-BE49-F238E27FC236}">
              <a16:creationId xmlns:a16="http://schemas.microsoft.com/office/drawing/2014/main" id="{00000000-0008-0000-2000-00004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1" name="111 CuadroTexto">
          <a:extLst>
            <a:ext uri="{FF2B5EF4-FFF2-40B4-BE49-F238E27FC236}">
              <a16:creationId xmlns:a16="http://schemas.microsoft.com/office/drawing/2014/main" id="{00000000-0008-0000-2000-00004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2" name="112 CuadroTexto">
          <a:extLst>
            <a:ext uri="{FF2B5EF4-FFF2-40B4-BE49-F238E27FC236}">
              <a16:creationId xmlns:a16="http://schemas.microsoft.com/office/drawing/2014/main" id="{00000000-0008-0000-2000-00004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3" name="113 CuadroTexto">
          <a:extLst>
            <a:ext uri="{FF2B5EF4-FFF2-40B4-BE49-F238E27FC236}">
              <a16:creationId xmlns:a16="http://schemas.microsoft.com/office/drawing/2014/main" id="{00000000-0008-0000-2000-00004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4" name="114 CuadroTexto">
          <a:extLst>
            <a:ext uri="{FF2B5EF4-FFF2-40B4-BE49-F238E27FC236}">
              <a16:creationId xmlns:a16="http://schemas.microsoft.com/office/drawing/2014/main" id="{00000000-0008-0000-2000-00004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5" name="115 CuadroTexto">
          <a:extLst>
            <a:ext uri="{FF2B5EF4-FFF2-40B4-BE49-F238E27FC236}">
              <a16:creationId xmlns:a16="http://schemas.microsoft.com/office/drawing/2014/main" id="{00000000-0008-0000-2000-00004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6" name="116 CuadroTexto">
          <a:extLst>
            <a:ext uri="{FF2B5EF4-FFF2-40B4-BE49-F238E27FC236}">
              <a16:creationId xmlns:a16="http://schemas.microsoft.com/office/drawing/2014/main" id="{00000000-0008-0000-2000-00005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7" name="117 CuadroTexto">
          <a:extLst>
            <a:ext uri="{FF2B5EF4-FFF2-40B4-BE49-F238E27FC236}">
              <a16:creationId xmlns:a16="http://schemas.microsoft.com/office/drawing/2014/main" id="{00000000-0008-0000-2000-00005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8" name="126 CuadroTexto">
          <a:extLst>
            <a:ext uri="{FF2B5EF4-FFF2-40B4-BE49-F238E27FC236}">
              <a16:creationId xmlns:a16="http://schemas.microsoft.com/office/drawing/2014/main" id="{00000000-0008-0000-2000-00005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9" name="127 CuadroTexto">
          <a:extLst>
            <a:ext uri="{FF2B5EF4-FFF2-40B4-BE49-F238E27FC236}">
              <a16:creationId xmlns:a16="http://schemas.microsoft.com/office/drawing/2014/main" id="{00000000-0008-0000-2000-00005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0" name="128 CuadroTexto">
          <a:extLst>
            <a:ext uri="{FF2B5EF4-FFF2-40B4-BE49-F238E27FC236}">
              <a16:creationId xmlns:a16="http://schemas.microsoft.com/office/drawing/2014/main" id="{00000000-0008-0000-2000-00005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1" name="129 CuadroTexto">
          <a:extLst>
            <a:ext uri="{FF2B5EF4-FFF2-40B4-BE49-F238E27FC236}">
              <a16:creationId xmlns:a16="http://schemas.microsoft.com/office/drawing/2014/main" id="{00000000-0008-0000-2000-00005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2" name="130 CuadroTexto">
          <a:extLst>
            <a:ext uri="{FF2B5EF4-FFF2-40B4-BE49-F238E27FC236}">
              <a16:creationId xmlns:a16="http://schemas.microsoft.com/office/drawing/2014/main" id="{00000000-0008-0000-2000-00005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3" name="131 CuadroTexto">
          <a:extLst>
            <a:ext uri="{FF2B5EF4-FFF2-40B4-BE49-F238E27FC236}">
              <a16:creationId xmlns:a16="http://schemas.microsoft.com/office/drawing/2014/main" id="{00000000-0008-0000-2000-00005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4" name="132 CuadroTexto">
          <a:extLst>
            <a:ext uri="{FF2B5EF4-FFF2-40B4-BE49-F238E27FC236}">
              <a16:creationId xmlns:a16="http://schemas.microsoft.com/office/drawing/2014/main" id="{00000000-0008-0000-2000-00005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5" name="133 CuadroTexto">
          <a:extLst>
            <a:ext uri="{FF2B5EF4-FFF2-40B4-BE49-F238E27FC236}">
              <a16:creationId xmlns:a16="http://schemas.microsoft.com/office/drawing/2014/main" id="{00000000-0008-0000-2000-00005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6" name="134 CuadroTexto">
          <a:extLst>
            <a:ext uri="{FF2B5EF4-FFF2-40B4-BE49-F238E27FC236}">
              <a16:creationId xmlns:a16="http://schemas.microsoft.com/office/drawing/2014/main" id="{00000000-0008-0000-2000-00005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7" name="135 CuadroTexto">
          <a:extLst>
            <a:ext uri="{FF2B5EF4-FFF2-40B4-BE49-F238E27FC236}">
              <a16:creationId xmlns:a16="http://schemas.microsoft.com/office/drawing/2014/main" id="{00000000-0008-0000-2000-00005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8" name="136 CuadroTexto">
          <a:extLst>
            <a:ext uri="{FF2B5EF4-FFF2-40B4-BE49-F238E27FC236}">
              <a16:creationId xmlns:a16="http://schemas.microsoft.com/office/drawing/2014/main" id="{00000000-0008-0000-2000-00005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9" name="137 CuadroTexto">
          <a:extLst>
            <a:ext uri="{FF2B5EF4-FFF2-40B4-BE49-F238E27FC236}">
              <a16:creationId xmlns:a16="http://schemas.microsoft.com/office/drawing/2014/main" id="{00000000-0008-0000-2000-00005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0" name="138 CuadroTexto">
          <a:extLst>
            <a:ext uri="{FF2B5EF4-FFF2-40B4-BE49-F238E27FC236}">
              <a16:creationId xmlns:a16="http://schemas.microsoft.com/office/drawing/2014/main" id="{00000000-0008-0000-2000-00005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1" name="139 CuadroTexto">
          <a:extLst>
            <a:ext uri="{FF2B5EF4-FFF2-40B4-BE49-F238E27FC236}">
              <a16:creationId xmlns:a16="http://schemas.microsoft.com/office/drawing/2014/main" id="{00000000-0008-0000-2000-00005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2" name="140 CuadroTexto">
          <a:extLst>
            <a:ext uri="{FF2B5EF4-FFF2-40B4-BE49-F238E27FC236}">
              <a16:creationId xmlns:a16="http://schemas.microsoft.com/office/drawing/2014/main" id="{00000000-0008-0000-2000-00006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3" name="141 CuadroTexto">
          <a:extLst>
            <a:ext uri="{FF2B5EF4-FFF2-40B4-BE49-F238E27FC236}">
              <a16:creationId xmlns:a16="http://schemas.microsoft.com/office/drawing/2014/main" id="{00000000-0008-0000-2000-00006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4" name="142 CuadroTexto">
          <a:extLst>
            <a:ext uri="{FF2B5EF4-FFF2-40B4-BE49-F238E27FC236}">
              <a16:creationId xmlns:a16="http://schemas.microsoft.com/office/drawing/2014/main" id="{00000000-0008-0000-2000-00006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5" name="306 CuadroTexto">
          <a:extLst>
            <a:ext uri="{FF2B5EF4-FFF2-40B4-BE49-F238E27FC236}">
              <a16:creationId xmlns:a16="http://schemas.microsoft.com/office/drawing/2014/main" id="{00000000-0008-0000-2000-00006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6" name="307 CuadroTexto">
          <a:extLst>
            <a:ext uri="{FF2B5EF4-FFF2-40B4-BE49-F238E27FC236}">
              <a16:creationId xmlns:a16="http://schemas.microsoft.com/office/drawing/2014/main" id="{00000000-0008-0000-2000-00006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7" name="308 CuadroTexto">
          <a:extLst>
            <a:ext uri="{FF2B5EF4-FFF2-40B4-BE49-F238E27FC236}">
              <a16:creationId xmlns:a16="http://schemas.microsoft.com/office/drawing/2014/main" id="{00000000-0008-0000-2000-000065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8" name="309 CuadroTexto">
          <a:extLst>
            <a:ext uri="{FF2B5EF4-FFF2-40B4-BE49-F238E27FC236}">
              <a16:creationId xmlns:a16="http://schemas.microsoft.com/office/drawing/2014/main" id="{00000000-0008-0000-2000-000066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9" name="310 CuadroTexto">
          <a:extLst>
            <a:ext uri="{FF2B5EF4-FFF2-40B4-BE49-F238E27FC236}">
              <a16:creationId xmlns:a16="http://schemas.microsoft.com/office/drawing/2014/main" id="{00000000-0008-0000-2000-000067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0" name="311 CuadroTexto">
          <a:extLst>
            <a:ext uri="{FF2B5EF4-FFF2-40B4-BE49-F238E27FC236}">
              <a16:creationId xmlns:a16="http://schemas.microsoft.com/office/drawing/2014/main" id="{00000000-0008-0000-2000-000068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1" name="312 CuadroTexto">
          <a:extLst>
            <a:ext uri="{FF2B5EF4-FFF2-40B4-BE49-F238E27FC236}">
              <a16:creationId xmlns:a16="http://schemas.microsoft.com/office/drawing/2014/main" id="{00000000-0008-0000-2000-000069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2" name="313 CuadroTexto">
          <a:extLst>
            <a:ext uri="{FF2B5EF4-FFF2-40B4-BE49-F238E27FC236}">
              <a16:creationId xmlns:a16="http://schemas.microsoft.com/office/drawing/2014/main" id="{00000000-0008-0000-2000-00006A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3" name="314 CuadroTexto">
          <a:extLst>
            <a:ext uri="{FF2B5EF4-FFF2-40B4-BE49-F238E27FC236}">
              <a16:creationId xmlns:a16="http://schemas.microsoft.com/office/drawing/2014/main" id="{00000000-0008-0000-2000-00006B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4" name="315 CuadroTexto">
          <a:extLst>
            <a:ext uri="{FF2B5EF4-FFF2-40B4-BE49-F238E27FC236}">
              <a16:creationId xmlns:a16="http://schemas.microsoft.com/office/drawing/2014/main" id="{00000000-0008-0000-2000-00006C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5" name="316 CuadroTexto">
          <a:extLst>
            <a:ext uri="{FF2B5EF4-FFF2-40B4-BE49-F238E27FC236}">
              <a16:creationId xmlns:a16="http://schemas.microsoft.com/office/drawing/2014/main" id="{00000000-0008-0000-2000-00006D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6" name="317 CuadroTexto">
          <a:extLst>
            <a:ext uri="{FF2B5EF4-FFF2-40B4-BE49-F238E27FC236}">
              <a16:creationId xmlns:a16="http://schemas.microsoft.com/office/drawing/2014/main" id="{00000000-0008-0000-2000-00006E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7" name="318 CuadroTexto">
          <a:extLst>
            <a:ext uri="{FF2B5EF4-FFF2-40B4-BE49-F238E27FC236}">
              <a16:creationId xmlns:a16="http://schemas.microsoft.com/office/drawing/2014/main" id="{00000000-0008-0000-2000-00006F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8" name="319 CuadroTexto">
          <a:extLst>
            <a:ext uri="{FF2B5EF4-FFF2-40B4-BE49-F238E27FC236}">
              <a16:creationId xmlns:a16="http://schemas.microsoft.com/office/drawing/2014/main" id="{00000000-0008-0000-2000-000070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9" name="320 CuadroTexto">
          <a:extLst>
            <a:ext uri="{FF2B5EF4-FFF2-40B4-BE49-F238E27FC236}">
              <a16:creationId xmlns:a16="http://schemas.microsoft.com/office/drawing/2014/main" id="{00000000-0008-0000-2000-000071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0" name="321 CuadroTexto">
          <a:extLst>
            <a:ext uri="{FF2B5EF4-FFF2-40B4-BE49-F238E27FC236}">
              <a16:creationId xmlns:a16="http://schemas.microsoft.com/office/drawing/2014/main" id="{00000000-0008-0000-2000-000072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1" name="322 CuadroTexto">
          <a:extLst>
            <a:ext uri="{FF2B5EF4-FFF2-40B4-BE49-F238E27FC236}">
              <a16:creationId xmlns:a16="http://schemas.microsoft.com/office/drawing/2014/main" id="{00000000-0008-0000-2000-00007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2" name="323 CuadroTexto">
          <a:extLst>
            <a:ext uri="{FF2B5EF4-FFF2-40B4-BE49-F238E27FC236}">
              <a16:creationId xmlns:a16="http://schemas.microsoft.com/office/drawing/2014/main" id="{00000000-0008-0000-2000-00007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3" name="324 CuadroTexto">
          <a:extLst>
            <a:ext uri="{FF2B5EF4-FFF2-40B4-BE49-F238E27FC236}">
              <a16:creationId xmlns:a16="http://schemas.microsoft.com/office/drawing/2014/main" id="{00000000-0008-0000-2000-000075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4" name="325 CuadroTexto">
          <a:extLst>
            <a:ext uri="{FF2B5EF4-FFF2-40B4-BE49-F238E27FC236}">
              <a16:creationId xmlns:a16="http://schemas.microsoft.com/office/drawing/2014/main" id="{00000000-0008-0000-2000-000076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5" name="326 CuadroTexto">
          <a:extLst>
            <a:ext uri="{FF2B5EF4-FFF2-40B4-BE49-F238E27FC236}">
              <a16:creationId xmlns:a16="http://schemas.microsoft.com/office/drawing/2014/main" id="{00000000-0008-0000-2000-000077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6" name="327 CuadroTexto">
          <a:extLst>
            <a:ext uri="{FF2B5EF4-FFF2-40B4-BE49-F238E27FC236}">
              <a16:creationId xmlns:a16="http://schemas.microsoft.com/office/drawing/2014/main" id="{00000000-0008-0000-2000-000078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7" name="328 CuadroTexto">
          <a:extLst>
            <a:ext uri="{FF2B5EF4-FFF2-40B4-BE49-F238E27FC236}">
              <a16:creationId xmlns:a16="http://schemas.microsoft.com/office/drawing/2014/main" id="{00000000-0008-0000-2000-000079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8" name="329 CuadroTexto">
          <a:extLst>
            <a:ext uri="{FF2B5EF4-FFF2-40B4-BE49-F238E27FC236}">
              <a16:creationId xmlns:a16="http://schemas.microsoft.com/office/drawing/2014/main" id="{00000000-0008-0000-2000-00007A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9" name="330 CuadroTexto">
          <a:extLst>
            <a:ext uri="{FF2B5EF4-FFF2-40B4-BE49-F238E27FC236}">
              <a16:creationId xmlns:a16="http://schemas.microsoft.com/office/drawing/2014/main" id="{00000000-0008-0000-2000-00007B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0" name="331 CuadroTexto">
          <a:extLst>
            <a:ext uri="{FF2B5EF4-FFF2-40B4-BE49-F238E27FC236}">
              <a16:creationId xmlns:a16="http://schemas.microsoft.com/office/drawing/2014/main" id="{00000000-0008-0000-2000-00007C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1" name="332 CuadroTexto">
          <a:extLst>
            <a:ext uri="{FF2B5EF4-FFF2-40B4-BE49-F238E27FC236}">
              <a16:creationId xmlns:a16="http://schemas.microsoft.com/office/drawing/2014/main" id="{00000000-0008-0000-2000-00007D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2" name="333 CuadroTexto">
          <a:extLst>
            <a:ext uri="{FF2B5EF4-FFF2-40B4-BE49-F238E27FC236}">
              <a16:creationId xmlns:a16="http://schemas.microsoft.com/office/drawing/2014/main" id="{00000000-0008-0000-2000-00007E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3" name="334 CuadroTexto">
          <a:extLst>
            <a:ext uri="{FF2B5EF4-FFF2-40B4-BE49-F238E27FC236}">
              <a16:creationId xmlns:a16="http://schemas.microsoft.com/office/drawing/2014/main" id="{00000000-0008-0000-2000-00007F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4" name="335 CuadroTexto">
          <a:extLst>
            <a:ext uri="{FF2B5EF4-FFF2-40B4-BE49-F238E27FC236}">
              <a16:creationId xmlns:a16="http://schemas.microsoft.com/office/drawing/2014/main" id="{00000000-0008-0000-2000-000080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5" name="336 CuadroTexto">
          <a:extLst>
            <a:ext uri="{FF2B5EF4-FFF2-40B4-BE49-F238E27FC236}">
              <a16:creationId xmlns:a16="http://schemas.microsoft.com/office/drawing/2014/main" id="{00000000-0008-0000-2000-000081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6" name="337 CuadroTexto">
          <a:extLst>
            <a:ext uri="{FF2B5EF4-FFF2-40B4-BE49-F238E27FC236}">
              <a16:creationId xmlns:a16="http://schemas.microsoft.com/office/drawing/2014/main" id="{00000000-0008-0000-2000-000082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7" name="338 CuadroTexto">
          <a:extLst>
            <a:ext uri="{FF2B5EF4-FFF2-40B4-BE49-F238E27FC236}">
              <a16:creationId xmlns:a16="http://schemas.microsoft.com/office/drawing/2014/main" id="{00000000-0008-0000-2000-00008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8" name="339 CuadroTexto">
          <a:extLst>
            <a:ext uri="{FF2B5EF4-FFF2-40B4-BE49-F238E27FC236}">
              <a16:creationId xmlns:a16="http://schemas.microsoft.com/office/drawing/2014/main" id="{00000000-0008-0000-2000-00008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9" name="340 CuadroTexto">
          <a:extLst>
            <a:ext uri="{FF2B5EF4-FFF2-40B4-BE49-F238E27FC236}">
              <a16:creationId xmlns:a16="http://schemas.microsoft.com/office/drawing/2014/main" id="{00000000-0008-0000-2000-000085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0" name="341 CuadroTexto">
          <a:extLst>
            <a:ext uri="{FF2B5EF4-FFF2-40B4-BE49-F238E27FC236}">
              <a16:creationId xmlns:a16="http://schemas.microsoft.com/office/drawing/2014/main" id="{00000000-0008-0000-2000-000086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1" name="342 CuadroTexto">
          <a:extLst>
            <a:ext uri="{FF2B5EF4-FFF2-40B4-BE49-F238E27FC236}">
              <a16:creationId xmlns:a16="http://schemas.microsoft.com/office/drawing/2014/main" id="{00000000-0008-0000-2000-000087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2" name="343 CuadroTexto">
          <a:extLst>
            <a:ext uri="{FF2B5EF4-FFF2-40B4-BE49-F238E27FC236}">
              <a16:creationId xmlns:a16="http://schemas.microsoft.com/office/drawing/2014/main" id="{00000000-0008-0000-2000-000088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3" name="344 CuadroTexto">
          <a:extLst>
            <a:ext uri="{FF2B5EF4-FFF2-40B4-BE49-F238E27FC236}">
              <a16:creationId xmlns:a16="http://schemas.microsoft.com/office/drawing/2014/main" id="{00000000-0008-0000-2000-000089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4" name="345 CuadroTexto">
          <a:extLst>
            <a:ext uri="{FF2B5EF4-FFF2-40B4-BE49-F238E27FC236}">
              <a16:creationId xmlns:a16="http://schemas.microsoft.com/office/drawing/2014/main" id="{00000000-0008-0000-2000-00008A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5" name="346 CuadroTexto">
          <a:extLst>
            <a:ext uri="{FF2B5EF4-FFF2-40B4-BE49-F238E27FC236}">
              <a16:creationId xmlns:a16="http://schemas.microsoft.com/office/drawing/2014/main" id="{00000000-0008-0000-2000-00008B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6" name="347 CuadroTexto">
          <a:extLst>
            <a:ext uri="{FF2B5EF4-FFF2-40B4-BE49-F238E27FC236}">
              <a16:creationId xmlns:a16="http://schemas.microsoft.com/office/drawing/2014/main" id="{00000000-0008-0000-2000-00008C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7" name="348 CuadroTexto">
          <a:extLst>
            <a:ext uri="{FF2B5EF4-FFF2-40B4-BE49-F238E27FC236}">
              <a16:creationId xmlns:a16="http://schemas.microsoft.com/office/drawing/2014/main" id="{00000000-0008-0000-2000-00008D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8" name="349 CuadroTexto">
          <a:extLst>
            <a:ext uri="{FF2B5EF4-FFF2-40B4-BE49-F238E27FC236}">
              <a16:creationId xmlns:a16="http://schemas.microsoft.com/office/drawing/2014/main" id="{00000000-0008-0000-2000-00008E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9" name="350 CuadroTexto">
          <a:extLst>
            <a:ext uri="{FF2B5EF4-FFF2-40B4-BE49-F238E27FC236}">
              <a16:creationId xmlns:a16="http://schemas.microsoft.com/office/drawing/2014/main" id="{00000000-0008-0000-2000-00008F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0" name="351 CuadroTexto">
          <a:extLst>
            <a:ext uri="{FF2B5EF4-FFF2-40B4-BE49-F238E27FC236}">
              <a16:creationId xmlns:a16="http://schemas.microsoft.com/office/drawing/2014/main" id="{00000000-0008-0000-2000-000090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1" name="352 CuadroTexto">
          <a:extLst>
            <a:ext uri="{FF2B5EF4-FFF2-40B4-BE49-F238E27FC236}">
              <a16:creationId xmlns:a16="http://schemas.microsoft.com/office/drawing/2014/main" id="{00000000-0008-0000-2000-000091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2" name="353 CuadroTexto">
          <a:extLst>
            <a:ext uri="{FF2B5EF4-FFF2-40B4-BE49-F238E27FC236}">
              <a16:creationId xmlns:a16="http://schemas.microsoft.com/office/drawing/2014/main" id="{00000000-0008-0000-2000-000092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3" name="354 CuadroTexto">
          <a:extLst>
            <a:ext uri="{FF2B5EF4-FFF2-40B4-BE49-F238E27FC236}">
              <a16:creationId xmlns:a16="http://schemas.microsoft.com/office/drawing/2014/main" id="{00000000-0008-0000-2000-00009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4" name="355 CuadroTexto">
          <a:extLst>
            <a:ext uri="{FF2B5EF4-FFF2-40B4-BE49-F238E27FC236}">
              <a16:creationId xmlns:a16="http://schemas.microsoft.com/office/drawing/2014/main" id="{00000000-0008-0000-2000-00009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5" name="356 CuadroTexto">
          <a:extLst>
            <a:ext uri="{FF2B5EF4-FFF2-40B4-BE49-F238E27FC236}">
              <a16:creationId xmlns:a16="http://schemas.microsoft.com/office/drawing/2014/main" id="{00000000-0008-0000-2000-000095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6" name="357 CuadroTexto">
          <a:extLst>
            <a:ext uri="{FF2B5EF4-FFF2-40B4-BE49-F238E27FC236}">
              <a16:creationId xmlns:a16="http://schemas.microsoft.com/office/drawing/2014/main" id="{00000000-0008-0000-2000-000096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7" name="358 CuadroTexto">
          <a:extLst>
            <a:ext uri="{FF2B5EF4-FFF2-40B4-BE49-F238E27FC236}">
              <a16:creationId xmlns:a16="http://schemas.microsoft.com/office/drawing/2014/main" id="{00000000-0008-0000-2000-000097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8" name="359 CuadroTexto">
          <a:extLst>
            <a:ext uri="{FF2B5EF4-FFF2-40B4-BE49-F238E27FC236}">
              <a16:creationId xmlns:a16="http://schemas.microsoft.com/office/drawing/2014/main" id="{00000000-0008-0000-2000-000098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9" name="360 CuadroTexto">
          <a:extLst>
            <a:ext uri="{FF2B5EF4-FFF2-40B4-BE49-F238E27FC236}">
              <a16:creationId xmlns:a16="http://schemas.microsoft.com/office/drawing/2014/main" id="{00000000-0008-0000-2000-000099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0" name="361 CuadroTexto">
          <a:extLst>
            <a:ext uri="{FF2B5EF4-FFF2-40B4-BE49-F238E27FC236}">
              <a16:creationId xmlns:a16="http://schemas.microsoft.com/office/drawing/2014/main" id="{00000000-0008-0000-2000-00009A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1" name="362 CuadroTexto">
          <a:extLst>
            <a:ext uri="{FF2B5EF4-FFF2-40B4-BE49-F238E27FC236}">
              <a16:creationId xmlns:a16="http://schemas.microsoft.com/office/drawing/2014/main" id="{00000000-0008-0000-2000-00009B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2" name="363 CuadroTexto">
          <a:extLst>
            <a:ext uri="{FF2B5EF4-FFF2-40B4-BE49-F238E27FC236}">
              <a16:creationId xmlns:a16="http://schemas.microsoft.com/office/drawing/2014/main" id="{00000000-0008-0000-2000-00009C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3" name="364 CuadroTexto">
          <a:extLst>
            <a:ext uri="{FF2B5EF4-FFF2-40B4-BE49-F238E27FC236}">
              <a16:creationId xmlns:a16="http://schemas.microsoft.com/office/drawing/2014/main" id="{00000000-0008-0000-2000-00009D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4" name="365 CuadroTexto">
          <a:extLst>
            <a:ext uri="{FF2B5EF4-FFF2-40B4-BE49-F238E27FC236}">
              <a16:creationId xmlns:a16="http://schemas.microsoft.com/office/drawing/2014/main" id="{00000000-0008-0000-2000-00009E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5" name="366 CuadroTexto">
          <a:extLst>
            <a:ext uri="{FF2B5EF4-FFF2-40B4-BE49-F238E27FC236}">
              <a16:creationId xmlns:a16="http://schemas.microsoft.com/office/drawing/2014/main" id="{00000000-0008-0000-2000-00009F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6" name="367 CuadroTexto">
          <a:extLst>
            <a:ext uri="{FF2B5EF4-FFF2-40B4-BE49-F238E27FC236}">
              <a16:creationId xmlns:a16="http://schemas.microsoft.com/office/drawing/2014/main" id="{00000000-0008-0000-2000-0000A0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7" name="368 CuadroTexto">
          <a:extLst>
            <a:ext uri="{FF2B5EF4-FFF2-40B4-BE49-F238E27FC236}">
              <a16:creationId xmlns:a16="http://schemas.microsoft.com/office/drawing/2014/main" id="{00000000-0008-0000-2000-0000A1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8" name="369 CuadroTexto">
          <a:extLst>
            <a:ext uri="{FF2B5EF4-FFF2-40B4-BE49-F238E27FC236}">
              <a16:creationId xmlns:a16="http://schemas.microsoft.com/office/drawing/2014/main" id="{00000000-0008-0000-2000-0000A2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9" name="370 CuadroTexto">
          <a:extLst>
            <a:ext uri="{FF2B5EF4-FFF2-40B4-BE49-F238E27FC236}">
              <a16:creationId xmlns:a16="http://schemas.microsoft.com/office/drawing/2014/main" id="{00000000-0008-0000-2000-0000A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0" name="371 CuadroTexto">
          <a:extLst>
            <a:ext uri="{FF2B5EF4-FFF2-40B4-BE49-F238E27FC236}">
              <a16:creationId xmlns:a16="http://schemas.microsoft.com/office/drawing/2014/main" id="{00000000-0008-0000-2000-0000A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1" name="372 CuadroTexto">
          <a:extLst>
            <a:ext uri="{FF2B5EF4-FFF2-40B4-BE49-F238E27FC236}">
              <a16:creationId xmlns:a16="http://schemas.microsoft.com/office/drawing/2014/main" id="{00000000-0008-0000-2000-0000A5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2" name="373 CuadroTexto">
          <a:extLst>
            <a:ext uri="{FF2B5EF4-FFF2-40B4-BE49-F238E27FC236}">
              <a16:creationId xmlns:a16="http://schemas.microsoft.com/office/drawing/2014/main" id="{00000000-0008-0000-2000-0000A6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3" name="374 CuadroTexto">
          <a:extLst>
            <a:ext uri="{FF2B5EF4-FFF2-40B4-BE49-F238E27FC236}">
              <a16:creationId xmlns:a16="http://schemas.microsoft.com/office/drawing/2014/main" id="{00000000-0008-0000-2000-0000A7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4" name="375 CuadroTexto">
          <a:extLst>
            <a:ext uri="{FF2B5EF4-FFF2-40B4-BE49-F238E27FC236}">
              <a16:creationId xmlns:a16="http://schemas.microsoft.com/office/drawing/2014/main" id="{00000000-0008-0000-2000-0000A8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5" name="376 CuadroTexto">
          <a:extLst>
            <a:ext uri="{FF2B5EF4-FFF2-40B4-BE49-F238E27FC236}">
              <a16:creationId xmlns:a16="http://schemas.microsoft.com/office/drawing/2014/main" id="{00000000-0008-0000-2000-0000A9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6" name="377 CuadroTexto">
          <a:extLst>
            <a:ext uri="{FF2B5EF4-FFF2-40B4-BE49-F238E27FC236}">
              <a16:creationId xmlns:a16="http://schemas.microsoft.com/office/drawing/2014/main" id="{00000000-0008-0000-2000-0000AA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7" name="378 CuadroTexto">
          <a:extLst>
            <a:ext uri="{FF2B5EF4-FFF2-40B4-BE49-F238E27FC236}">
              <a16:creationId xmlns:a16="http://schemas.microsoft.com/office/drawing/2014/main" id="{00000000-0008-0000-2000-0000AB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8" name="379 CuadroTexto">
          <a:extLst>
            <a:ext uri="{FF2B5EF4-FFF2-40B4-BE49-F238E27FC236}">
              <a16:creationId xmlns:a16="http://schemas.microsoft.com/office/drawing/2014/main" id="{00000000-0008-0000-2000-0000AC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9" name="380 CuadroTexto">
          <a:extLst>
            <a:ext uri="{FF2B5EF4-FFF2-40B4-BE49-F238E27FC236}">
              <a16:creationId xmlns:a16="http://schemas.microsoft.com/office/drawing/2014/main" id="{00000000-0008-0000-2000-0000AD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0" name="381 CuadroTexto">
          <a:extLst>
            <a:ext uri="{FF2B5EF4-FFF2-40B4-BE49-F238E27FC236}">
              <a16:creationId xmlns:a16="http://schemas.microsoft.com/office/drawing/2014/main" id="{00000000-0008-0000-2000-0000AE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1" name="382 CuadroTexto">
          <a:extLst>
            <a:ext uri="{FF2B5EF4-FFF2-40B4-BE49-F238E27FC236}">
              <a16:creationId xmlns:a16="http://schemas.microsoft.com/office/drawing/2014/main" id="{00000000-0008-0000-2000-0000AF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2" name="383 CuadroTexto">
          <a:extLst>
            <a:ext uri="{FF2B5EF4-FFF2-40B4-BE49-F238E27FC236}">
              <a16:creationId xmlns:a16="http://schemas.microsoft.com/office/drawing/2014/main" id="{00000000-0008-0000-2000-0000B0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3" name="384 CuadroTexto">
          <a:extLst>
            <a:ext uri="{FF2B5EF4-FFF2-40B4-BE49-F238E27FC236}">
              <a16:creationId xmlns:a16="http://schemas.microsoft.com/office/drawing/2014/main" id="{00000000-0008-0000-2000-0000B1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4" name="385 CuadroTexto">
          <a:extLst>
            <a:ext uri="{FF2B5EF4-FFF2-40B4-BE49-F238E27FC236}">
              <a16:creationId xmlns:a16="http://schemas.microsoft.com/office/drawing/2014/main" id="{00000000-0008-0000-2000-0000B2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5" name="386 CuadroTexto">
          <a:extLst>
            <a:ext uri="{FF2B5EF4-FFF2-40B4-BE49-F238E27FC236}">
              <a16:creationId xmlns:a16="http://schemas.microsoft.com/office/drawing/2014/main" id="{00000000-0008-0000-2000-0000B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6" name="387 CuadroTexto">
          <a:extLst>
            <a:ext uri="{FF2B5EF4-FFF2-40B4-BE49-F238E27FC236}">
              <a16:creationId xmlns:a16="http://schemas.microsoft.com/office/drawing/2014/main" id="{00000000-0008-0000-2000-0000B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7" name="388 CuadroTexto">
          <a:extLst>
            <a:ext uri="{FF2B5EF4-FFF2-40B4-BE49-F238E27FC236}">
              <a16:creationId xmlns:a16="http://schemas.microsoft.com/office/drawing/2014/main" id="{00000000-0008-0000-2000-0000B5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8" name="389 CuadroTexto">
          <a:extLst>
            <a:ext uri="{FF2B5EF4-FFF2-40B4-BE49-F238E27FC236}">
              <a16:creationId xmlns:a16="http://schemas.microsoft.com/office/drawing/2014/main" id="{00000000-0008-0000-2000-0000B6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9" name="390 CuadroTexto">
          <a:extLst>
            <a:ext uri="{FF2B5EF4-FFF2-40B4-BE49-F238E27FC236}">
              <a16:creationId xmlns:a16="http://schemas.microsoft.com/office/drawing/2014/main" id="{00000000-0008-0000-2000-0000B7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0" name="391 CuadroTexto">
          <a:extLst>
            <a:ext uri="{FF2B5EF4-FFF2-40B4-BE49-F238E27FC236}">
              <a16:creationId xmlns:a16="http://schemas.microsoft.com/office/drawing/2014/main" id="{00000000-0008-0000-2000-0000B8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1" name="392 CuadroTexto">
          <a:extLst>
            <a:ext uri="{FF2B5EF4-FFF2-40B4-BE49-F238E27FC236}">
              <a16:creationId xmlns:a16="http://schemas.microsoft.com/office/drawing/2014/main" id="{00000000-0008-0000-2000-0000B9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2" name="393 CuadroTexto">
          <a:extLst>
            <a:ext uri="{FF2B5EF4-FFF2-40B4-BE49-F238E27FC236}">
              <a16:creationId xmlns:a16="http://schemas.microsoft.com/office/drawing/2014/main" id="{00000000-0008-0000-2000-0000BA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3" name="394 CuadroTexto">
          <a:extLst>
            <a:ext uri="{FF2B5EF4-FFF2-40B4-BE49-F238E27FC236}">
              <a16:creationId xmlns:a16="http://schemas.microsoft.com/office/drawing/2014/main" id="{00000000-0008-0000-2000-0000BB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4" name="395 CuadroTexto">
          <a:extLst>
            <a:ext uri="{FF2B5EF4-FFF2-40B4-BE49-F238E27FC236}">
              <a16:creationId xmlns:a16="http://schemas.microsoft.com/office/drawing/2014/main" id="{00000000-0008-0000-2000-0000BC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5" name="396 CuadroTexto">
          <a:extLst>
            <a:ext uri="{FF2B5EF4-FFF2-40B4-BE49-F238E27FC236}">
              <a16:creationId xmlns:a16="http://schemas.microsoft.com/office/drawing/2014/main" id="{00000000-0008-0000-2000-0000BD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6" name="397 CuadroTexto">
          <a:extLst>
            <a:ext uri="{FF2B5EF4-FFF2-40B4-BE49-F238E27FC236}">
              <a16:creationId xmlns:a16="http://schemas.microsoft.com/office/drawing/2014/main" id="{00000000-0008-0000-2000-0000BE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7" name="398 CuadroTexto">
          <a:extLst>
            <a:ext uri="{FF2B5EF4-FFF2-40B4-BE49-F238E27FC236}">
              <a16:creationId xmlns:a16="http://schemas.microsoft.com/office/drawing/2014/main" id="{00000000-0008-0000-2000-0000BF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8" name="399 CuadroTexto">
          <a:extLst>
            <a:ext uri="{FF2B5EF4-FFF2-40B4-BE49-F238E27FC236}">
              <a16:creationId xmlns:a16="http://schemas.microsoft.com/office/drawing/2014/main" id="{00000000-0008-0000-2000-0000C0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9" name="400 CuadroTexto">
          <a:extLst>
            <a:ext uri="{FF2B5EF4-FFF2-40B4-BE49-F238E27FC236}">
              <a16:creationId xmlns:a16="http://schemas.microsoft.com/office/drawing/2014/main" id="{00000000-0008-0000-2000-0000C1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0" name="401 CuadroTexto">
          <a:extLst>
            <a:ext uri="{FF2B5EF4-FFF2-40B4-BE49-F238E27FC236}">
              <a16:creationId xmlns:a16="http://schemas.microsoft.com/office/drawing/2014/main" id="{00000000-0008-0000-2000-0000C2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1" name="402 CuadroTexto">
          <a:extLst>
            <a:ext uri="{FF2B5EF4-FFF2-40B4-BE49-F238E27FC236}">
              <a16:creationId xmlns:a16="http://schemas.microsoft.com/office/drawing/2014/main" id="{00000000-0008-0000-2000-0000C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2" name="403 CuadroTexto">
          <a:extLst>
            <a:ext uri="{FF2B5EF4-FFF2-40B4-BE49-F238E27FC236}">
              <a16:creationId xmlns:a16="http://schemas.microsoft.com/office/drawing/2014/main" id="{00000000-0008-0000-2000-0000C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3" name="404 CuadroTexto">
          <a:extLst>
            <a:ext uri="{FF2B5EF4-FFF2-40B4-BE49-F238E27FC236}">
              <a16:creationId xmlns:a16="http://schemas.microsoft.com/office/drawing/2014/main" id="{00000000-0008-0000-2000-0000C5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4" name="405 CuadroTexto">
          <a:extLst>
            <a:ext uri="{FF2B5EF4-FFF2-40B4-BE49-F238E27FC236}">
              <a16:creationId xmlns:a16="http://schemas.microsoft.com/office/drawing/2014/main" id="{00000000-0008-0000-2000-0000C6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5" name="406 CuadroTexto">
          <a:extLst>
            <a:ext uri="{FF2B5EF4-FFF2-40B4-BE49-F238E27FC236}">
              <a16:creationId xmlns:a16="http://schemas.microsoft.com/office/drawing/2014/main" id="{00000000-0008-0000-2000-0000C7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6" name="407 CuadroTexto">
          <a:extLst>
            <a:ext uri="{FF2B5EF4-FFF2-40B4-BE49-F238E27FC236}">
              <a16:creationId xmlns:a16="http://schemas.microsoft.com/office/drawing/2014/main" id="{00000000-0008-0000-2000-0000C8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7" name="408 CuadroTexto">
          <a:extLst>
            <a:ext uri="{FF2B5EF4-FFF2-40B4-BE49-F238E27FC236}">
              <a16:creationId xmlns:a16="http://schemas.microsoft.com/office/drawing/2014/main" id="{00000000-0008-0000-2000-0000C9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8" name="409 CuadroTexto">
          <a:extLst>
            <a:ext uri="{FF2B5EF4-FFF2-40B4-BE49-F238E27FC236}">
              <a16:creationId xmlns:a16="http://schemas.microsoft.com/office/drawing/2014/main" id="{00000000-0008-0000-2000-0000CA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9" name="410 CuadroTexto">
          <a:extLst>
            <a:ext uri="{FF2B5EF4-FFF2-40B4-BE49-F238E27FC236}">
              <a16:creationId xmlns:a16="http://schemas.microsoft.com/office/drawing/2014/main" id="{00000000-0008-0000-2000-0000CB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0" name="411 CuadroTexto">
          <a:extLst>
            <a:ext uri="{FF2B5EF4-FFF2-40B4-BE49-F238E27FC236}">
              <a16:creationId xmlns:a16="http://schemas.microsoft.com/office/drawing/2014/main" id="{00000000-0008-0000-2000-0000CC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1" name="412 CuadroTexto">
          <a:extLst>
            <a:ext uri="{FF2B5EF4-FFF2-40B4-BE49-F238E27FC236}">
              <a16:creationId xmlns:a16="http://schemas.microsoft.com/office/drawing/2014/main" id="{00000000-0008-0000-2000-0000CD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2" name="413 CuadroTexto">
          <a:extLst>
            <a:ext uri="{FF2B5EF4-FFF2-40B4-BE49-F238E27FC236}">
              <a16:creationId xmlns:a16="http://schemas.microsoft.com/office/drawing/2014/main" id="{00000000-0008-0000-2000-0000CE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3" name="414 CuadroTexto">
          <a:extLst>
            <a:ext uri="{FF2B5EF4-FFF2-40B4-BE49-F238E27FC236}">
              <a16:creationId xmlns:a16="http://schemas.microsoft.com/office/drawing/2014/main" id="{00000000-0008-0000-2000-0000CF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4" name="415 CuadroTexto">
          <a:extLst>
            <a:ext uri="{FF2B5EF4-FFF2-40B4-BE49-F238E27FC236}">
              <a16:creationId xmlns:a16="http://schemas.microsoft.com/office/drawing/2014/main" id="{00000000-0008-0000-2000-0000D0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5" name="416 CuadroTexto">
          <a:extLst>
            <a:ext uri="{FF2B5EF4-FFF2-40B4-BE49-F238E27FC236}">
              <a16:creationId xmlns:a16="http://schemas.microsoft.com/office/drawing/2014/main" id="{00000000-0008-0000-2000-0000D1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6" name="417 CuadroTexto">
          <a:extLst>
            <a:ext uri="{FF2B5EF4-FFF2-40B4-BE49-F238E27FC236}">
              <a16:creationId xmlns:a16="http://schemas.microsoft.com/office/drawing/2014/main" id="{00000000-0008-0000-2000-0000D2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7" name="418 CuadroTexto">
          <a:extLst>
            <a:ext uri="{FF2B5EF4-FFF2-40B4-BE49-F238E27FC236}">
              <a16:creationId xmlns:a16="http://schemas.microsoft.com/office/drawing/2014/main" id="{00000000-0008-0000-2000-0000D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8" name="419 CuadroTexto">
          <a:extLst>
            <a:ext uri="{FF2B5EF4-FFF2-40B4-BE49-F238E27FC236}">
              <a16:creationId xmlns:a16="http://schemas.microsoft.com/office/drawing/2014/main" id="{00000000-0008-0000-2000-0000D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9" name="420 CuadroTexto">
          <a:extLst>
            <a:ext uri="{FF2B5EF4-FFF2-40B4-BE49-F238E27FC236}">
              <a16:creationId xmlns:a16="http://schemas.microsoft.com/office/drawing/2014/main" id="{00000000-0008-0000-2000-0000D5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0" name="421 CuadroTexto">
          <a:extLst>
            <a:ext uri="{FF2B5EF4-FFF2-40B4-BE49-F238E27FC236}">
              <a16:creationId xmlns:a16="http://schemas.microsoft.com/office/drawing/2014/main" id="{00000000-0008-0000-2000-0000D6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1" name="422 CuadroTexto">
          <a:extLst>
            <a:ext uri="{FF2B5EF4-FFF2-40B4-BE49-F238E27FC236}">
              <a16:creationId xmlns:a16="http://schemas.microsoft.com/office/drawing/2014/main" id="{00000000-0008-0000-2000-0000D7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312" name="423 CuadroTexto">
          <a:extLst>
            <a:ext uri="{FF2B5EF4-FFF2-40B4-BE49-F238E27FC236}">
              <a16:creationId xmlns:a16="http://schemas.microsoft.com/office/drawing/2014/main" id="{00000000-0008-0000-2000-0000D8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3" name="424 CuadroTexto">
          <a:extLst>
            <a:ext uri="{FF2B5EF4-FFF2-40B4-BE49-F238E27FC236}">
              <a16:creationId xmlns:a16="http://schemas.microsoft.com/office/drawing/2014/main" id="{00000000-0008-0000-2000-0000D9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4" name="425 CuadroTexto">
          <a:extLst>
            <a:ext uri="{FF2B5EF4-FFF2-40B4-BE49-F238E27FC236}">
              <a16:creationId xmlns:a16="http://schemas.microsoft.com/office/drawing/2014/main" id="{00000000-0008-0000-2000-0000DA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5" name="426 CuadroTexto">
          <a:extLst>
            <a:ext uri="{FF2B5EF4-FFF2-40B4-BE49-F238E27FC236}">
              <a16:creationId xmlns:a16="http://schemas.microsoft.com/office/drawing/2014/main" id="{00000000-0008-0000-2000-0000DB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6" name="427 CuadroTexto">
          <a:extLst>
            <a:ext uri="{FF2B5EF4-FFF2-40B4-BE49-F238E27FC236}">
              <a16:creationId xmlns:a16="http://schemas.microsoft.com/office/drawing/2014/main" id="{00000000-0008-0000-2000-0000DC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7" name="428 CuadroTexto">
          <a:extLst>
            <a:ext uri="{FF2B5EF4-FFF2-40B4-BE49-F238E27FC236}">
              <a16:creationId xmlns:a16="http://schemas.microsoft.com/office/drawing/2014/main" id="{00000000-0008-0000-2000-0000DD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8" name="429 CuadroTexto">
          <a:extLst>
            <a:ext uri="{FF2B5EF4-FFF2-40B4-BE49-F238E27FC236}">
              <a16:creationId xmlns:a16="http://schemas.microsoft.com/office/drawing/2014/main" id="{00000000-0008-0000-2000-0000DE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9" name="430 CuadroTexto">
          <a:extLst>
            <a:ext uri="{FF2B5EF4-FFF2-40B4-BE49-F238E27FC236}">
              <a16:creationId xmlns:a16="http://schemas.microsoft.com/office/drawing/2014/main" id="{00000000-0008-0000-2000-0000DF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0" name="431 CuadroTexto">
          <a:extLst>
            <a:ext uri="{FF2B5EF4-FFF2-40B4-BE49-F238E27FC236}">
              <a16:creationId xmlns:a16="http://schemas.microsoft.com/office/drawing/2014/main" id="{00000000-0008-0000-2000-0000E0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1" name="432 CuadroTexto">
          <a:extLst>
            <a:ext uri="{FF2B5EF4-FFF2-40B4-BE49-F238E27FC236}">
              <a16:creationId xmlns:a16="http://schemas.microsoft.com/office/drawing/2014/main" id="{00000000-0008-0000-2000-0000E1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2" name="433 CuadroTexto">
          <a:extLst>
            <a:ext uri="{FF2B5EF4-FFF2-40B4-BE49-F238E27FC236}">
              <a16:creationId xmlns:a16="http://schemas.microsoft.com/office/drawing/2014/main" id="{00000000-0008-0000-2000-0000E2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3" name="434 CuadroTexto">
          <a:extLst>
            <a:ext uri="{FF2B5EF4-FFF2-40B4-BE49-F238E27FC236}">
              <a16:creationId xmlns:a16="http://schemas.microsoft.com/office/drawing/2014/main" id="{00000000-0008-0000-2000-0000E3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4" name="435 CuadroTexto">
          <a:extLst>
            <a:ext uri="{FF2B5EF4-FFF2-40B4-BE49-F238E27FC236}">
              <a16:creationId xmlns:a16="http://schemas.microsoft.com/office/drawing/2014/main" id="{00000000-0008-0000-2000-0000E4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5" name="436 CuadroTexto">
          <a:extLst>
            <a:ext uri="{FF2B5EF4-FFF2-40B4-BE49-F238E27FC236}">
              <a16:creationId xmlns:a16="http://schemas.microsoft.com/office/drawing/2014/main" id="{00000000-0008-0000-2000-0000E5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6" name="437 CuadroTexto">
          <a:extLst>
            <a:ext uri="{FF2B5EF4-FFF2-40B4-BE49-F238E27FC236}">
              <a16:creationId xmlns:a16="http://schemas.microsoft.com/office/drawing/2014/main" id="{00000000-0008-0000-2000-0000E6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7" name="438 CuadroTexto">
          <a:extLst>
            <a:ext uri="{FF2B5EF4-FFF2-40B4-BE49-F238E27FC236}">
              <a16:creationId xmlns:a16="http://schemas.microsoft.com/office/drawing/2014/main" id="{00000000-0008-0000-2000-0000E7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8" name="439 CuadroTexto">
          <a:extLst>
            <a:ext uri="{FF2B5EF4-FFF2-40B4-BE49-F238E27FC236}">
              <a16:creationId xmlns:a16="http://schemas.microsoft.com/office/drawing/2014/main" id="{00000000-0008-0000-2000-0000E8100000}"/>
            </a:ext>
          </a:extLst>
        </xdr:cNvPr>
        <xdr:cNvSpPr txBox="1"/>
      </xdr:nvSpPr>
      <xdr:spPr>
        <a:xfrm>
          <a:off x="10791825"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29" name="440 CuadroTexto">
          <a:extLst>
            <a:ext uri="{FF2B5EF4-FFF2-40B4-BE49-F238E27FC236}">
              <a16:creationId xmlns:a16="http://schemas.microsoft.com/office/drawing/2014/main" id="{00000000-0008-0000-2000-0000E9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0" name="441 CuadroTexto">
          <a:extLst>
            <a:ext uri="{FF2B5EF4-FFF2-40B4-BE49-F238E27FC236}">
              <a16:creationId xmlns:a16="http://schemas.microsoft.com/office/drawing/2014/main" id="{00000000-0008-0000-2000-0000EA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1" name="442 CuadroTexto">
          <a:extLst>
            <a:ext uri="{FF2B5EF4-FFF2-40B4-BE49-F238E27FC236}">
              <a16:creationId xmlns:a16="http://schemas.microsoft.com/office/drawing/2014/main" id="{00000000-0008-0000-2000-0000EB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2" name="443 CuadroTexto">
          <a:extLst>
            <a:ext uri="{FF2B5EF4-FFF2-40B4-BE49-F238E27FC236}">
              <a16:creationId xmlns:a16="http://schemas.microsoft.com/office/drawing/2014/main" id="{00000000-0008-0000-2000-0000EC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3" name="444 CuadroTexto">
          <a:extLst>
            <a:ext uri="{FF2B5EF4-FFF2-40B4-BE49-F238E27FC236}">
              <a16:creationId xmlns:a16="http://schemas.microsoft.com/office/drawing/2014/main" id="{00000000-0008-0000-2000-0000ED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4" name="445 CuadroTexto">
          <a:extLst>
            <a:ext uri="{FF2B5EF4-FFF2-40B4-BE49-F238E27FC236}">
              <a16:creationId xmlns:a16="http://schemas.microsoft.com/office/drawing/2014/main" id="{00000000-0008-0000-2000-0000EE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5" name="446 CuadroTexto">
          <a:extLst>
            <a:ext uri="{FF2B5EF4-FFF2-40B4-BE49-F238E27FC236}">
              <a16:creationId xmlns:a16="http://schemas.microsoft.com/office/drawing/2014/main" id="{00000000-0008-0000-2000-0000EF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6" name="447 CuadroTexto">
          <a:extLst>
            <a:ext uri="{FF2B5EF4-FFF2-40B4-BE49-F238E27FC236}">
              <a16:creationId xmlns:a16="http://schemas.microsoft.com/office/drawing/2014/main" id="{00000000-0008-0000-2000-0000F0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7" name="448 CuadroTexto">
          <a:extLst>
            <a:ext uri="{FF2B5EF4-FFF2-40B4-BE49-F238E27FC236}">
              <a16:creationId xmlns:a16="http://schemas.microsoft.com/office/drawing/2014/main" id="{00000000-0008-0000-2000-0000F1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8" name="449 CuadroTexto">
          <a:extLst>
            <a:ext uri="{FF2B5EF4-FFF2-40B4-BE49-F238E27FC236}">
              <a16:creationId xmlns:a16="http://schemas.microsoft.com/office/drawing/2014/main" id="{00000000-0008-0000-2000-0000F2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9" name="450 CuadroTexto">
          <a:extLst>
            <a:ext uri="{FF2B5EF4-FFF2-40B4-BE49-F238E27FC236}">
              <a16:creationId xmlns:a16="http://schemas.microsoft.com/office/drawing/2014/main" id="{00000000-0008-0000-2000-0000F3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0" name="451 CuadroTexto">
          <a:extLst>
            <a:ext uri="{FF2B5EF4-FFF2-40B4-BE49-F238E27FC236}">
              <a16:creationId xmlns:a16="http://schemas.microsoft.com/office/drawing/2014/main" id="{00000000-0008-0000-2000-0000F410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41" name="17 CuadroTexto">
          <a:extLst>
            <a:ext uri="{FF2B5EF4-FFF2-40B4-BE49-F238E27FC236}">
              <a16:creationId xmlns:a16="http://schemas.microsoft.com/office/drawing/2014/main" id="{00000000-0008-0000-2000-0000F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342" name="90 CuadroTexto">
          <a:extLst>
            <a:ext uri="{FF2B5EF4-FFF2-40B4-BE49-F238E27FC236}">
              <a16:creationId xmlns:a16="http://schemas.microsoft.com/office/drawing/2014/main" id="{00000000-0008-0000-2000-0000F6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3" name="91 CuadroTexto">
          <a:extLst>
            <a:ext uri="{FF2B5EF4-FFF2-40B4-BE49-F238E27FC236}">
              <a16:creationId xmlns:a16="http://schemas.microsoft.com/office/drawing/2014/main" id="{00000000-0008-0000-2000-0000F7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4" name="92 CuadroTexto">
          <a:extLst>
            <a:ext uri="{FF2B5EF4-FFF2-40B4-BE49-F238E27FC236}">
              <a16:creationId xmlns:a16="http://schemas.microsoft.com/office/drawing/2014/main" id="{00000000-0008-0000-2000-0000F8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5" name="93 CuadroTexto">
          <a:extLst>
            <a:ext uri="{FF2B5EF4-FFF2-40B4-BE49-F238E27FC236}">
              <a16:creationId xmlns:a16="http://schemas.microsoft.com/office/drawing/2014/main" id="{00000000-0008-0000-2000-0000F9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6" name="94 CuadroTexto">
          <a:extLst>
            <a:ext uri="{FF2B5EF4-FFF2-40B4-BE49-F238E27FC236}">
              <a16:creationId xmlns:a16="http://schemas.microsoft.com/office/drawing/2014/main" id="{00000000-0008-0000-2000-0000FA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7" name="95 CuadroTexto">
          <a:extLst>
            <a:ext uri="{FF2B5EF4-FFF2-40B4-BE49-F238E27FC236}">
              <a16:creationId xmlns:a16="http://schemas.microsoft.com/office/drawing/2014/main" id="{00000000-0008-0000-2000-0000FB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8" name="96 CuadroTexto">
          <a:extLst>
            <a:ext uri="{FF2B5EF4-FFF2-40B4-BE49-F238E27FC236}">
              <a16:creationId xmlns:a16="http://schemas.microsoft.com/office/drawing/2014/main" id="{00000000-0008-0000-2000-0000FC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9" name="97 CuadroTexto">
          <a:extLst>
            <a:ext uri="{FF2B5EF4-FFF2-40B4-BE49-F238E27FC236}">
              <a16:creationId xmlns:a16="http://schemas.microsoft.com/office/drawing/2014/main" id="{00000000-0008-0000-2000-0000FD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0" name="98 CuadroTexto">
          <a:extLst>
            <a:ext uri="{FF2B5EF4-FFF2-40B4-BE49-F238E27FC236}">
              <a16:creationId xmlns:a16="http://schemas.microsoft.com/office/drawing/2014/main" id="{00000000-0008-0000-2000-0000FE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1" name="99 CuadroTexto">
          <a:extLst>
            <a:ext uri="{FF2B5EF4-FFF2-40B4-BE49-F238E27FC236}">
              <a16:creationId xmlns:a16="http://schemas.microsoft.com/office/drawing/2014/main" id="{00000000-0008-0000-2000-0000FF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2" name="100 CuadroTexto">
          <a:extLst>
            <a:ext uri="{FF2B5EF4-FFF2-40B4-BE49-F238E27FC236}">
              <a16:creationId xmlns:a16="http://schemas.microsoft.com/office/drawing/2014/main" id="{00000000-0008-0000-2000-00000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3" name="101 CuadroTexto">
          <a:extLst>
            <a:ext uri="{FF2B5EF4-FFF2-40B4-BE49-F238E27FC236}">
              <a16:creationId xmlns:a16="http://schemas.microsoft.com/office/drawing/2014/main" id="{00000000-0008-0000-2000-000001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354" name="118 CuadroTexto">
          <a:extLst>
            <a:ext uri="{FF2B5EF4-FFF2-40B4-BE49-F238E27FC236}">
              <a16:creationId xmlns:a16="http://schemas.microsoft.com/office/drawing/2014/main" id="{00000000-0008-0000-2000-00000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5" name="119 CuadroTexto">
          <a:extLst>
            <a:ext uri="{FF2B5EF4-FFF2-40B4-BE49-F238E27FC236}">
              <a16:creationId xmlns:a16="http://schemas.microsoft.com/office/drawing/2014/main" id="{00000000-0008-0000-2000-00000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6" name="120 CuadroTexto">
          <a:extLst>
            <a:ext uri="{FF2B5EF4-FFF2-40B4-BE49-F238E27FC236}">
              <a16:creationId xmlns:a16="http://schemas.microsoft.com/office/drawing/2014/main" id="{00000000-0008-0000-2000-00000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7" name="121 CuadroTexto">
          <a:extLst>
            <a:ext uri="{FF2B5EF4-FFF2-40B4-BE49-F238E27FC236}">
              <a16:creationId xmlns:a16="http://schemas.microsoft.com/office/drawing/2014/main" id="{00000000-0008-0000-2000-00000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8" name="122 CuadroTexto">
          <a:extLst>
            <a:ext uri="{FF2B5EF4-FFF2-40B4-BE49-F238E27FC236}">
              <a16:creationId xmlns:a16="http://schemas.microsoft.com/office/drawing/2014/main" id="{00000000-0008-0000-2000-00000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9" name="123 CuadroTexto">
          <a:extLst>
            <a:ext uri="{FF2B5EF4-FFF2-40B4-BE49-F238E27FC236}">
              <a16:creationId xmlns:a16="http://schemas.microsoft.com/office/drawing/2014/main" id="{00000000-0008-0000-2000-00000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0" name="124 CuadroTexto">
          <a:extLst>
            <a:ext uri="{FF2B5EF4-FFF2-40B4-BE49-F238E27FC236}">
              <a16:creationId xmlns:a16="http://schemas.microsoft.com/office/drawing/2014/main" id="{00000000-0008-0000-2000-00000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1" name="125 CuadroTexto">
          <a:extLst>
            <a:ext uri="{FF2B5EF4-FFF2-40B4-BE49-F238E27FC236}">
              <a16:creationId xmlns:a16="http://schemas.microsoft.com/office/drawing/2014/main" id="{00000000-0008-0000-2000-00000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2" name="143 CuadroTexto">
          <a:extLst>
            <a:ext uri="{FF2B5EF4-FFF2-40B4-BE49-F238E27FC236}">
              <a16:creationId xmlns:a16="http://schemas.microsoft.com/office/drawing/2014/main" id="{00000000-0008-0000-2000-00000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3" name="144 CuadroTexto">
          <a:extLst>
            <a:ext uri="{FF2B5EF4-FFF2-40B4-BE49-F238E27FC236}">
              <a16:creationId xmlns:a16="http://schemas.microsoft.com/office/drawing/2014/main" id="{00000000-0008-0000-2000-00000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4" name="145 CuadroTexto">
          <a:extLst>
            <a:ext uri="{FF2B5EF4-FFF2-40B4-BE49-F238E27FC236}">
              <a16:creationId xmlns:a16="http://schemas.microsoft.com/office/drawing/2014/main" id="{00000000-0008-0000-2000-00000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5" name="146 CuadroTexto">
          <a:extLst>
            <a:ext uri="{FF2B5EF4-FFF2-40B4-BE49-F238E27FC236}">
              <a16:creationId xmlns:a16="http://schemas.microsoft.com/office/drawing/2014/main" id="{00000000-0008-0000-2000-00000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6" name="147 CuadroTexto">
          <a:extLst>
            <a:ext uri="{FF2B5EF4-FFF2-40B4-BE49-F238E27FC236}">
              <a16:creationId xmlns:a16="http://schemas.microsoft.com/office/drawing/2014/main" id="{00000000-0008-0000-2000-00000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7" name="148 CuadroTexto">
          <a:extLst>
            <a:ext uri="{FF2B5EF4-FFF2-40B4-BE49-F238E27FC236}">
              <a16:creationId xmlns:a16="http://schemas.microsoft.com/office/drawing/2014/main" id="{00000000-0008-0000-2000-00000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8" name="149 CuadroTexto">
          <a:extLst>
            <a:ext uri="{FF2B5EF4-FFF2-40B4-BE49-F238E27FC236}">
              <a16:creationId xmlns:a16="http://schemas.microsoft.com/office/drawing/2014/main" id="{00000000-0008-0000-2000-00001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9" name="150 CuadroTexto">
          <a:extLst>
            <a:ext uri="{FF2B5EF4-FFF2-40B4-BE49-F238E27FC236}">
              <a16:creationId xmlns:a16="http://schemas.microsoft.com/office/drawing/2014/main" id="{00000000-0008-0000-2000-00001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0" name="151 CuadroTexto">
          <a:extLst>
            <a:ext uri="{FF2B5EF4-FFF2-40B4-BE49-F238E27FC236}">
              <a16:creationId xmlns:a16="http://schemas.microsoft.com/office/drawing/2014/main" id="{00000000-0008-0000-2000-00001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1" name="152 CuadroTexto">
          <a:extLst>
            <a:ext uri="{FF2B5EF4-FFF2-40B4-BE49-F238E27FC236}">
              <a16:creationId xmlns:a16="http://schemas.microsoft.com/office/drawing/2014/main" id="{00000000-0008-0000-2000-00001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2" name="153 CuadroTexto">
          <a:extLst>
            <a:ext uri="{FF2B5EF4-FFF2-40B4-BE49-F238E27FC236}">
              <a16:creationId xmlns:a16="http://schemas.microsoft.com/office/drawing/2014/main" id="{00000000-0008-0000-2000-00001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3" name="154 CuadroTexto">
          <a:extLst>
            <a:ext uri="{FF2B5EF4-FFF2-40B4-BE49-F238E27FC236}">
              <a16:creationId xmlns:a16="http://schemas.microsoft.com/office/drawing/2014/main" id="{00000000-0008-0000-2000-00001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4" name="155 CuadroTexto">
          <a:extLst>
            <a:ext uri="{FF2B5EF4-FFF2-40B4-BE49-F238E27FC236}">
              <a16:creationId xmlns:a16="http://schemas.microsoft.com/office/drawing/2014/main" id="{00000000-0008-0000-2000-00001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5" name="156 CuadroTexto">
          <a:extLst>
            <a:ext uri="{FF2B5EF4-FFF2-40B4-BE49-F238E27FC236}">
              <a16:creationId xmlns:a16="http://schemas.microsoft.com/office/drawing/2014/main" id="{00000000-0008-0000-2000-00001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6" name="157 CuadroTexto">
          <a:extLst>
            <a:ext uri="{FF2B5EF4-FFF2-40B4-BE49-F238E27FC236}">
              <a16:creationId xmlns:a16="http://schemas.microsoft.com/office/drawing/2014/main" id="{00000000-0008-0000-2000-00001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7" name="158 CuadroTexto">
          <a:extLst>
            <a:ext uri="{FF2B5EF4-FFF2-40B4-BE49-F238E27FC236}">
              <a16:creationId xmlns:a16="http://schemas.microsoft.com/office/drawing/2014/main" id="{00000000-0008-0000-2000-00001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8" name="159 CuadroTexto">
          <a:extLst>
            <a:ext uri="{FF2B5EF4-FFF2-40B4-BE49-F238E27FC236}">
              <a16:creationId xmlns:a16="http://schemas.microsoft.com/office/drawing/2014/main" id="{00000000-0008-0000-2000-00001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9" name="160 CuadroTexto">
          <a:extLst>
            <a:ext uri="{FF2B5EF4-FFF2-40B4-BE49-F238E27FC236}">
              <a16:creationId xmlns:a16="http://schemas.microsoft.com/office/drawing/2014/main" id="{00000000-0008-0000-2000-00001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0" name="161 CuadroTexto">
          <a:extLst>
            <a:ext uri="{FF2B5EF4-FFF2-40B4-BE49-F238E27FC236}">
              <a16:creationId xmlns:a16="http://schemas.microsoft.com/office/drawing/2014/main" id="{00000000-0008-0000-2000-00001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1" name="162 CuadroTexto">
          <a:extLst>
            <a:ext uri="{FF2B5EF4-FFF2-40B4-BE49-F238E27FC236}">
              <a16:creationId xmlns:a16="http://schemas.microsoft.com/office/drawing/2014/main" id="{00000000-0008-0000-2000-00001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2" name="163 CuadroTexto">
          <a:extLst>
            <a:ext uri="{FF2B5EF4-FFF2-40B4-BE49-F238E27FC236}">
              <a16:creationId xmlns:a16="http://schemas.microsoft.com/office/drawing/2014/main" id="{00000000-0008-0000-2000-00001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3" name="164 CuadroTexto">
          <a:extLst>
            <a:ext uri="{FF2B5EF4-FFF2-40B4-BE49-F238E27FC236}">
              <a16:creationId xmlns:a16="http://schemas.microsoft.com/office/drawing/2014/main" id="{00000000-0008-0000-2000-00001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4" name="165 CuadroTexto">
          <a:extLst>
            <a:ext uri="{FF2B5EF4-FFF2-40B4-BE49-F238E27FC236}">
              <a16:creationId xmlns:a16="http://schemas.microsoft.com/office/drawing/2014/main" id="{00000000-0008-0000-2000-00002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5" name="166 CuadroTexto">
          <a:extLst>
            <a:ext uri="{FF2B5EF4-FFF2-40B4-BE49-F238E27FC236}">
              <a16:creationId xmlns:a16="http://schemas.microsoft.com/office/drawing/2014/main" id="{00000000-0008-0000-2000-00002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6" name="167 CuadroTexto">
          <a:extLst>
            <a:ext uri="{FF2B5EF4-FFF2-40B4-BE49-F238E27FC236}">
              <a16:creationId xmlns:a16="http://schemas.microsoft.com/office/drawing/2014/main" id="{00000000-0008-0000-2000-00002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7" name="168 CuadroTexto">
          <a:extLst>
            <a:ext uri="{FF2B5EF4-FFF2-40B4-BE49-F238E27FC236}">
              <a16:creationId xmlns:a16="http://schemas.microsoft.com/office/drawing/2014/main" id="{00000000-0008-0000-2000-00002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8" name="169 CuadroTexto">
          <a:extLst>
            <a:ext uri="{FF2B5EF4-FFF2-40B4-BE49-F238E27FC236}">
              <a16:creationId xmlns:a16="http://schemas.microsoft.com/office/drawing/2014/main" id="{00000000-0008-0000-2000-00002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9" name="170 CuadroTexto">
          <a:extLst>
            <a:ext uri="{FF2B5EF4-FFF2-40B4-BE49-F238E27FC236}">
              <a16:creationId xmlns:a16="http://schemas.microsoft.com/office/drawing/2014/main" id="{00000000-0008-0000-2000-00002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0" name="171 CuadroTexto">
          <a:extLst>
            <a:ext uri="{FF2B5EF4-FFF2-40B4-BE49-F238E27FC236}">
              <a16:creationId xmlns:a16="http://schemas.microsoft.com/office/drawing/2014/main" id="{00000000-0008-0000-2000-00002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1" name="172 CuadroTexto">
          <a:extLst>
            <a:ext uri="{FF2B5EF4-FFF2-40B4-BE49-F238E27FC236}">
              <a16:creationId xmlns:a16="http://schemas.microsoft.com/office/drawing/2014/main" id="{00000000-0008-0000-2000-00002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2" name="173 CuadroTexto">
          <a:extLst>
            <a:ext uri="{FF2B5EF4-FFF2-40B4-BE49-F238E27FC236}">
              <a16:creationId xmlns:a16="http://schemas.microsoft.com/office/drawing/2014/main" id="{00000000-0008-0000-2000-00002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3" name="174 CuadroTexto">
          <a:extLst>
            <a:ext uri="{FF2B5EF4-FFF2-40B4-BE49-F238E27FC236}">
              <a16:creationId xmlns:a16="http://schemas.microsoft.com/office/drawing/2014/main" id="{00000000-0008-0000-2000-00002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4" name="175 CuadroTexto">
          <a:extLst>
            <a:ext uri="{FF2B5EF4-FFF2-40B4-BE49-F238E27FC236}">
              <a16:creationId xmlns:a16="http://schemas.microsoft.com/office/drawing/2014/main" id="{00000000-0008-0000-2000-00002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5" name="176 CuadroTexto">
          <a:extLst>
            <a:ext uri="{FF2B5EF4-FFF2-40B4-BE49-F238E27FC236}">
              <a16:creationId xmlns:a16="http://schemas.microsoft.com/office/drawing/2014/main" id="{00000000-0008-0000-2000-00002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6" name="177 CuadroTexto">
          <a:extLst>
            <a:ext uri="{FF2B5EF4-FFF2-40B4-BE49-F238E27FC236}">
              <a16:creationId xmlns:a16="http://schemas.microsoft.com/office/drawing/2014/main" id="{00000000-0008-0000-2000-00002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7" name="178 CuadroTexto">
          <a:extLst>
            <a:ext uri="{FF2B5EF4-FFF2-40B4-BE49-F238E27FC236}">
              <a16:creationId xmlns:a16="http://schemas.microsoft.com/office/drawing/2014/main" id="{00000000-0008-0000-2000-00002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8" name="179 CuadroTexto">
          <a:extLst>
            <a:ext uri="{FF2B5EF4-FFF2-40B4-BE49-F238E27FC236}">
              <a16:creationId xmlns:a16="http://schemas.microsoft.com/office/drawing/2014/main" id="{00000000-0008-0000-2000-00002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9" name="180 CuadroTexto">
          <a:extLst>
            <a:ext uri="{FF2B5EF4-FFF2-40B4-BE49-F238E27FC236}">
              <a16:creationId xmlns:a16="http://schemas.microsoft.com/office/drawing/2014/main" id="{00000000-0008-0000-2000-00002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0" name="181 CuadroTexto">
          <a:extLst>
            <a:ext uri="{FF2B5EF4-FFF2-40B4-BE49-F238E27FC236}">
              <a16:creationId xmlns:a16="http://schemas.microsoft.com/office/drawing/2014/main" id="{00000000-0008-0000-2000-00003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1" name="182 CuadroTexto">
          <a:extLst>
            <a:ext uri="{FF2B5EF4-FFF2-40B4-BE49-F238E27FC236}">
              <a16:creationId xmlns:a16="http://schemas.microsoft.com/office/drawing/2014/main" id="{00000000-0008-0000-2000-00003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2" name="183 CuadroTexto">
          <a:extLst>
            <a:ext uri="{FF2B5EF4-FFF2-40B4-BE49-F238E27FC236}">
              <a16:creationId xmlns:a16="http://schemas.microsoft.com/office/drawing/2014/main" id="{00000000-0008-0000-2000-00003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3" name="184 CuadroTexto">
          <a:extLst>
            <a:ext uri="{FF2B5EF4-FFF2-40B4-BE49-F238E27FC236}">
              <a16:creationId xmlns:a16="http://schemas.microsoft.com/office/drawing/2014/main" id="{00000000-0008-0000-2000-00003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4" name="185 CuadroTexto">
          <a:extLst>
            <a:ext uri="{FF2B5EF4-FFF2-40B4-BE49-F238E27FC236}">
              <a16:creationId xmlns:a16="http://schemas.microsoft.com/office/drawing/2014/main" id="{00000000-0008-0000-2000-00003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5" name="186 CuadroTexto">
          <a:extLst>
            <a:ext uri="{FF2B5EF4-FFF2-40B4-BE49-F238E27FC236}">
              <a16:creationId xmlns:a16="http://schemas.microsoft.com/office/drawing/2014/main" id="{00000000-0008-0000-2000-00003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6" name="187 CuadroTexto">
          <a:extLst>
            <a:ext uri="{FF2B5EF4-FFF2-40B4-BE49-F238E27FC236}">
              <a16:creationId xmlns:a16="http://schemas.microsoft.com/office/drawing/2014/main" id="{00000000-0008-0000-2000-00003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7" name="188 CuadroTexto">
          <a:extLst>
            <a:ext uri="{FF2B5EF4-FFF2-40B4-BE49-F238E27FC236}">
              <a16:creationId xmlns:a16="http://schemas.microsoft.com/office/drawing/2014/main" id="{00000000-0008-0000-2000-00003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8" name="189 CuadroTexto">
          <a:extLst>
            <a:ext uri="{FF2B5EF4-FFF2-40B4-BE49-F238E27FC236}">
              <a16:creationId xmlns:a16="http://schemas.microsoft.com/office/drawing/2014/main" id="{00000000-0008-0000-2000-00003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9" name="190 CuadroTexto">
          <a:extLst>
            <a:ext uri="{FF2B5EF4-FFF2-40B4-BE49-F238E27FC236}">
              <a16:creationId xmlns:a16="http://schemas.microsoft.com/office/drawing/2014/main" id="{00000000-0008-0000-2000-00003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0" name="191 CuadroTexto">
          <a:extLst>
            <a:ext uri="{FF2B5EF4-FFF2-40B4-BE49-F238E27FC236}">
              <a16:creationId xmlns:a16="http://schemas.microsoft.com/office/drawing/2014/main" id="{00000000-0008-0000-2000-00003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1" name="192 CuadroTexto">
          <a:extLst>
            <a:ext uri="{FF2B5EF4-FFF2-40B4-BE49-F238E27FC236}">
              <a16:creationId xmlns:a16="http://schemas.microsoft.com/office/drawing/2014/main" id="{00000000-0008-0000-2000-00003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2" name="193 CuadroTexto">
          <a:extLst>
            <a:ext uri="{FF2B5EF4-FFF2-40B4-BE49-F238E27FC236}">
              <a16:creationId xmlns:a16="http://schemas.microsoft.com/office/drawing/2014/main" id="{00000000-0008-0000-2000-00003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3" name="194 CuadroTexto">
          <a:extLst>
            <a:ext uri="{FF2B5EF4-FFF2-40B4-BE49-F238E27FC236}">
              <a16:creationId xmlns:a16="http://schemas.microsoft.com/office/drawing/2014/main" id="{00000000-0008-0000-2000-00003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4" name="195 CuadroTexto">
          <a:extLst>
            <a:ext uri="{FF2B5EF4-FFF2-40B4-BE49-F238E27FC236}">
              <a16:creationId xmlns:a16="http://schemas.microsoft.com/office/drawing/2014/main" id="{00000000-0008-0000-2000-00003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5" name="196 CuadroTexto">
          <a:extLst>
            <a:ext uri="{FF2B5EF4-FFF2-40B4-BE49-F238E27FC236}">
              <a16:creationId xmlns:a16="http://schemas.microsoft.com/office/drawing/2014/main" id="{00000000-0008-0000-2000-00003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6" name="197 CuadroTexto">
          <a:extLst>
            <a:ext uri="{FF2B5EF4-FFF2-40B4-BE49-F238E27FC236}">
              <a16:creationId xmlns:a16="http://schemas.microsoft.com/office/drawing/2014/main" id="{00000000-0008-0000-2000-00004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7" name="198 CuadroTexto">
          <a:extLst>
            <a:ext uri="{FF2B5EF4-FFF2-40B4-BE49-F238E27FC236}">
              <a16:creationId xmlns:a16="http://schemas.microsoft.com/office/drawing/2014/main" id="{00000000-0008-0000-2000-00004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8" name="199 CuadroTexto">
          <a:extLst>
            <a:ext uri="{FF2B5EF4-FFF2-40B4-BE49-F238E27FC236}">
              <a16:creationId xmlns:a16="http://schemas.microsoft.com/office/drawing/2014/main" id="{00000000-0008-0000-2000-00004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9" name="200 CuadroTexto">
          <a:extLst>
            <a:ext uri="{FF2B5EF4-FFF2-40B4-BE49-F238E27FC236}">
              <a16:creationId xmlns:a16="http://schemas.microsoft.com/office/drawing/2014/main" id="{00000000-0008-0000-2000-00004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0" name="201 CuadroTexto">
          <a:extLst>
            <a:ext uri="{FF2B5EF4-FFF2-40B4-BE49-F238E27FC236}">
              <a16:creationId xmlns:a16="http://schemas.microsoft.com/office/drawing/2014/main" id="{00000000-0008-0000-2000-00004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1" name="202 CuadroTexto">
          <a:extLst>
            <a:ext uri="{FF2B5EF4-FFF2-40B4-BE49-F238E27FC236}">
              <a16:creationId xmlns:a16="http://schemas.microsoft.com/office/drawing/2014/main" id="{00000000-0008-0000-2000-00004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2" name="203 CuadroTexto">
          <a:extLst>
            <a:ext uri="{FF2B5EF4-FFF2-40B4-BE49-F238E27FC236}">
              <a16:creationId xmlns:a16="http://schemas.microsoft.com/office/drawing/2014/main" id="{00000000-0008-0000-2000-00004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3" name="204 CuadroTexto">
          <a:extLst>
            <a:ext uri="{FF2B5EF4-FFF2-40B4-BE49-F238E27FC236}">
              <a16:creationId xmlns:a16="http://schemas.microsoft.com/office/drawing/2014/main" id="{00000000-0008-0000-2000-00004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4" name="205 CuadroTexto">
          <a:extLst>
            <a:ext uri="{FF2B5EF4-FFF2-40B4-BE49-F238E27FC236}">
              <a16:creationId xmlns:a16="http://schemas.microsoft.com/office/drawing/2014/main" id="{00000000-0008-0000-2000-00004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5" name="206 CuadroTexto">
          <a:extLst>
            <a:ext uri="{FF2B5EF4-FFF2-40B4-BE49-F238E27FC236}">
              <a16:creationId xmlns:a16="http://schemas.microsoft.com/office/drawing/2014/main" id="{00000000-0008-0000-2000-00004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6" name="207 CuadroTexto">
          <a:extLst>
            <a:ext uri="{FF2B5EF4-FFF2-40B4-BE49-F238E27FC236}">
              <a16:creationId xmlns:a16="http://schemas.microsoft.com/office/drawing/2014/main" id="{00000000-0008-0000-2000-00004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7" name="208 CuadroTexto">
          <a:extLst>
            <a:ext uri="{FF2B5EF4-FFF2-40B4-BE49-F238E27FC236}">
              <a16:creationId xmlns:a16="http://schemas.microsoft.com/office/drawing/2014/main" id="{00000000-0008-0000-2000-00004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8" name="209 CuadroTexto">
          <a:extLst>
            <a:ext uri="{FF2B5EF4-FFF2-40B4-BE49-F238E27FC236}">
              <a16:creationId xmlns:a16="http://schemas.microsoft.com/office/drawing/2014/main" id="{00000000-0008-0000-2000-00004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9" name="210 CuadroTexto">
          <a:extLst>
            <a:ext uri="{FF2B5EF4-FFF2-40B4-BE49-F238E27FC236}">
              <a16:creationId xmlns:a16="http://schemas.microsoft.com/office/drawing/2014/main" id="{00000000-0008-0000-2000-00004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0" name="211 CuadroTexto">
          <a:extLst>
            <a:ext uri="{FF2B5EF4-FFF2-40B4-BE49-F238E27FC236}">
              <a16:creationId xmlns:a16="http://schemas.microsoft.com/office/drawing/2014/main" id="{00000000-0008-0000-2000-00004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1" name="212 CuadroTexto">
          <a:extLst>
            <a:ext uri="{FF2B5EF4-FFF2-40B4-BE49-F238E27FC236}">
              <a16:creationId xmlns:a16="http://schemas.microsoft.com/office/drawing/2014/main" id="{00000000-0008-0000-2000-00004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2" name="213 CuadroTexto">
          <a:extLst>
            <a:ext uri="{FF2B5EF4-FFF2-40B4-BE49-F238E27FC236}">
              <a16:creationId xmlns:a16="http://schemas.microsoft.com/office/drawing/2014/main" id="{00000000-0008-0000-2000-00005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3" name="214 CuadroTexto">
          <a:extLst>
            <a:ext uri="{FF2B5EF4-FFF2-40B4-BE49-F238E27FC236}">
              <a16:creationId xmlns:a16="http://schemas.microsoft.com/office/drawing/2014/main" id="{00000000-0008-0000-2000-00005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4" name="215 CuadroTexto">
          <a:extLst>
            <a:ext uri="{FF2B5EF4-FFF2-40B4-BE49-F238E27FC236}">
              <a16:creationId xmlns:a16="http://schemas.microsoft.com/office/drawing/2014/main" id="{00000000-0008-0000-2000-00005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5" name="216 CuadroTexto">
          <a:extLst>
            <a:ext uri="{FF2B5EF4-FFF2-40B4-BE49-F238E27FC236}">
              <a16:creationId xmlns:a16="http://schemas.microsoft.com/office/drawing/2014/main" id="{00000000-0008-0000-2000-00005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6" name="217 CuadroTexto">
          <a:extLst>
            <a:ext uri="{FF2B5EF4-FFF2-40B4-BE49-F238E27FC236}">
              <a16:creationId xmlns:a16="http://schemas.microsoft.com/office/drawing/2014/main" id="{00000000-0008-0000-2000-00005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7" name="218 CuadroTexto">
          <a:extLst>
            <a:ext uri="{FF2B5EF4-FFF2-40B4-BE49-F238E27FC236}">
              <a16:creationId xmlns:a16="http://schemas.microsoft.com/office/drawing/2014/main" id="{00000000-0008-0000-2000-00005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8" name="219 CuadroTexto">
          <a:extLst>
            <a:ext uri="{FF2B5EF4-FFF2-40B4-BE49-F238E27FC236}">
              <a16:creationId xmlns:a16="http://schemas.microsoft.com/office/drawing/2014/main" id="{00000000-0008-0000-2000-00005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9" name="220 CuadroTexto">
          <a:extLst>
            <a:ext uri="{FF2B5EF4-FFF2-40B4-BE49-F238E27FC236}">
              <a16:creationId xmlns:a16="http://schemas.microsoft.com/office/drawing/2014/main" id="{00000000-0008-0000-2000-00005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0" name="221 CuadroTexto">
          <a:extLst>
            <a:ext uri="{FF2B5EF4-FFF2-40B4-BE49-F238E27FC236}">
              <a16:creationId xmlns:a16="http://schemas.microsoft.com/office/drawing/2014/main" id="{00000000-0008-0000-2000-00005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1" name="222 CuadroTexto">
          <a:extLst>
            <a:ext uri="{FF2B5EF4-FFF2-40B4-BE49-F238E27FC236}">
              <a16:creationId xmlns:a16="http://schemas.microsoft.com/office/drawing/2014/main" id="{00000000-0008-0000-2000-00005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2" name="223 CuadroTexto">
          <a:extLst>
            <a:ext uri="{FF2B5EF4-FFF2-40B4-BE49-F238E27FC236}">
              <a16:creationId xmlns:a16="http://schemas.microsoft.com/office/drawing/2014/main" id="{00000000-0008-0000-2000-00005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3" name="224 CuadroTexto">
          <a:extLst>
            <a:ext uri="{FF2B5EF4-FFF2-40B4-BE49-F238E27FC236}">
              <a16:creationId xmlns:a16="http://schemas.microsoft.com/office/drawing/2014/main" id="{00000000-0008-0000-2000-00005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4" name="225 CuadroTexto">
          <a:extLst>
            <a:ext uri="{FF2B5EF4-FFF2-40B4-BE49-F238E27FC236}">
              <a16:creationId xmlns:a16="http://schemas.microsoft.com/office/drawing/2014/main" id="{00000000-0008-0000-2000-00005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5" name="226 CuadroTexto">
          <a:extLst>
            <a:ext uri="{FF2B5EF4-FFF2-40B4-BE49-F238E27FC236}">
              <a16:creationId xmlns:a16="http://schemas.microsoft.com/office/drawing/2014/main" id="{00000000-0008-0000-2000-00005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6" name="227 CuadroTexto">
          <a:extLst>
            <a:ext uri="{FF2B5EF4-FFF2-40B4-BE49-F238E27FC236}">
              <a16:creationId xmlns:a16="http://schemas.microsoft.com/office/drawing/2014/main" id="{00000000-0008-0000-2000-00005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7" name="228 CuadroTexto">
          <a:extLst>
            <a:ext uri="{FF2B5EF4-FFF2-40B4-BE49-F238E27FC236}">
              <a16:creationId xmlns:a16="http://schemas.microsoft.com/office/drawing/2014/main" id="{00000000-0008-0000-2000-00005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8" name="229 CuadroTexto">
          <a:extLst>
            <a:ext uri="{FF2B5EF4-FFF2-40B4-BE49-F238E27FC236}">
              <a16:creationId xmlns:a16="http://schemas.microsoft.com/office/drawing/2014/main" id="{00000000-0008-0000-2000-00006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9" name="230 CuadroTexto">
          <a:extLst>
            <a:ext uri="{FF2B5EF4-FFF2-40B4-BE49-F238E27FC236}">
              <a16:creationId xmlns:a16="http://schemas.microsoft.com/office/drawing/2014/main" id="{00000000-0008-0000-2000-00006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0" name="231 CuadroTexto">
          <a:extLst>
            <a:ext uri="{FF2B5EF4-FFF2-40B4-BE49-F238E27FC236}">
              <a16:creationId xmlns:a16="http://schemas.microsoft.com/office/drawing/2014/main" id="{00000000-0008-0000-2000-00006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1" name="232 CuadroTexto">
          <a:extLst>
            <a:ext uri="{FF2B5EF4-FFF2-40B4-BE49-F238E27FC236}">
              <a16:creationId xmlns:a16="http://schemas.microsoft.com/office/drawing/2014/main" id="{00000000-0008-0000-2000-00006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2" name="233 CuadroTexto">
          <a:extLst>
            <a:ext uri="{FF2B5EF4-FFF2-40B4-BE49-F238E27FC236}">
              <a16:creationId xmlns:a16="http://schemas.microsoft.com/office/drawing/2014/main" id="{00000000-0008-0000-2000-00006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3" name="234 CuadroTexto">
          <a:extLst>
            <a:ext uri="{FF2B5EF4-FFF2-40B4-BE49-F238E27FC236}">
              <a16:creationId xmlns:a16="http://schemas.microsoft.com/office/drawing/2014/main" id="{00000000-0008-0000-2000-00006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4" name="235 CuadroTexto">
          <a:extLst>
            <a:ext uri="{FF2B5EF4-FFF2-40B4-BE49-F238E27FC236}">
              <a16:creationId xmlns:a16="http://schemas.microsoft.com/office/drawing/2014/main" id="{00000000-0008-0000-2000-00006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5" name="236 CuadroTexto">
          <a:extLst>
            <a:ext uri="{FF2B5EF4-FFF2-40B4-BE49-F238E27FC236}">
              <a16:creationId xmlns:a16="http://schemas.microsoft.com/office/drawing/2014/main" id="{00000000-0008-0000-2000-00006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6" name="237 CuadroTexto">
          <a:extLst>
            <a:ext uri="{FF2B5EF4-FFF2-40B4-BE49-F238E27FC236}">
              <a16:creationId xmlns:a16="http://schemas.microsoft.com/office/drawing/2014/main" id="{00000000-0008-0000-2000-00006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7" name="238 CuadroTexto">
          <a:extLst>
            <a:ext uri="{FF2B5EF4-FFF2-40B4-BE49-F238E27FC236}">
              <a16:creationId xmlns:a16="http://schemas.microsoft.com/office/drawing/2014/main" id="{00000000-0008-0000-2000-00006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8" name="239 CuadroTexto">
          <a:extLst>
            <a:ext uri="{FF2B5EF4-FFF2-40B4-BE49-F238E27FC236}">
              <a16:creationId xmlns:a16="http://schemas.microsoft.com/office/drawing/2014/main" id="{00000000-0008-0000-2000-00006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9" name="240 CuadroTexto">
          <a:extLst>
            <a:ext uri="{FF2B5EF4-FFF2-40B4-BE49-F238E27FC236}">
              <a16:creationId xmlns:a16="http://schemas.microsoft.com/office/drawing/2014/main" id="{00000000-0008-0000-2000-00006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0" name="241 CuadroTexto">
          <a:extLst>
            <a:ext uri="{FF2B5EF4-FFF2-40B4-BE49-F238E27FC236}">
              <a16:creationId xmlns:a16="http://schemas.microsoft.com/office/drawing/2014/main" id="{00000000-0008-0000-2000-00006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1" name="242 CuadroTexto">
          <a:extLst>
            <a:ext uri="{FF2B5EF4-FFF2-40B4-BE49-F238E27FC236}">
              <a16:creationId xmlns:a16="http://schemas.microsoft.com/office/drawing/2014/main" id="{00000000-0008-0000-2000-00006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2" name="243 CuadroTexto">
          <a:extLst>
            <a:ext uri="{FF2B5EF4-FFF2-40B4-BE49-F238E27FC236}">
              <a16:creationId xmlns:a16="http://schemas.microsoft.com/office/drawing/2014/main" id="{00000000-0008-0000-2000-00006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3" name="244 CuadroTexto">
          <a:extLst>
            <a:ext uri="{FF2B5EF4-FFF2-40B4-BE49-F238E27FC236}">
              <a16:creationId xmlns:a16="http://schemas.microsoft.com/office/drawing/2014/main" id="{00000000-0008-0000-2000-00006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4" name="245 CuadroTexto">
          <a:extLst>
            <a:ext uri="{FF2B5EF4-FFF2-40B4-BE49-F238E27FC236}">
              <a16:creationId xmlns:a16="http://schemas.microsoft.com/office/drawing/2014/main" id="{00000000-0008-0000-2000-00007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5" name="246 CuadroTexto">
          <a:extLst>
            <a:ext uri="{FF2B5EF4-FFF2-40B4-BE49-F238E27FC236}">
              <a16:creationId xmlns:a16="http://schemas.microsoft.com/office/drawing/2014/main" id="{00000000-0008-0000-2000-00007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6" name="247 CuadroTexto">
          <a:extLst>
            <a:ext uri="{FF2B5EF4-FFF2-40B4-BE49-F238E27FC236}">
              <a16:creationId xmlns:a16="http://schemas.microsoft.com/office/drawing/2014/main" id="{00000000-0008-0000-2000-00007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7" name="248 CuadroTexto">
          <a:extLst>
            <a:ext uri="{FF2B5EF4-FFF2-40B4-BE49-F238E27FC236}">
              <a16:creationId xmlns:a16="http://schemas.microsoft.com/office/drawing/2014/main" id="{00000000-0008-0000-2000-00007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8" name="249 CuadroTexto">
          <a:extLst>
            <a:ext uri="{FF2B5EF4-FFF2-40B4-BE49-F238E27FC236}">
              <a16:creationId xmlns:a16="http://schemas.microsoft.com/office/drawing/2014/main" id="{00000000-0008-0000-2000-00007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9" name="250 CuadroTexto">
          <a:extLst>
            <a:ext uri="{FF2B5EF4-FFF2-40B4-BE49-F238E27FC236}">
              <a16:creationId xmlns:a16="http://schemas.microsoft.com/office/drawing/2014/main" id="{00000000-0008-0000-2000-00007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0" name="251 CuadroTexto">
          <a:extLst>
            <a:ext uri="{FF2B5EF4-FFF2-40B4-BE49-F238E27FC236}">
              <a16:creationId xmlns:a16="http://schemas.microsoft.com/office/drawing/2014/main" id="{00000000-0008-0000-2000-00007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1" name="252 CuadroTexto">
          <a:extLst>
            <a:ext uri="{FF2B5EF4-FFF2-40B4-BE49-F238E27FC236}">
              <a16:creationId xmlns:a16="http://schemas.microsoft.com/office/drawing/2014/main" id="{00000000-0008-0000-2000-00007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2" name="253 CuadroTexto">
          <a:extLst>
            <a:ext uri="{FF2B5EF4-FFF2-40B4-BE49-F238E27FC236}">
              <a16:creationId xmlns:a16="http://schemas.microsoft.com/office/drawing/2014/main" id="{00000000-0008-0000-2000-00007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3" name="254 CuadroTexto">
          <a:extLst>
            <a:ext uri="{FF2B5EF4-FFF2-40B4-BE49-F238E27FC236}">
              <a16:creationId xmlns:a16="http://schemas.microsoft.com/office/drawing/2014/main" id="{00000000-0008-0000-2000-00007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4" name="255 CuadroTexto">
          <a:extLst>
            <a:ext uri="{FF2B5EF4-FFF2-40B4-BE49-F238E27FC236}">
              <a16:creationId xmlns:a16="http://schemas.microsoft.com/office/drawing/2014/main" id="{00000000-0008-0000-2000-00007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5" name="256 CuadroTexto">
          <a:extLst>
            <a:ext uri="{FF2B5EF4-FFF2-40B4-BE49-F238E27FC236}">
              <a16:creationId xmlns:a16="http://schemas.microsoft.com/office/drawing/2014/main" id="{00000000-0008-0000-2000-00007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6" name="257 CuadroTexto">
          <a:extLst>
            <a:ext uri="{FF2B5EF4-FFF2-40B4-BE49-F238E27FC236}">
              <a16:creationId xmlns:a16="http://schemas.microsoft.com/office/drawing/2014/main" id="{00000000-0008-0000-2000-00007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7" name="258 CuadroTexto">
          <a:extLst>
            <a:ext uri="{FF2B5EF4-FFF2-40B4-BE49-F238E27FC236}">
              <a16:creationId xmlns:a16="http://schemas.microsoft.com/office/drawing/2014/main" id="{00000000-0008-0000-2000-00007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8" name="259 CuadroTexto">
          <a:extLst>
            <a:ext uri="{FF2B5EF4-FFF2-40B4-BE49-F238E27FC236}">
              <a16:creationId xmlns:a16="http://schemas.microsoft.com/office/drawing/2014/main" id="{00000000-0008-0000-2000-00007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9" name="260 CuadroTexto">
          <a:extLst>
            <a:ext uri="{FF2B5EF4-FFF2-40B4-BE49-F238E27FC236}">
              <a16:creationId xmlns:a16="http://schemas.microsoft.com/office/drawing/2014/main" id="{00000000-0008-0000-2000-00007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0" name="261 CuadroTexto">
          <a:extLst>
            <a:ext uri="{FF2B5EF4-FFF2-40B4-BE49-F238E27FC236}">
              <a16:creationId xmlns:a16="http://schemas.microsoft.com/office/drawing/2014/main" id="{00000000-0008-0000-2000-00008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1" name="262 CuadroTexto">
          <a:extLst>
            <a:ext uri="{FF2B5EF4-FFF2-40B4-BE49-F238E27FC236}">
              <a16:creationId xmlns:a16="http://schemas.microsoft.com/office/drawing/2014/main" id="{00000000-0008-0000-2000-00008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2" name="263 CuadroTexto">
          <a:extLst>
            <a:ext uri="{FF2B5EF4-FFF2-40B4-BE49-F238E27FC236}">
              <a16:creationId xmlns:a16="http://schemas.microsoft.com/office/drawing/2014/main" id="{00000000-0008-0000-2000-00008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3" name="264 CuadroTexto">
          <a:extLst>
            <a:ext uri="{FF2B5EF4-FFF2-40B4-BE49-F238E27FC236}">
              <a16:creationId xmlns:a16="http://schemas.microsoft.com/office/drawing/2014/main" id="{00000000-0008-0000-2000-00008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4" name="265 CuadroTexto">
          <a:extLst>
            <a:ext uri="{FF2B5EF4-FFF2-40B4-BE49-F238E27FC236}">
              <a16:creationId xmlns:a16="http://schemas.microsoft.com/office/drawing/2014/main" id="{00000000-0008-0000-2000-00008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5" name="266 CuadroTexto">
          <a:extLst>
            <a:ext uri="{FF2B5EF4-FFF2-40B4-BE49-F238E27FC236}">
              <a16:creationId xmlns:a16="http://schemas.microsoft.com/office/drawing/2014/main" id="{00000000-0008-0000-2000-00008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6" name="267 CuadroTexto">
          <a:extLst>
            <a:ext uri="{FF2B5EF4-FFF2-40B4-BE49-F238E27FC236}">
              <a16:creationId xmlns:a16="http://schemas.microsoft.com/office/drawing/2014/main" id="{00000000-0008-0000-2000-00008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487" name="268 CuadroTexto">
          <a:extLst>
            <a:ext uri="{FF2B5EF4-FFF2-40B4-BE49-F238E27FC236}">
              <a16:creationId xmlns:a16="http://schemas.microsoft.com/office/drawing/2014/main" id="{00000000-0008-0000-2000-00008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8" name="269 CuadroTexto">
          <a:extLst>
            <a:ext uri="{FF2B5EF4-FFF2-40B4-BE49-F238E27FC236}">
              <a16:creationId xmlns:a16="http://schemas.microsoft.com/office/drawing/2014/main" id="{00000000-0008-0000-2000-000088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9" name="270 CuadroTexto">
          <a:extLst>
            <a:ext uri="{FF2B5EF4-FFF2-40B4-BE49-F238E27FC236}">
              <a16:creationId xmlns:a16="http://schemas.microsoft.com/office/drawing/2014/main" id="{00000000-0008-0000-2000-000089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0" name="271 CuadroTexto">
          <a:extLst>
            <a:ext uri="{FF2B5EF4-FFF2-40B4-BE49-F238E27FC236}">
              <a16:creationId xmlns:a16="http://schemas.microsoft.com/office/drawing/2014/main" id="{00000000-0008-0000-2000-00008A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1" name="272 CuadroTexto">
          <a:extLst>
            <a:ext uri="{FF2B5EF4-FFF2-40B4-BE49-F238E27FC236}">
              <a16:creationId xmlns:a16="http://schemas.microsoft.com/office/drawing/2014/main" id="{00000000-0008-0000-2000-00008B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2" name="273 CuadroTexto">
          <a:extLst>
            <a:ext uri="{FF2B5EF4-FFF2-40B4-BE49-F238E27FC236}">
              <a16:creationId xmlns:a16="http://schemas.microsoft.com/office/drawing/2014/main" id="{00000000-0008-0000-2000-00008C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3" name="274 CuadroTexto">
          <a:extLst>
            <a:ext uri="{FF2B5EF4-FFF2-40B4-BE49-F238E27FC236}">
              <a16:creationId xmlns:a16="http://schemas.microsoft.com/office/drawing/2014/main" id="{00000000-0008-0000-2000-00008D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4" name="275 CuadroTexto">
          <a:extLst>
            <a:ext uri="{FF2B5EF4-FFF2-40B4-BE49-F238E27FC236}">
              <a16:creationId xmlns:a16="http://schemas.microsoft.com/office/drawing/2014/main" id="{00000000-0008-0000-2000-00008E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5" name="276 CuadroTexto">
          <a:extLst>
            <a:ext uri="{FF2B5EF4-FFF2-40B4-BE49-F238E27FC236}">
              <a16:creationId xmlns:a16="http://schemas.microsoft.com/office/drawing/2014/main" id="{00000000-0008-0000-2000-00008F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6" name="277 CuadroTexto">
          <a:extLst>
            <a:ext uri="{FF2B5EF4-FFF2-40B4-BE49-F238E27FC236}">
              <a16:creationId xmlns:a16="http://schemas.microsoft.com/office/drawing/2014/main" id="{00000000-0008-0000-2000-000090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7" name="278 CuadroTexto">
          <a:extLst>
            <a:ext uri="{FF2B5EF4-FFF2-40B4-BE49-F238E27FC236}">
              <a16:creationId xmlns:a16="http://schemas.microsoft.com/office/drawing/2014/main" id="{00000000-0008-0000-2000-000091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8" name="279 CuadroTexto">
          <a:extLst>
            <a:ext uri="{FF2B5EF4-FFF2-40B4-BE49-F238E27FC236}">
              <a16:creationId xmlns:a16="http://schemas.microsoft.com/office/drawing/2014/main" id="{00000000-0008-0000-2000-000092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9" name="280 CuadroTexto">
          <a:extLst>
            <a:ext uri="{FF2B5EF4-FFF2-40B4-BE49-F238E27FC236}">
              <a16:creationId xmlns:a16="http://schemas.microsoft.com/office/drawing/2014/main" id="{00000000-0008-0000-2000-000093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0" name="281 CuadroTexto">
          <a:extLst>
            <a:ext uri="{FF2B5EF4-FFF2-40B4-BE49-F238E27FC236}">
              <a16:creationId xmlns:a16="http://schemas.microsoft.com/office/drawing/2014/main" id="{00000000-0008-0000-2000-000094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1" name="282 CuadroTexto">
          <a:extLst>
            <a:ext uri="{FF2B5EF4-FFF2-40B4-BE49-F238E27FC236}">
              <a16:creationId xmlns:a16="http://schemas.microsoft.com/office/drawing/2014/main" id="{00000000-0008-0000-2000-000095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2" name="283 CuadroTexto">
          <a:extLst>
            <a:ext uri="{FF2B5EF4-FFF2-40B4-BE49-F238E27FC236}">
              <a16:creationId xmlns:a16="http://schemas.microsoft.com/office/drawing/2014/main" id="{00000000-0008-0000-2000-000096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3" name="284 CuadroTexto">
          <a:extLst>
            <a:ext uri="{FF2B5EF4-FFF2-40B4-BE49-F238E27FC236}">
              <a16:creationId xmlns:a16="http://schemas.microsoft.com/office/drawing/2014/main" id="{00000000-0008-0000-2000-00009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04" name="285 CuadroTexto">
          <a:extLst>
            <a:ext uri="{FF2B5EF4-FFF2-40B4-BE49-F238E27FC236}">
              <a16:creationId xmlns:a16="http://schemas.microsoft.com/office/drawing/2014/main" id="{00000000-0008-0000-2000-00009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5" name="286 CuadroTexto">
          <a:extLst>
            <a:ext uri="{FF2B5EF4-FFF2-40B4-BE49-F238E27FC236}">
              <a16:creationId xmlns:a16="http://schemas.microsoft.com/office/drawing/2014/main" id="{00000000-0008-0000-2000-00009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6" name="287 CuadroTexto">
          <a:extLst>
            <a:ext uri="{FF2B5EF4-FFF2-40B4-BE49-F238E27FC236}">
              <a16:creationId xmlns:a16="http://schemas.microsoft.com/office/drawing/2014/main" id="{00000000-0008-0000-2000-00009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7" name="288 CuadroTexto">
          <a:extLst>
            <a:ext uri="{FF2B5EF4-FFF2-40B4-BE49-F238E27FC236}">
              <a16:creationId xmlns:a16="http://schemas.microsoft.com/office/drawing/2014/main" id="{00000000-0008-0000-2000-00009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8" name="289 CuadroTexto">
          <a:extLst>
            <a:ext uri="{FF2B5EF4-FFF2-40B4-BE49-F238E27FC236}">
              <a16:creationId xmlns:a16="http://schemas.microsoft.com/office/drawing/2014/main" id="{00000000-0008-0000-2000-00009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9" name="290 CuadroTexto">
          <a:extLst>
            <a:ext uri="{FF2B5EF4-FFF2-40B4-BE49-F238E27FC236}">
              <a16:creationId xmlns:a16="http://schemas.microsoft.com/office/drawing/2014/main" id="{00000000-0008-0000-2000-00009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0" name="291 CuadroTexto">
          <a:extLst>
            <a:ext uri="{FF2B5EF4-FFF2-40B4-BE49-F238E27FC236}">
              <a16:creationId xmlns:a16="http://schemas.microsoft.com/office/drawing/2014/main" id="{00000000-0008-0000-2000-00009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1" name="292 CuadroTexto">
          <a:extLst>
            <a:ext uri="{FF2B5EF4-FFF2-40B4-BE49-F238E27FC236}">
              <a16:creationId xmlns:a16="http://schemas.microsoft.com/office/drawing/2014/main" id="{00000000-0008-0000-2000-00009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2" name="293 CuadroTexto">
          <a:extLst>
            <a:ext uri="{FF2B5EF4-FFF2-40B4-BE49-F238E27FC236}">
              <a16:creationId xmlns:a16="http://schemas.microsoft.com/office/drawing/2014/main" id="{00000000-0008-0000-2000-0000A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3" name="294 CuadroTexto">
          <a:extLst>
            <a:ext uri="{FF2B5EF4-FFF2-40B4-BE49-F238E27FC236}">
              <a16:creationId xmlns:a16="http://schemas.microsoft.com/office/drawing/2014/main" id="{00000000-0008-0000-2000-0000A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4" name="295 CuadroTexto">
          <a:extLst>
            <a:ext uri="{FF2B5EF4-FFF2-40B4-BE49-F238E27FC236}">
              <a16:creationId xmlns:a16="http://schemas.microsoft.com/office/drawing/2014/main" id="{00000000-0008-0000-2000-0000A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5" name="296 CuadroTexto">
          <a:extLst>
            <a:ext uri="{FF2B5EF4-FFF2-40B4-BE49-F238E27FC236}">
              <a16:creationId xmlns:a16="http://schemas.microsoft.com/office/drawing/2014/main" id="{00000000-0008-0000-2000-0000A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6" name="17 CuadroTexto">
          <a:extLst>
            <a:ext uri="{FF2B5EF4-FFF2-40B4-BE49-F238E27FC236}">
              <a16:creationId xmlns:a16="http://schemas.microsoft.com/office/drawing/2014/main" id="{00000000-0008-0000-2000-0000A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517" name="90 CuadroTexto">
          <a:extLst>
            <a:ext uri="{FF2B5EF4-FFF2-40B4-BE49-F238E27FC236}">
              <a16:creationId xmlns:a16="http://schemas.microsoft.com/office/drawing/2014/main" id="{00000000-0008-0000-2000-0000A5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8" name="91 CuadroTexto">
          <a:extLst>
            <a:ext uri="{FF2B5EF4-FFF2-40B4-BE49-F238E27FC236}">
              <a16:creationId xmlns:a16="http://schemas.microsoft.com/office/drawing/2014/main" id="{00000000-0008-0000-2000-0000A6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9" name="92 CuadroTexto">
          <a:extLst>
            <a:ext uri="{FF2B5EF4-FFF2-40B4-BE49-F238E27FC236}">
              <a16:creationId xmlns:a16="http://schemas.microsoft.com/office/drawing/2014/main" id="{00000000-0008-0000-2000-0000A7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0" name="93 CuadroTexto">
          <a:extLst>
            <a:ext uri="{FF2B5EF4-FFF2-40B4-BE49-F238E27FC236}">
              <a16:creationId xmlns:a16="http://schemas.microsoft.com/office/drawing/2014/main" id="{00000000-0008-0000-2000-0000A8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1" name="94 CuadroTexto">
          <a:extLst>
            <a:ext uri="{FF2B5EF4-FFF2-40B4-BE49-F238E27FC236}">
              <a16:creationId xmlns:a16="http://schemas.microsoft.com/office/drawing/2014/main" id="{00000000-0008-0000-2000-0000A9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2" name="95 CuadroTexto">
          <a:extLst>
            <a:ext uri="{FF2B5EF4-FFF2-40B4-BE49-F238E27FC236}">
              <a16:creationId xmlns:a16="http://schemas.microsoft.com/office/drawing/2014/main" id="{00000000-0008-0000-2000-0000AA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3" name="96 CuadroTexto">
          <a:extLst>
            <a:ext uri="{FF2B5EF4-FFF2-40B4-BE49-F238E27FC236}">
              <a16:creationId xmlns:a16="http://schemas.microsoft.com/office/drawing/2014/main" id="{00000000-0008-0000-2000-0000AB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4" name="97 CuadroTexto">
          <a:extLst>
            <a:ext uri="{FF2B5EF4-FFF2-40B4-BE49-F238E27FC236}">
              <a16:creationId xmlns:a16="http://schemas.microsoft.com/office/drawing/2014/main" id="{00000000-0008-0000-2000-0000AC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5" name="98 CuadroTexto">
          <a:extLst>
            <a:ext uri="{FF2B5EF4-FFF2-40B4-BE49-F238E27FC236}">
              <a16:creationId xmlns:a16="http://schemas.microsoft.com/office/drawing/2014/main" id="{00000000-0008-0000-2000-0000AD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6" name="99 CuadroTexto">
          <a:extLst>
            <a:ext uri="{FF2B5EF4-FFF2-40B4-BE49-F238E27FC236}">
              <a16:creationId xmlns:a16="http://schemas.microsoft.com/office/drawing/2014/main" id="{00000000-0008-0000-2000-0000AE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7" name="100 CuadroTexto">
          <a:extLst>
            <a:ext uri="{FF2B5EF4-FFF2-40B4-BE49-F238E27FC236}">
              <a16:creationId xmlns:a16="http://schemas.microsoft.com/office/drawing/2014/main" id="{00000000-0008-0000-2000-0000AF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8" name="101 CuadroTexto">
          <a:extLst>
            <a:ext uri="{FF2B5EF4-FFF2-40B4-BE49-F238E27FC236}">
              <a16:creationId xmlns:a16="http://schemas.microsoft.com/office/drawing/2014/main" id="{00000000-0008-0000-2000-0000B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29" name="118 CuadroTexto">
          <a:extLst>
            <a:ext uri="{FF2B5EF4-FFF2-40B4-BE49-F238E27FC236}">
              <a16:creationId xmlns:a16="http://schemas.microsoft.com/office/drawing/2014/main" id="{00000000-0008-0000-2000-0000B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0" name="119 CuadroTexto">
          <a:extLst>
            <a:ext uri="{FF2B5EF4-FFF2-40B4-BE49-F238E27FC236}">
              <a16:creationId xmlns:a16="http://schemas.microsoft.com/office/drawing/2014/main" id="{00000000-0008-0000-2000-0000B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1" name="120 CuadroTexto">
          <a:extLst>
            <a:ext uri="{FF2B5EF4-FFF2-40B4-BE49-F238E27FC236}">
              <a16:creationId xmlns:a16="http://schemas.microsoft.com/office/drawing/2014/main" id="{00000000-0008-0000-2000-0000B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2" name="121 CuadroTexto">
          <a:extLst>
            <a:ext uri="{FF2B5EF4-FFF2-40B4-BE49-F238E27FC236}">
              <a16:creationId xmlns:a16="http://schemas.microsoft.com/office/drawing/2014/main" id="{00000000-0008-0000-2000-0000B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3" name="122 CuadroTexto">
          <a:extLst>
            <a:ext uri="{FF2B5EF4-FFF2-40B4-BE49-F238E27FC236}">
              <a16:creationId xmlns:a16="http://schemas.microsoft.com/office/drawing/2014/main" id="{00000000-0008-0000-2000-0000B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4" name="123 CuadroTexto">
          <a:extLst>
            <a:ext uri="{FF2B5EF4-FFF2-40B4-BE49-F238E27FC236}">
              <a16:creationId xmlns:a16="http://schemas.microsoft.com/office/drawing/2014/main" id="{00000000-0008-0000-2000-0000B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5" name="124 CuadroTexto">
          <a:extLst>
            <a:ext uri="{FF2B5EF4-FFF2-40B4-BE49-F238E27FC236}">
              <a16:creationId xmlns:a16="http://schemas.microsoft.com/office/drawing/2014/main" id="{00000000-0008-0000-2000-0000B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6" name="125 CuadroTexto">
          <a:extLst>
            <a:ext uri="{FF2B5EF4-FFF2-40B4-BE49-F238E27FC236}">
              <a16:creationId xmlns:a16="http://schemas.microsoft.com/office/drawing/2014/main" id="{00000000-0008-0000-2000-0000B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7" name="143 CuadroTexto">
          <a:extLst>
            <a:ext uri="{FF2B5EF4-FFF2-40B4-BE49-F238E27FC236}">
              <a16:creationId xmlns:a16="http://schemas.microsoft.com/office/drawing/2014/main" id="{00000000-0008-0000-2000-0000B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8" name="144 CuadroTexto">
          <a:extLst>
            <a:ext uri="{FF2B5EF4-FFF2-40B4-BE49-F238E27FC236}">
              <a16:creationId xmlns:a16="http://schemas.microsoft.com/office/drawing/2014/main" id="{00000000-0008-0000-2000-0000B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9" name="145 CuadroTexto">
          <a:extLst>
            <a:ext uri="{FF2B5EF4-FFF2-40B4-BE49-F238E27FC236}">
              <a16:creationId xmlns:a16="http://schemas.microsoft.com/office/drawing/2014/main" id="{00000000-0008-0000-2000-0000B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0" name="146 CuadroTexto">
          <a:extLst>
            <a:ext uri="{FF2B5EF4-FFF2-40B4-BE49-F238E27FC236}">
              <a16:creationId xmlns:a16="http://schemas.microsoft.com/office/drawing/2014/main" id="{00000000-0008-0000-2000-0000B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1" name="147 CuadroTexto">
          <a:extLst>
            <a:ext uri="{FF2B5EF4-FFF2-40B4-BE49-F238E27FC236}">
              <a16:creationId xmlns:a16="http://schemas.microsoft.com/office/drawing/2014/main" id="{00000000-0008-0000-2000-0000B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2" name="148 CuadroTexto">
          <a:extLst>
            <a:ext uri="{FF2B5EF4-FFF2-40B4-BE49-F238E27FC236}">
              <a16:creationId xmlns:a16="http://schemas.microsoft.com/office/drawing/2014/main" id="{00000000-0008-0000-2000-0000B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3" name="149 CuadroTexto">
          <a:extLst>
            <a:ext uri="{FF2B5EF4-FFF2-40B4-BE49-F238E27FC236}">
              <a16:creationId xmlns:a16="http://schemas.microsoft.com/office/drawing/2014/main" id="{00000000-0008-0000-2000-0000B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4" name="150 CuadroTexto">
          <a:extLst>
            <a:ext uri="{FF2B5EF4-FFF2-40B4-BE49-F238E27FC236}">
              <a16:creationId xmlns:a16="http://schemas.microsoft.com/office/drawing/2014/main" id="{00000000-0008-0000-2000-0000C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5" name="151 CuadroTexto">
          <a:extLst>
            <a:ext uri="{FF2B5EF4-FFF2-40B4-BE49-F238E27FC236}">
              <a16:creationId xmlns:a16="http://schemas.microsoft.com/office/drawing/2014/main" id="{00000000-0008-0000-2000-0000C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6" name="152 CuadroTexto">
          <a:extLst>
            <a:ext uri="{FF2B5EF4-FFF2-40B4-BE49-F238E27FC236}">
              <a16:creationId xmlns:a16="http://schemas.microsoft.com/office/drawing/2014/main" id="{00000000-0008-0000-2000-0000C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7" name="153 CuadroTexto">
          <a:extLst>
            <a:ext uri="{FF2B5EF4-FFF2-40B4-BE49-F238E27FC236}">
              <a16:creationId xmlns:a16="http://schemas.microsoft.com/office/drawing/2014/main" id="{00000000-0008-0000-2000-0000C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8" name="154 CuadroTexto">
          <a:extLst>
            <a:ext uri="{FF2B5EF4-FFF2-40B4-BE49-F238E27FC236}">
              <a16:creationId xmlns:a16="http://schemas.microsoft.com/office/drawing/2014/main" id="{00000000-0008-0000-2000-0000C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9" name="155 CuadroTexto">
          <a:extLst>
            <a:ext uri="{FF2B5EF4-FFF2-40B4-BE49-F238E27FC236}">
              <a16:creationId xmlns:a16="http://schemas.microsoft.com/office/drawing/2014/main" id="{00000000-0008-0000-2000-0000C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0" name="156 CuadroTexto">
          <a:extLst>
            <a:ext uri="{FF2B5EF4-FFF2-40B4-BE49-F238E27FC236}">
              <a16:creationId xmlns:a16="http://schemas.microsoft.com/office/drawing/2014/main" id="{00000000-0008-0000-2000-0000C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1" name="157 CuadroTexto">
          <a:extLst>
            <a:ext uri="{FF2B5EF4-FFF2-40B4-BE49-F238E27FC236}">
              <a16:creationId xmlns:a16="http://schemas.microsoft.com/office/drawing/2014/main" id="{00000000-0008-0000-2000-0000C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2" name="158 CuadroTexto">
          <a:extLst>
            <a:ext uri="{FF2B5EF4-FFF2-40B4-BE49-F238E27FC236}">
              <a16:creationId xmlns:a16="http://schemas.microsoft.com/office/drawing/2014/main" id="{00000000-0008-0000-2000-0000C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3" name="159 CuadroTexto">
          <a:extLst>
            <a:ext uri="{FF2B5EF4-FFF2-40B4-BE49-F238E27FC236}">
              <a16:creationId xmlns:a16="http://schemas.microsoft.com/office/drawing/2014/main" id="{00000000-0008-0000-2000-0000C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4" name="160 CuadroTexto">
          <a:extLst>
            <a:ext uri="{FF2B5EF4-FFF2-40B4-BE49-F238E27FC236}">
              <a16:creationId xmlns:a16="http://schemas.microsoft.com/office/drawing/2014/main" id="{00000000-0008-0000-2000-0000C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5" name="161 CuadroTexto">
          <a:extLst>
            <a:ext uri="{FF2B5EF4-FFF2-40B4-BE49-F238E27FC236}">
              <a16:creationId xmlns:a16="http://schemas.microsoft.com/office/drawing/2014/main" id="{00000000-0008-0000-2000-0000C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6" name="162 CuadroTexto">
          <a:extLst>
            <a:ext uri="{FF2B5EF4-FFF2-40B4-BE49-F238E27FC236}">
              <a16:creationId xmlns:a16="http://schemas.microsoft.com/office/drawing/2014/main" id="{00000000-0008-0000-2000-0000C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7" name="163 CuadroTexto">
          <a:extLst>
            <a:ext uri="{FF2B5EF4-FFF2-40B4-BE49-F238E27FC236}">
              <a16:creationId xmlns:a16="http://schemas.microsoft.com/office/drawing/2014/main" id="{00000000-0008-0000-2000-0000C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8" name="164 CuadroTexto">
          <a:extLst>
            <a:ext uri="{FF2B5EF4-FFF2-40B4-BE49-F238E27FC236}">
              <a16:creationId xmlns:a16="http://schemas.microsoft.com/office/drawing/2014/main" id="{00000000-0008-0000-2000-0000C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9" name="165 CuadroTexto">
          <a:extLst>
            <a:ext uri="{FF2B5EF4-FFF2-40B4-BE49-F238E27FC236}">
              <a16:creationId xmlns:a16="http://schemas.microsoft.com/office/drawing/2014/main" id="{00000000-0008-0000-2000-0000C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0" name="166 CuadroTexto">
          <a:extLst>
            <a:ext uri="{FF2B5EF4-FFF2-40B4-BE49-F238E27FC236}">
              <a16:creationId xmlns:a16="http://schemas.microsoft.com/office/drawing/2014/main" id="{00000000-0008-0000-2000-0000D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1" name="167 CuadroTexto">
          <a:extLst>
            <a:ext uri="{FF2B5EF4-FFF2-40B4-BE49-F238E27FC236}">
              <a16:creationId xmlns:a16="http://schemas.microsoft.com/office/drawing/2014/main" id="{00000000-0008-0000-2000-0000D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2" name="168 CuadroTexto">
          <a:extLst>
            <a:ext uri="{FF2B5EF4-FFF2-40B4-BE49-F238E27FC236}">
              <a16:creationId xmlns:a16="http://schemas.microsoft.com/office/drawing/2014/main" id="{00000000-0008-0000-2000-0000D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3" name="169 CuadroTexto">
          <a:extLst>
            <a:ext uri="{FF2B5EF4-FFF2-40B4-BE49-F238E27FC236}">
              <a16:creationId xmlns:a16="http://schemas.microsoft.com/office/drawing/2014/main" id="{00000000-0008-0000-2000-0000D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4" name="170 CuadroTexto">
          <a:extLst>
            <a:ext uri="{FF2B5EF4-FFF2-40B4-BE49-F238E27FC236}">
              <a16:creationId xmlns:a16="http://schemas.microsoft.com/office/drawing/2014/main" id="{00000000-0008-0000-2000-0000D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5" name="171 CuadroTexto">
          <a:extLst>
            <a:ext uri="{FF2B5EF4-FFF2-40B4-BE49-F238E27FC236}">
              <a16:creationId xmlns:a16="http://schemas.microsoft.com/office/drawing/2014/main" id="{00000000-0008-0000-2000-0000D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6" name="172 CuadroTexto">
          <a:extLst>
            <a:ext uri="{FF2B5EF4-FFF2-40B4-BE49-F238E27FC236}">
              <a16:creationId xmlns:a16="http://schemas.microsoft.com/office/drawing/2014/main" id="{00000000-0008-0000-2000-0000D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7" name="173 CuadroTexto">
          <a:extLst>
            <a:ext uri="{FF2B5EF4-FFF2-40B4-BE49-F238E27FC236}">
              <a16:creationId xmlns:a16="http://schemas.microsoft.com/office/drawing/2014/main" id="{00000000-0008-0000-2000-0000D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8" name="174 CuadroTexto">
          <a:extLst>
            <a:ext uri="{FF2B5EF4-FFF2-40B4-BE49-F238E27FC236}">
              <a16:creationId xmlns:a16="http://schemas.microsoft.com/office/drawing/2014/main" id="{00000000-0008-0000-2000-0000D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9" name="175 CuadroTexto">
          <a:extLst>
            <a:ext uri="{FF2B5EF4-FFF2-40B4-BE49-F238E27FC236}">
              <a16:creationId xmlns:a16="http://schemas.microsoft.com/office/drawing/2014/main" id="{00000000-0008-0000-2000-0000D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0" name="176 CuadroTexto">
          <a:extLst>
            <a:ext uri="{FF2B5EF4-FFF2-40B4-BE49-F238E27FC236}">
              <a16:creationId xmlns:a16="http://schemas.microsoft.com/office/drawing/2014/main" id="{00000000-0008-0000-2000-0000D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1" name="177 CuadroTexto">
          <a:extLst>
            <a:ext uri="{FF2B5EF4-FFF2-40B4-BE49-F238E27FC236}">
              <a16:creationId xmlns:a16="http://schemas.microsoft.com/office/drawing/2014/main" id="{00000000-0008-0000-2000-0000D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2" name="178 CuadroTexto">
          <a:extLst>
            <a:ext uri="{FF2B5EF4-FFF2-40B4-BE49-F238E27FC236}">
              <a16:creationId xmlns:a16="http://schemas.microsoft.com/office/drawing/2014/main" id="{00000000-0008-0000-2000-0000D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3" name="179 CuadroTexto">
          <a:extLst>
            <a:ext uri="{FF2B5EF4-FFF2-40B4-BE49-F238E27FC236}">
              <a16:creationId xmlns:a16="http://schemas.microsoft.com/office/drawing/2014/main" id="{00000000-0008-0000-2000-0000D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4" name="180 CuadroTexto">
          <a:extLst>
            <a:ext uri="{FF2B5EF4-FFF2-40B4-BE49-F238E27FC236}">
              <a16:creationId xmlns:a16="http://schemas.microsoft.com/office/drawing/2014/main" id="{00000000-0008-0000-2000-0000D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5" name="181 CuadroTexto">
          <a:extLst>
            <a:ext uri="{FF2B5EF4-FFF2-40B4-BE49-F238E27FC236}">
              <a16:creationId xmlns:a16="http://schemas.microsoft.com/office/drawing/2014/main" id="{00000000-0008-0000-2000-0000D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6" name="182 CuadroTexto">
          <a:extLst>
            <a:ext uri="{FF2B5EF4-FFF2-40B4-BE49-F238E27FC236}">
              <a16:creationId xmlns:a16="http://schemas.microsoft.com/office/drawing/2014/main" id="{00000000-0008-0000-2000-0000E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7" name="183 CuadroTexto">
          <a:extLst>
            <a:ext uri="{FF2B5EF4-FFF2-40B4-BE49-F238E27FC236}">
              <a16:creationId xmlns:a16="http://schemas.microsoft.com/office/drawing/2014/main" id="{00000000-0008-0000-2000-0000E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8" name="184 CuadroTexto">
          <a:extLst>
            <a:ext uri="{FF2B5EF4-FFF2-40B4-BE49-F238E27FC236}">
              <a16:creationId xmlns:a16="http://schemas.microsoft.com/office/drawing/2014/main" id="{00000000-0008-0000-2000-0000E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9" name="185 CuadroTexto">
          <a:extLst>
            <a:ext uri="{FF2B5EF4-FFF2-40B4-BE49-F238E27FC236}">
              <a16:creationId xmlns:a16="http://schemas.microsoft.com/office/drawing/2014/main" id="{00000000-0008-0000-2000-0000E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0" name="186 CuadroTexto">
          <a:extLst>
            <a:ext uri="{FF2B5EF4-FFF2-40B4-BE49-F238E27FC236}">
              <a16:creationId xmlns:a16="http://schemas.microsoft.com/office/drawing/2014/main" id="{00000000-0008-0000-2000-0000E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1" name="187 CuadroTexto">
          <a:extLst>
            <a:ext uri="{FF2B5EF4-FFF2-40B4-BE49-F238E27FC236}">
              <a16:creationId xmlns:a16="http://schemas.microsoft.com/office/drawing/2014/main" id="{00000000-0008-0000-2000-0000E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2" name="188 CuadroTexto">
          <a:extLst>
            <a:ext uri="{FF2B5EF4-FFF2-40B4-BE49-F238E27FC236}">
              <a16:creationId xmlns:a16="http://schemas.microsoft.com/office/drawing/2014/main" id="{00000000-0008-0000-2000-0000E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3" name="189 CuadroTexto">
          <a:extLst>
            <a:ext uri="{FF2B5EF4-FFF2-40B4-BE49-F238E27FC236}">
              <a16:creationId xmlns:a16="http://schemas.microsoft.com/office/drawing/2014/main" id="{00000000-0008-0000-2000-0000E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4" name="190 CuadroTexto">
          <a:extLst>
            <a:ext uri="{FF2B5EF4-FFF2-40B4-BE49-F238E27FC236}">
              <a16:creationId xmlns:a16="http://schemas.microsoft.com/office/drawing/2014/main" id="{00000000-0008-0000-2000-0000E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5" name="191 CuadroTexto">
          <a:extLst>
            <a:ext uri="{FF2B5EF4-FFF2-40B4-BE49-F238E27FC236}">
              <a16:creationId xmlns:a16="http://schemas.microsoft.com/office/drawing/2014/main" id="{00000000-0008-0000-2000-0000E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6" name="192 CuadroTexto">
          <a:extLst>
            <a:ext uri="{FF2B5EF4-FFF2-40B4-BE49-F238E27FC236}">
              <a16:creationId xmlns:a16="http://schemas.microsoft.com/office/drawing/2014/main" id="{00000000-0008-0000-2000-0000E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7" name="193 CuadroTexto">
          <a:extLst>
            <a:ext uri="{FF2B5EF4-FFF2-40B4-BE49-F238E27FC236}">
              <a16:creationId xmlns:a16="http://schemas.microsoft.com/office/drawing/2014/main" id="{00000000-0008-0000-2000-0000E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8" name="194 CuadroTexto">
          <a:extLst>
            <a:ext uri="{FF2B5EF4-FFF2-40B4-BE49-F238E27FC236}">
              <a16:creationId xmlns:a16="http://schemas.microsoft.com/office/drawing/2014/main" id="{00000000-0008-0000-2000-0000E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9" name="195 CuadroTexto">
          <a:extLst>
            <a:ext uri="{FF2B5EF4-FFF2-40B4-BE49-F238E27FC236}">
              <a16:creationId xmlns:a16="http://schemas.microsoft.com/office/drawing/2014/main" id="{00000000-0008-0000-2000-0000E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0" name="196 CuadroTexto">
          <a:extLst>
            <a:ext uri="{FF2B5EF4-FFF2-40B4-BE49-F238E27FC236}">
              <a16:creationId xmlns:a16="http://schemas.microsoft.com/office/drawing/2014/main" id="{00000000-0008-0000-2000-0000E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1" name="197 CuadroTexto">
          <a:extLst>
            <a:ext uri="{FF2B5EF4-FFF2-40B4-BE49-F238E27FC236}">
              <a16:creationId xmlns:a16="http://schemas.microsoft.com/office/drawing/2014/main" id="{00000000-0008-0000-2000-0000E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2" name="198 CuadroTexto">
          <a:extLst>
            <a:ext uri="{FF2B5EF4-FFF2-40B4-BE49-F238E27FC236}">
              <a16:creationId xmlns:a16="http://schemas.microsoft.com/office/drawing/2014/main" id="{00000000-0008-0000-2000-0000F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3" name="199 CuadroTexto">
          <a:extLst>
            <a:ext uri="{FF2B5EF4-FFF2-40B4-BE49-F238E27FC236}">
              <a16:creationId xmlns:a16="http://schemas.microsoft.com/office/drawing/2014/main" id="{00000000-0008-0000-2000-0000F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4" name="200 CuadroTexto">
          <a:extLst>
            <a:ext uri="{FF2B5EF4-FFF2-40B4-BE49-F238E27FC236}">
              <a16:creationId xmlns:a16="http://schemas.microsoft.com/office/drawing/2014/main" id="{00000000-0008-0000-2000-0000F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5" name="201 CuadroTexto">
          <a:extLst>
            <a:ext uri="{FF2B5EF4-FFF2-40B4-BE49-F238E27FC236}">
              <a16:creationId xmlns:a16="http://schemas.microsoft.com/office/drawing/2014/main" id="{00000000-0008-0000-2000-0000F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6" name="202 CuadroTexto">
          <a:extLst>
            <a:ext uri="{FF2B5EF4-FFF2-40B4-BE49-F238E27FC236}">
              <a16:creationId xmlns:a16="http://schemas.microsoft.com/office/drawing/2014/main" id="{00000000-0008-0000-2000-0000F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7" name="203 CuadroTexto">
          <a:extLst>
            <a:ext uri="{FF2B5EF4-FFF2-40B4-BE49-F238E27FC236}">
              <a16:creationId xmlns:a16="http://schemas.microsoft.com/office/drawing/2014/main" id="{00000000-0008-0000-2000-0000F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8" name="204 CuadroTexto">
          <a:extLst>
            <a:ext uri="{FF2B5EF4-FFF2-40B4-BE49-F238E27FC236}">
              <a16:creationId xmlns:a16="http://schemas.microsoft.com/office/drawing/2014/main" id="{00000000-0008-0000-2000-0000F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9" name="205 CuadroTexto">
          <a:extLst>
            <a:ext uri="{FF2B5EF4-FFF2-40B4-BE49-F238E27FC236}">
              <a16:creationId xmlns:a16="http://schemas.microsoft.com/office/drawing/2014/main" id="{00000000-0008-0000-2000-0000F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0" name="206 CuadroTexto">
          <a:extLst>
            <a:ext uri="{FF2B5EF4-FFF2-40B4-BE49-F238E27FC236}">
              <a16:creationId xmlns:a16="http://schemas.microsoft.com/office/drawing/2014/main" id="{00000000-0008-0000-2000-0000F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1" name="207 CuadroTexto">
          <a:extLst>
            <a:ext uri="{FF2B5EF4-FFF2-40B4-BE49-F238E27FC236}">
              <a16:creationId xmlns:a16="http://schemas.microsoft.com/office/drawing/2014/main" id="{00000000-0008-0000-2000-0000F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2" name="208 CuadroTexto">
          <a:extLst>
            <a:ext uri="{FF2B5EF4-FFF2-40B4-BE49-F238E27FC236}">
              <a16:creationId xmlns:a16="http://schemas.microsoft.com/office/drawing/2014/main" id="{00000000-0008-0000-2000-0000F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3" name="209 CuadroTexto">
          <a:extLst>
            <a:ext uri="{FF2B5EF4-FFF2-40B4-BE49-F238E27FC236}">
              <a16:creationId xmlns:a16="http://schemas.microsoft.com/office/drawing/2014/main" id="{00000000-0008-0000-2000-0000F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4" name="210 CuadroTexto">
          <a:extLst>
            <a:ext uri="{FF2B5EF4-FFF2-40B4-BE49-F238E27FC236}">
              <a16:creationId xmlns:a16="http://schemas.microsoft.com/office/drawing/2014/main" id="{00000000-0008-0000-2000-0000F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5" name="211 CuadroTexto">
          <a:extLst>
            <a:ext uri="{FF2B5EF4-FFF2-40B4-BE49-F238E27FC236}">
              <a16:creationId xmlns:a16="http://schemas.microsoft.com/office/drawing/2014/main" id="{00000000-0008-0000-2000-0000F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6" name="212 CuadroTexto">
          <a:extLst>
            <a:ext uri="{FF2B5EF4-FFF2-40B4-BE49-F238E27FC236}">
              <a16:creationId xmlns:a16="http://schemas.microsoft.com/office/drawing/2014/main" id="{00000000-0008-0000-2000-0000F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7" name="213 CuadroTexto">
          <a:extLst>
            <a:ext uri="{FF2B5EF4-FFF2-40B4-BE49-F238E27FC236}">
              <a16:creationId xmlns:a16="http://schemas.microsoft.com/office/drawing/2014/main" id="{00000000-0008-0000-2000-0000F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8" name="214 CuadroTexto">
          <a:extLst>
            <a:ext uri="{FF2B5EF4-FFF2-40B4-BE49-F238E27FC236}">
              <a16:creationId xmlns:a16="http://schemas.microsoft.com/office/drawing/2014/main" id="{00000000-0008-0000-2000-00000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9" name="215 CuadroTexto">
          <a:extLst>
            <a:ext uri="{FF2B5EF4-FFF2-40B4-BE49-F238E27FC236}">
              <a16:creationId xmlns:a16="http://schemas.microsoft.com/office/drawing/2014/main" id="{00000000-0008-0000-2000-00000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0" name="216 CuadroTexto">
          <a:extLst>
            <a:ext uri="{FF2B5EF4-FFF2-40B4-BE49-F238E27FC236}">
              <a16:creationId xmlns:a16="http://schemas.microsoft.com/office/drawing/2014/main" id="{00000000-0008-0000-2000-00000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1" name="217 CuadroTexto">
          <a:extLst>
            <a:ext uri="{FF2B5EF4-FFF2-40B4-BE49-F238E27FC236}">
              <a16:creationId xmlns:a16="http://schemas.microsoft.com/office/drawing/2014/main" id="{00000000-0008-0000-2000-00000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2" name="218 CuadroTexto">
          <a:extLst>
            <a:ext uri="{FF2B5EF4-FFF2-40B4-BE49-F238E27FC236}">
              <a16:creationId xmlns:a16="http://schemas.microsoft.com/office/drawing/2014/main" id="{00000000-0008-0000-2000-00000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3" name="219 CuadroTexto">
          <a:extLst>
            <a:ext uri="{FF2B5EF4-FFF2-40B4-BE49-F238E27FC236}">
              <a16:creationId xmlns:a16="http://schemas.microsoft.com/office/drawing/2014/main" id="{00000000-0008-0000-2000-00000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4" name="220 CuadroTexto">
          <a:extLst>
            <a:ext uri="{FF2B5EF4-FFF2-40B4-BE49-F238E27FC236}">
              <a16:creationId xmlns:a16="http://schemas.microsoft.com/office/drawing/2014/main" id="{00000000-0008-0000-2000-00000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5" name="221 CuadroTexto">
          <a:extLst>
            <a:ext uri="{FF2B5EF4-FFF2-40B4-BE49-F238E27FC236}">
              <a16:creationId xmlns:a16="http://schemas.microsoft.com/office/drawing/2014/main" id="{00000000-0008-0000-2000-00000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6" name="222 CuadroTexto">
          <a:extLst>
            <a:ext uri="{FF2B5EF4-FFF2-40B4-BE49-F238E27FC236}">
              <a16:creationId xmlns:a16="http://schemas.microsoft.com/office/drawing/2014/main" id="{00000000-0008-0000-2000-00000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7" name="223 CuadroTexto">
          <a:extLst>
            <a:ext uri="{FF2B5EF4-FFF2-40B4-BE49-F238E27FC236}">
              <a16:creationId xmlns:a16="http://schemas.microsoft.com/office/drawing/2014/main" id="{00000000-0008-0000-2000-00000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8" name="224 CuadroTexto">
          <a:extLst>
            <a:ext uri="{FF2B5EF4-FFF2-40B4-BE49-F238E27FC236}">
              <a16:creationId xmlns:a16="http://schemas.microsoft.com/office/drawing/2014/main" id="{00000000-0008-0000-2000-00000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9" name="225 CuadroTexto">
          <a:extLst>
            <a:ext uri="{FF2B5EF4-FFF2-40B4-BE49-F238E27FC236}">
              <a16:creationId xmlns:a16="http://schemas.microsoft.com/office/drawing/2014/main" id="{00000000-0008-0000-2000-00000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0" name="226 CuadroTexto">
          <a:extLst>
            <a:ext uri="{FF2B5EF4-FFF2-40B4-BE49-F238E27FC236}">
              <a16:creationId xmlns:a16="http://schemas.microsoft.com/office/drawing/2014/main" id="{00000000-0008-0000-2000-00000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1" name="227 CuadroTexto">
          <a:extLst>
            <a:ext uri="{FF2B5EF4-FFF2-40B4-BE49-F238E27FC236}">
              <a16:creationId xmlns:a16="http://schemas.microsoft.com/office/drawing/2014/main" id="{00000000-0008-0000-2000-00000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2" name="228 CuadroTexto">
          <a:extLst>
            <a:ext uri="{FF2B5EF4-FFF2-40B4-BE49-F238E27FC236}">
              <a16:creationId xmlns:a16="http://schemas.microsoft.com/office/drawing/2014/main" id="{00000000-0008-0000-2000-00000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3" name="229 CuadroTexto">
          <a:extLst>
            <a:ext uri="{FF2B5EF4-FFF2-40B4-BE49-F238E27FC236}">
              <a16:creationId xmlns:a16="http://schemas.microsoft.com/office/drawing/2014/main" id="{00000000-0008-0000-2000-00000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4" name="230 CuadroTexto">
          <a:extLst>
            <a:ext uri="{FF2B5EF4-FFF2-40B4-BE49-F238E27FC236}">
              <a16:creationId xmlns:a16="http://schemas.microsoft.com/office/drawing/2014/main" id="{00000000-0008-0000-2000-00001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5" name="231 CuadroTexto">
          <a:extLst>
            <a:ext uri="{FF2B5EF4-FFF2-40B4-BE49-F238E27FC236}">
              <a16:creationId xmlns:a16="http://schemas.microsoft.com/office/drawing/2014/main" id="{00000000-0008-0000-2000-00001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6" name="232 CuadroTexto">
          <a:extLst>
            <a:ext uri="{FF2B5EF4-FFF2-40B4-BE49-F238E27FC236}">
              <a16:creationId xmlns:a16="http://schemas.microsoft.com/office/drawing/2014/main" id="{00000000-0008-0000-2000-00001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7" name="233 CuadroTexto">
          <a:extLst>
            <a:ext uri="{FF2B5EF4-FFF2-40B4-BE49-F238E27FC236}">
              <a16:creationId xmlns:a16="http://schemas.microsoft.com/office/drawing/2014/main" id="{00000000-0008-0000-2000-00001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8" name="234 CuadroTexto">
          <a:extLst>
            <a:ext uri="{FF2B5EF4-FFF2-40B4-BE49-F238E27FC236}">
              <a16:creationId xmlns:a16="http://schemas.microsoft.com/office/drawing/2014/main" id="{00000000-0008-0000-2000-00001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9" name="235 CuadroTexto">
          <a:extLst>
            <a:ext uri="{FF2B5EF4-FFF2-40B4-BE49-F238E27FC236}">
              <a16:creationId xmlns:a16="http://schemas.microsoft.com/office/drawing/2014/main" id="{00000000-0008-0000-2000-00001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0" name="236 CuadroTexto">
          <a:extLst>
            <a:ext uri="{FF2B5EF4-FFF2-40B4-BE49-F238E27FC236}">
              <a16:creationId xmlns:a16="http://schemas.microsoft.com/office/drawing/2014/main" id="{00000000-0008-0000-2000-00001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1" name="237 CuadroTexto">
          <a:extLst>
            <a:ext uri="{FF2B5EF4-FFF2-40B4-BE49-F238E27FC236}">
              <a16:creationId xmlns:a16="http://schemas.microsoft.com/office/drawing/2014/main" id="{00000000-0008-0000-2000-00001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2" name="238 CuadroTexto">
          <a:extLst>
            <a:ext uri="{FF2B5EF4-FFF2-40B4-BE49-F238E27FC236}">
              <a16:creationId xmlns:a16="http://schemas.microsoft.com/office/drawing/2014/main" id="{00000000-0008-0000-2000-00001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3" name="239 CuadroTexto">
          <a:extLst>
            <a:ext uri="{FF2B5EF4-FFF2-40B4-BE49-F238E27FC236}">
              <a16:creationId xmlns:a16="http://schemas.microsoft.com/office/drawing/2014/main" id="{00000000-0008-0000-2000-00001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4" name="240 CuadroTexto">
          <a:extLst>
            <a:ext uri="{FF2B5EF4-FFF2-40B4-BE49-F238E27FC236}">
              <a16:creationId xmlns:a16="http://schemas.microsoft.com/office/drawing/2014/main" id="{00000000-0008-0000-2000-00001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5" name="241 CuadroTexto">
          <a:extLst>
            <a:ext uri="{FF2B5EF4-FFF2-40B4-BE49-F238E27FC236}">
              <a16:creationId xmlns:a16="http://schemas.microsoft.com/office/drawing/2014/main" id="{00000000-0008-0000-2000-00001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6" name="242 CuadroTexto">
          <a:extLst>
            <a:ext uri="{FF2B5EF4-FFF2-40B4-BE49-F238E27FC236}">
              <a16:creationId xmlns:a16="http://schemas.microsoft.com/office/drawing/2014/main" id="{00000000-0008-0000-2000-00001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7" name="243 CuadroTexto">
          <a:extLst>
            <a:ext uri="{FF2B5EF4-FFF2-40B4-BE49-F238E27FC236}">
              <a16:creationId xmlns:a16="http://schemas.microsoft.com/office/drawing/2014/main" id="{00000000-0008-0000-2000-00001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8" name="244 CuadroTexto">
          <a:extLst>
            <a:ext uri="{FF2B5EF4-FFF2-40B4-BE49-F238E27FC236}">
              <a16:creationId xmlns:a16="http://schemas.microsoft.com/office/drawing/2014/main" id="{00000000-0008-0000-2000-00001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9" name="245 CuadroTexto">
          <a:extLst>
            <a:ext uri="{FF2B5EF4-FFF2-40B4-BE49-F238E27FC236}">
              <a16:creationId xmlns:a16="http://schemas.microsoft.com/office/drawing/2014/main" id="{00000000-0008-0000-2000-00001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0" name="246 CuadroTexto">
          <a:extLst>
            <a:ext uri="{FF2B5EF4-FFF2-40B4-BE49-F238E27FC236}">
              <a16:creationId xmlns:a16="http://schemas.microsoft.com/office/drawing/2014/main" id="{00000000-0008-0000-2000-00002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1" name="247 CuadroTexto">
          <a:extLst>
            <a:ext uri="{FF2B5EF4-FFF2-40B4-BE49-F238E27FC236}">
              <a16:creationId xmlns:a16="http://schemas.microsoft.com/office/drawing/2014/main" id="{00000000-0008-0000-2000-00002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2" name="248 CuadroTexto">
          <a:extLst>
            <a:ext uri="{FF2B5EF4-FFF2-40B4-BE49-F238E27FC236}">
              <a16:creationId xmlns:a16="http://schemas.microsoft.com/office/drawing/2014/main" id="{00000000-0008-0000-2000-00002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3" name="249 CuadroTexto">
          <a:extLst>
            <a:ext uri="{FF2B5EF4-FFF2-40B4-BE49-F238E27FC236}">
              <a16:creationId xmlns:a16="http://schemas.microsoft.com/office/drawing/2014/main" id="{00000000-0008-0000-2000-00002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4" name="250 CuadroTexto">
          <a:extLst>
            <a:ext uri="{FF2B5EF4-FFF2-40B4-BE49-F238E27FC236}">
              <a16:creationId xmlns:a16="http://schemas.microsoft.com/office/drawing/2014/main" id="{00000000-0008-0000-2000-00002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5" name="251 CuadroTexto">
          <a:extLst>
            <a:ext uri="{FF2B5EF4-FFF2-40B4-BE49-F238E27FC236}">
              <a16:creationId xmlns:a16="http://schemas.microsoft.com/office/drawing/2014/main" id="{00000000-0008-0000-2000-00002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6" name="252 CuadroTexto">
          <a:extLst>
            <a:ext uri="{FF2B5EF4-FFF2-40B4-BE49-F238E27FC236}">
              <a16:creationId xmlns:a16="http://schemas.microsoft.com/office/drawing/2014/main" id="{00000000-0008-0000-2000-00002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7" name="253 CuadroTexto">
          <a:extLst>
            <a:ext uri="{FF2B5EF4-FFF2-40B4-BE49-F238E27FC236}">
              <a16:creationId xmlns:a16="http://schemas.microsoft.com/office/drawing/2014/main" id="{00000000-0008-0000-2000-00002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8" name="254 CuadroTexto">
          <a:extLst>
            <a:ext uri="{FF2B5EF4-FFF2-40B4-BE49-F238E27FC236}">
              <a16:creationId xmlns:a16="http://schemas.microsoft.com/office/drawing/2014/main" id="{00000000-0008-0000-2000-00002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9" name="255 CuadroTexto">
          <a:extLst>
            <a:ext uri="{FF2B5EF4-FFF2-40B4-BE49-F238E27FC236}">
              <a16:creationId xmlns:a16="http://schemas.microsoft.com/office/drawing/2014/main" id="{00000000-0008-0000-2000-00002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0" name="256 CuadroTexto">
          <a:extLst>
            <a:ext uri="{FF2B5EF4-FFF2-40B4-BE49-F238E27FC236}">
              <a16:creationId xmlns:a16="http://schemas.microsoft.com/office/drawing/2014/main" id="{00000000-0008-0000-2000-00002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1" name="257 CuadroTexto">
          <a:extLst>
            <a:ext uri="{FF2B5EF4-FFF2-40B4-BE49-F238E27FC236}">
              <a16:creationId xmlns:a16="http://schemas.microsoft.com/office/drawing/2014/main" id="{00000000-0008-0000-2000-00002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2" name="258 CuadroTexto">
          <a:extLst>
            <a:ext uri="{FF2B5EF4-FFF2-40B4-BE49-F238E27FC236}">
              <a16:creationId xmlns:a16="http://schemas.microsoft.com/office/drawing/2014/main" id="{00000000-0008-0000-2000-00002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3" name="259 CuadroTexto">
          <a:extLst>
            <a:ext uri="{FF2B5EF4-FFF2-40B4-BE49-F238E27FC236}">
              <a16:creationId xmlns:a16="http://schemas.microsoft.com/office/drawing/2014/main" id="{00000000-0008-0000-2000-00002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4" name="260 CuadroTexto">
          <a:extLst>
            <a:ext uri="{FF2B5EF4-FFF2-40B4-BE49-F238E27FC236}">
              <a16:creationId xmlns:a16="http://schemas.microsoft.com/office/drawing/2014/main" id="{00000000-0008-0000-2000-00002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5" name="261 CuadroTexto">
          <a:extLst>
            <a:ext uri="{FF2B5EF4-FFF2-40B4-BE49-F238E27FC236}">
              <a16:creationId xmlns:a16="http://schemas.microsoft.com/office/drawing/2014/main" id="{00000000-0008-0000-2000-00002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6" name="262 CuadroTexto">
          <a:extLst>
            <a:ext uri="{FF2B5EF4-FFF2-40B4-BE49-F238E27FC236}">
              <a16:creationId xmlns:a16="http://schemas.microsoft.com/office/drawing/2014/main" id="{00000000-0008-0000-2000-00003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7" name="263 CuadroTexto">
          <a:extLst>
            <a:ext uri="{FF2B5EF4-FFF2-40B4-BE49-F238E27FC236}">
              <a16:creationId xmlns:a16="http://schemas.microsoft.com/office/drawing/2014/main" id="{00000000-0008-0000-2000-00003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8" name="264 CuadroTexto">
          <a:extLst>
            <a:ext uri="{FF2B5EF4-FFF2-40B4-BE49-F238E27FC236}">
              <a16:creationId xmlns:a16="http://schemas.microsoft.com/office/drawing/2014/main" id="{00000000-0008-0000-2000-00003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9" name="265 CuadroTexto">
          <a:extLst>
            <a:ext uri="{FF2B5EF4-FFF2-40B4-BE49-F238E27FC236}">
              <a16:creationId xmlns:a16="http://schemas.microsoft.com/office/drawing/2014/main" id="{00000000-0008-0000-2000-00003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0" name="266 CuadroTexto">
          <a:extLst>
            <a:ext uri="{FF2B5EF4-FFF2-40B4-BE49-F238E27FC236}">
              <a16:creationId xmlns:a16="http://schemas.microsoft.com/office/drawing/2014/main" id="{00000000-0008-0000-2000-00003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1" name="267 CuadroTexto">
          <a:extLst>
            <a:ext uri="{FF2B5EF4-FFF2-40B4-BE49-F238E27FC236}">
              <a16:creationId xmlns:a16="http://schemas.microsoft.com/office/drawing/2014/main" id="{00000000-0008-0000-2000-00003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662" name="268 CuadroTexto">
          <a:extLst>
            <a:ext uri="{FF2B5EF4-FFF2-40B4-BE49-F238E27FC236}">
              <a16:creationId xmlns:a16="http://schemas.microsoft.com/office/drawing/2014/main" id="{00000000-0008-0000-2000-00003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3" name="269 CuadroTexto">
          <a:extLst>
            <a:ext uri="{FF2B5EF4-FFF2-40B4-BE49-F238E27FC236}">
              <a16:creationId xmlns:a16="http://schemas.microsoft.com/office/drawing/2014/main" id="{00000000-0008-0000-2000-00003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4" name="270 CuadroTexto">
          <a:extLst>
            <a:ext uri="{FF2B5EF4-FFF2-40B4-BE49-F238E27FC236}">
              <a16:creationId xmlns:a16="http://schemas.microsoft.com/office/drawing/2014/main" id="{00000000-0008-0000-2000-00003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5" name="271 CuadroTexto">
          <a:extLst>
            <a:ext uri="{FF2B5EF4-FFF2-40B4-BE49-F238E27FC236}">
              <a16:creationId xmlns:a16="http://schemas.microsoft.com/office/drawing/2014/main" id="{00000000-0008-0000-2000-00003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6" name="272 CuadroTexto">
          <a:extLst>
            <a:ext uri="{FF2B5EF4-FFF2-40B4-BE49-F238E27FC236}">
              <a16:creationId xmlns:a16="http://schemas.microsoft.com/office/drawing/2014/main" id="{00000000-0008-0000-2000-00003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7" name="273 CuadroTexto">
          <a:extLst>
            <a:ext uri="{FF2B5EF4-FFF2-40B4-BE49-F238E27FC236}">
              <a16:creationId xmlns:a16="http://schemas.microsoft.com/office/drawing/2014/main" id="{00000000-0008-0000-2000-00003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8" name="274 CuadroTexto">
          <a:extLst>
            <a:ext uri="{FF2B5EF4-FFF2-40B4-BE49-F238E27FC236}">
              <a16:creationId xmlns:a16="http://schemas.microsoft.com/office/drawing/2014/main" id="{00000000-0008-0000-2000-00003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9" name="275 CuadroTexto">
          <a:extLst>
            <a:ext uri="{FF2B5EF4-FFF2-40B4-BE49-F238E27FC236}">
              <a16:creationId xmlns:a16="http://schemas.microsoft.com/office/drawing/2014/main" id="{00000000-0008-0000-2000-00003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0" name="276 CuadroTexto">
          <a:extLst>
            <a:ext uri="{FF2B5EF4-FFF2-40B4-BE49-F238E27FC236}">
              <a16:creationId xmlns:a16="http://schemas.microsoft.com/office/drawing/2014/main" id="{00000000-0008-0000-2000-00003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1" name="277 CuadroTexto">
          <a:extLst>
            <a:ext uri="{FF2B5EF4-FFF2-40B4-BE49-F238E27FC236}">
              <a16:creationId xmlns:a16="http://schemas.microsoft.com/office/drawing/2014/main" id="{00000000-0008-0000-2000-00003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2" name="278 CuadroTexto">
          <a:extLst>
            <a:ext uri="{FF2B5EF4-FFF2-40B4-BE49-F238E27FC236}">
              <a16:creationId xmlns:a16="http://schemas.microsoft.com/office/drawing/2014/main" id="{00000000-0008-0000-2000-00004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3" name="279 CuadroTexto">
          <a:extLst>
            <a:ext uri="{FF2B5EF4-FFF2-40B4-BE49-F238E27FC236}">
              <a16:creationId xmlns:a16="http://schemas.microsoft.com/office/drawing/2014/main" id="{00000000-0008-0000-2000-00004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4" name="280 CuadroTexto">
          <a:extLst>
            <a:ext uri="{FF2B5EF4-FFF2-40B4-BE49-F238E27FC236}">
              <a16:creationId xmlns:a16="http://schemas.microsoft.com/office/drawing/2014/main" id="{00000000-0008-0000-2000-00004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5" name="281 CuadroTexto">
          <a:extLst>
            <a:ext uri="{FF2B5EF4-FFF2-40B4-BE49-F238E27FC236}">
              <a16:creationId xmlns:a16="http://schemas.microsoft.com/office/drawing/2014/main" id="{00000000-0008-0000-2000-00004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6" name="282 CuadroTexto">
          <a:extLst>
            <a:ext uri="{FF2B5EF4-FFF2-40B4-BE49-F238E27FC236}">
              <a16:creationId xmlns:a16="http://schemas.microsoft.com/office/drawing/2014/main" id="{00000000-0008-0000-2000-00004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7" name="283 CuadroTexto">
          <a:extLst>
            <a:ext uri="{FF2B5EF4-FFF2-40B4-BE49-F238E27FC236}">
              <a16:creationId xmlns:a16="http://schemas.microsoft.com/office/drawing/2014/main" id="{00000000-0008-0000-2000-00004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8" name="284 CuadroTexto">
          <a:extLst>
            <a:ext uri="{FF2B5EF4-FFF2-40B4-BE49-F238E27FC236}">
              <a16:creationId xmlns:a16="http://schemas.microsoft.com/office/drawing/2014/main" id="{00000000-0008-0000-2000-00004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679" name="285 CuadroTexto">
          <a:extLst>
            <a:ext uri="{FF2B5EF4-FFF2-40B4-BE49-F238E27FC236}">
              <a16:creationId xmlns:a16="http://schemas.microsoft.com/office/drawing/2014/main" id="{00000000-0008-0000-2000-00004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0" name="286 CuadroTexto">
          <a:extLst>
            <a:ext uri="{FF2B5EF4-FFF2-40B4-BE49-F238E27FC236}">
              <a16:creationId xmlns:a16="http://schemas.microsoft.com/office/drawing/2014/main" id="{00000000-0008-0000-2000-00004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1" name="287 CuadroTexto">
          <a:extLst>
            <a:ext uri="{FF2B5EF4-FFF2-40B4-BE49-F238E27FC236}">
              <a16:creationId xmlns:a16="http://schemas.microsoft.com/office/drawing/2014/main" id="{00000000-0008-0000-2000-00004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2" name="288 CuadroTexto">
          <a:extLst>
            <a:ext uri="{FF2B5EF4-FFF2-40B4-BE49-F238E27FC236}">
              <a16:creationId xmlns:a16="http://schemas.microsoft.com/office/drawing/2014/main" id="{00000000-0008-0000-2000-00004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3" name="289 CuadroTexto">
          <a:extLst>
            <a:ext uri="{FF2B5EF4-FFF2-40B4-BE49-F238E27FC236}">
              <a16:creationId xmlns:a16="http://schemas.microsoft.com/office/drawing/2014/main" id="{00000000-0008-0000-2000-00004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4" name="290 CuadroTexto">
          <a:extLst>
            <a:ext uri="{FF2B5EF4-FFF2-40B4-BE49-F238E27FC236}">
              <a16:creationId xmlns:a16="http://schemas.microsoft.com/office/drawing/2014/main" id="{00000000-0008-0000-2000-00004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5" name="291 CuadroTexto">
          <a:extLst>
            <a:ext uri="{FF2B5EF4-FFF2-40B4-BE49-F238E27FC236}">
              <a16:creationId xmlns:a16="http://schemas.microsoft.com/office/drawing/2014/main" id="{00000000-0008-0000-2000-00004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6" name="292 CuadroTexto">
          <a:extLst>
            <a:ext uri="{FF2B5EF4-FFF2-40B4-BE49-F238E27FC236}">
              <a16:creationId xmlns:a16="http://schemas.microsoft.com/office/drawing/2014/main" id="{00000000-0008-0000-2000-00004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7" name="293 CuadroTexto">
          <a:extLst>
            <a:ext uri="{FF2B5EF4-FFF2-40B4-BE49-F238E27FC236}">
              <a16:creationId xmlns:a16="http://schemas.microsoft.com/office/drawing/2014/main" id="{00000000-0008-0000-2000-00004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8" name="294 CuadroTexto">
          <a:extLst>
            <a:ext uri="{FF2B5EF4-FFF2-40B4-BE49-F238E27FC236}">
              <a16:creationId xmlns:a16="http://schemas.microsoft.com/office/drawing/2014/main" id="{00000000-0008-0000-2000-00005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9" name="295 CuadroTexto">
          <a:extLst>
            <a:ext uri="{FF2B5EF4-FFF2-40B4-BE49-F238E27FC236}">
              <a16:creationId xmlns:a16="http://schemas.microsoft.com/office/drawing/2014/main" id="{00000000-0008-0000-2000-00005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0" name="296 CuadroTexto">
          <a:extLst>
            <a:ext uri="{FF2B5EF4-FFF2-40B4-BE49-F238E27FC236}">
              <a16:creationId xmlns:a16="http://schemas.microsoft.com/office/drawing/2014/main" id="{00000000-0008-0000-2000-00005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1" name="298 CuadroTexto">
          <a:extLst>
            <a:ext uri="{FF2B5EF4-FFF2-40B4-BE49-F238E27FC236}">
              <a16:creationId xmlns:a16="http://schemas.microsoft.com/office/drawing/2014/main" id="{00000000-0008-0000-2000-000053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2" name="299 CuadroTexto">
          <a:extLst>
            <a:ext uri="{FF2B5EF4-FFF2-40B4-BE49-F238E27FC236}">
              <a16:creationId xmlns:a16="http://schemas.microsoft.com/office/drawing/2014/main" id="{00000000-0008-0000-2000-000054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3" name="300 CuadroTexto">
          <a:extLst>
            <a:ext uri="{FF2B5EF4-FFF2-40B4-BE49-F238E27FC236}">
              <a16:creationId xmlns:a16="http://schemas.microsoft.com/office/drawing/2014/main" id="{00000000-0008-0000-2000-000055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4" name="301 CuadroTexto">
          <a:extLst>
            <a:ext uri="{FF2B5EF4-FFF2-40B4-BE49-F238E27FC236}">
              <a16:creationId xmlns:a16="http://schemas.microsoft.com/office/drawing/2014/main" id="{00000000-0008-0000-2000-000056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5" name="302 CuadroTexto">
          <a:extLst>
            <a:ext uri="{FF2B5EF4-FFF2-40B4-BE49-F238E27FC236}">
              <a16:creationId xmlns:a16="http://schemas.microsoft.com/office/drawing/2014/main" id="{00000000-0008-0000-2000-000057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6" name="303 CuadroTexto">
          <a:extLst>
            <a:ext uri="{FF2B5EF4-FFF2-40B4-BE49-F238E27FC236}">
              <a16:creationId xmlns:a16="http://schemas.microsoft.com/office/drawing/2014/main" id="{00000000-0008-0000-2000-000058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7" name="304 CuadroTexto">
          <a:extLst>
            <a:ext uri="{FF2B5EF4-FFF2-40B4-BE49-F238E27FC236}">
              <a16:creationId xmlns:a16="http://schemas.microsoft.com/office/drawing/2014/main" id="{00000000-0008-0000-2000-000059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8" name="305 CuadroTexto">
          <a:extLst>
            <a:ext uri="{FF2B5EF4-FFF2-40B4-BE49-F238E27FC236}">
              <a16:creationId xmlns:a16="http://schemas.microsoft.com/office/drawing/2014/main" id="{00000000-0008-0000-2000-00005A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9" name="452 CuadroTexto">
          <a:extLst>
            <a:ext uri="{FF2B5EF4-FFF2-40B4-BE49-F238E27FC236}">
              <a16:creationId xmlns:a16="http://schemas.microsoft.com/office/drawing/2014/main" id="{00000000-0008-0000-2000-00005B12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0" name="17 CuadroTexto">
          <a:extLst>
            <a:ext uri="{FF2B5EF4-FFF2-40B4-BE49-F238E27FC236}">
              <a16:creationId xmlns:a16="http://schemas.microsoft.com/office/drawing/2014/main" id="{00000000-0008-0000-2000-00005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701" name="90 CuadroTexto">
          <a:extLst>
            <a:ext uri="{FF2B5EF4-FFF2-40B4-BE49-F238E27FC236}">
              <a16:creationId xmlns:a16="http://schemas.microsoft.com/office/drawing/2014/main" id="{00000000-0008-0000-2000-00005D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2" name="91 CuadroTexto">
          <a:extLst>
            <a:ext uri="{FF2B5EF4-FFF2-40B4-BE49-F238E27FC236}">
              <a16:creationId xmlns:a16="http://schemas.microsoft.com/office/drawing/2014/main" id="{00000000-0008-0000-2000-00005E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3" name="92 CuadroTexto">
          <a:extLst>
            <a:ext uri="{FF2B5EF4-FFF2-40B4-BE49-F238E27FC236}">
              <a16:creationId xmlns:a16="http://schemas.microsoft.com/office/drawing/2014/main" id="{00000000-0008-0000-2000-00005F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4" name="93 CuadroTexto">
          <a:extLst>
            <a:ext uri="{FF2B5EF4-FFF2-40B4-BE49-F238E27FC236}">
              <a16:creationId xmlns:a16="http://schemas.microsoft.com/office/drawing/2014/main" id="{00000000-0008-0000-2000-000060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5" name="94 CuadroTexto">
          <a:extLst>
            <a:ext uri="{FF2B5EF4-FFF2-40B4-BE49-F238E27FC236}">
              <a16:creationId xmlns:a16="http://schemas.microsoft.com/office/drawing/2014/main" id="{00000000-0008-0000-2000-000061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6" name="95 CuadroTexto">
          <a:extLst>
            <a:ext uri="{FF2B5EF4-FFF2-40B4-BE49-F238E27FC236}">
              <a16:creationId xmlns:a16="http://schemas.microsoft.com/office/drawing/2014/main" id="{00000000-0008-0000-2000-000062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7" name="96 CuadroTexto">
          <a:extLst>
            <a:ext uri="{FF2B5EF4-FFF2-40B4-BE49-F238E27FC236}">
              <a16:creationId xmlns:a16="http://schemas.microsoft.com/office/drawing/2014/main" id="{00000000-0008-0000-2000-000063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8" name="97 CuadroTexto">
          <a:extLst>
            <a:ext uri="{FF2B5EF4-FFF2-40B4-BE49-F238E27FC236}">
              <a16:creationId xmlns:a16="http://schemas.microsoft.com/office/drawing/2014/main" id="{00000000-0008-0000-2000-000064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9" name="98 CuadroTexto">
          <a:extLst>
            <a:ext uri="{FF2B5EF4-FFF2-40B4-BE49-F238E27FC236}">
              <a16:creationId xmlns:a16="http://schemas.microsoft.com/office/drawing/2014/main" id="{00000000-0008-0000-2000-000065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0" name="99 CuadroTexto">
          <a:extLst>
            <a:ext uri="{FF2B5EF4-FFF2-40B4-BE49-F238E27FC236}">
              <a16:creationId xmlns:a16="http://schemas.microsoft.com/office/drawing/2014/main" id="{00000000-0008-0000-2000-000066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1" name="100 CuadroTexto">
          <a:extLst>
            <a:ext uri="{FF2B5EF4-FFF2-40B4-BE49-F238E27FC236}">
              <a16:creationId xmlns:a16="http://schemas.microsoft.com/office/drawing/2014/main" id="{00000000-0008-0000-2000-000067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2" name="101 CuadroTexto">
          <a:extLst>
            <a:ext uri="{FF2B5EF4-FFF2-40B4-BE49-F238E27FC236}">
              <a16:creationId xmlns:a16="http://schemas.microsoft.com/office/drawing/2014/main" id="{00000000-0008-0000-2000-000068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713" name="118 CuadroTexto">
          <a:extLst>
            <a:ext uri="{FF2B5EF4-FFF2-40B4-BE49-F238E27FC236}">
              <a16:creationId xmlns:a16="http://schemas.microsoft.com/office/drawing/2014/main" id="{00000000-0008-0000-2000-00006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4" name="119 CuadroTexto">
          <a:extLst>
            <a:ext uri="{FF2B5EF4-FFF2-40B4-BE49-F238E27FC236}">
              <a16:creationId xmlns:a16="http://schemas.microsoft.com/office/drawing/2014/main" id="{00000000-0008-0000-2000-00006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5" name="120 CuadroTexto">
          <a:extLst>
            <a:ext uri="{FF2B5EF4-FFF2-40B4-BE49-F238E27FC236}">
              <a16:creationId xmlns:a16="http://schemas.microsoft.com/office/drawing/2014/main" id="{00000000-0008-0000-2000-00006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6" name="121 CuadroTexto">
          <a:extLst>
            <a:ext uri="{FF2B5EF4-FFF2-40B4-BE49-F238E27FC236}">
              <a16:creationId xmlns:a16="http://schemas.microsoft.com/office/drawing/2014/main" id="{00000000-0008-0000-2000-00006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7" name="122 CuadroTexto">
          <a:extLst>
            <a:ext uri="{FF2B5EF4-FFF2-40B4-BE49-F238E27FC236}">
              <a16:creationId xmlns:a16="http://schemas.microsoft.com/office/drawing/2014/main" id="{00000000-0008-0000-2000-00006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8" name="123 CuadroTexto">
          <a:extLst>
            <a:ext uri="{FF2B5EF4-FFF2-40B4-BE49-F238E27FC236}">
              <a16:creationId xmlns:a16="http://schemas.microsoft.com/office/drawing/2014/main" id="{00000000-0008-0000-2000-00006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9" name="124 CuadroTexto">
          <a:extLst>
            <a:ext uri="{FF2B5EF4-FFF2-40B4-BE49-F238E27FC236}">
              <a16:creationId xmlns:a16="http://schemas.microsoft.com/office/drawing/2014/main" id="{00000000-0008-0000-2000-00006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0" name="125 CuadroTexto">
          <a:extLst>
            <a:ext uri="{FF2B5EF4-FFF2-40B4-BE49-F238E27FC236}">
              <a16:creationId xmlns:a16="http://schemas.microsoft.com/office/drawing/2014/main" id="{00000000-0008-0000-2000-00007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1" name="143 CuadroTexto">
          <a:extLst>
            <a:ext uri="{FF2B5EF4-FFF2-40B4-BE49-F238E27FC236}">
              <a16:creationId xmlns:a16="http://schemas.microsoft.com/office/drawing/2014/main" id="{00000000-0008-0000-2000-00007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2" name="144 CuadroTexto">
          <a:extLst>
            <a:ext uri="{FF2B5EF4-FFF2-40B4-BE49-F238E27FC236}">
              <a16:creationId xmlns:a16="http://schemas.microsoft.com/office/drawing/2014/main" id="{00000000-0008-0000-2000-00007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3" name="145 CuadroTexto">
          <a:extLst>
            <a:ext uri="{FF2B5EF4-FFF2-40B4-BE49-F238E27FC236}">
              <a16:creationId xmlns:a16="http://schemas.microsoft.com/office/drawing/2014/main" id="{00000000-0008-0000-2000-00007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4" name="146 CuadroTexto">
          <a:extLst>
            <a:ext uri="{FF2B5EF4-FFF2-40B4-BE49-F238E27FC236}">
              <a16:creationId xmlns:a16="http://schemas.microsoft.com/office/drawing/2014/main" id="{00000000-0008-0000-2000-00007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5" name="147 CuadroTexto">
          <a:extLst>
            <a:ext uri="{FF2B5EF4-FFF2-40B4-BE49-F238E27FC236}">
              <a16:creationId xmlns:a16="http://schemas.microsoft.com/office/drawing/2014/main" id="{00000000-0008-0000-2000-00007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6" name="148 CuadroTexto">
          <a:extLst>
            <a:ext uri="{FF2B5EF4-FFF2-40B4-BE49-F238E27FC236}">
              <a16:creationId xmlns:a16="http://schemas.microsoft.com/office/drawing/2014/main" id="{00000000-0008-0000-2000-00007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7" name="149 CuadroTexto">
          <a:extLst>
            <a:ext uri="{FF2B5EF4-FFF2-40B4-BE49-F238E27FC236}">
              <a16:creationId xmlns:a16="http://schemas.microsoft.com/office/drawing/2014/main" id="{00000000-0008-0000-2000-00007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8" name="150 CuadroTexto">
          <a:extLst>
            <a:ext uri="{FF2B5EF4-FFF2-40B4-BE49-F238E27FC236}">
              <a16:creationId xmlns:a16="http://schemas.microsoft.com/office/drawing/2014/main" id="{00000000-0008-0000-2000-00007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9" name="151 CuadroTexto">
          <a:extLst>
            <a:ext uri="{FF2B5EF4-FFF2-40B4-BE49-F238E27FC236}">
              <a16:creationId xmlns:a16="http://schemas.microsoft.com/office/drawing/2014/main" id="{00000000-0008-0000-2000-00007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0" name="152 CuadroTexto">
          <a:extLst>
            <a:ext uri="{FF2B5EF4-FFF2-40B4-BE49-F238E27FC236}">
              <a16:creationId xmlns:a16="http://schemas.microsoft.com/office/drawing/2014/main" id="{00000000-0008-0000-2000-00007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1" name="153 CuadroTexto">
          <a:extLst>
            <a:ext uri="{FF2B5EF4-FFF2-40B4-BE49-F238E27FC236}">
              <a16:creationId xmlns:a16="http://schemas.microsoft.com/office/drawing/2014/main" id="{00000000-0008-0000-2000-00007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2" name="154 CuadroTexto">
          <a:extLst>
            <a:ext uri="{FF2B5EF4-FFF2-40B4-BE49-F238E27FC236}">
              <a16:creationId xmlns:a16="http://schemas.microsoft.com/office/drawing/2014/main" id="{00000000-0008-0000-2000-00007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3" name="155 CuadroTexto">
          <a:extLst>
            <a:ext uri="{FF2B5EF4-FFF2-40B4-BE49-F238E27FC236}">
              <a16:creationId xmlns:a16="http://schemas.microsoft.com/office/drawing/2014/main" id="{00000000-0008-0000-2000-00007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4" name="156 CuadroTexto">
          <a:extLst>
            <a:ext uri="{FF2B5EF4-FFF2-40B4-BE49-F238E27FC236}">
              <a16:creationId xmlns:a16="http://schemas.microsoft.com/office/drawing/2014/main" id="{00000000-0008-0000-2000-00007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5" name="157 CuadroTexto">
          <a:extLst>
            <a:ext uri="{FF2B5EF4-FFF2-40B4-BE49-F238E27FC236}">
              <a16:creationId xmlns:a16="http://schemas.microsoft.com/office/drawing/2014/main" id="{00000000-0008-0000-2000-00007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6" name="158 CuadroTexto">
          <a:extLst>
            <a:ext uri="{FF2B5EF4-FFF2-40B4-BE49-F238E27FC236}">
              <a16:creationId xmlns:a16="http://schemas.microsoft.com/office/drawing/2014/main" id="{00000000-0008-0000-2000-00008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7" name="159 CuadroTexto">
          <a:extLst>
            <a:ext uri="{FF2B5EF4-FFF2-40B4-BE49-F238E27FC236}">
              <a16:creationId xmlns:a16="http://schemas.microsoft.com/office/drawing/2014/main" id="{00000000-0008-0000-2000-00008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8" name="160 CuadroTexto">
          <a:extLst>
            <a:ext uri="{FF2B5EF4-FFF2-40B4-BE49-F238E27FC236}">
              <a16:creationId xmlns:a16="http://schemas.microsoft.com/office/drawing/2014/main" id="{00000000-0008-0000-2000-00008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9" name="161 CuadroTexto">
          <a:extLst>
            <a:ext uri="{FF2B5EF4-FFF2-40B4-BE49-F238E27FC236}">
              <a16:creationId xmlns:a16="http://schemas.microsoft.com/office/drawing/2014/main" id="{00000000-0008-0000-2000-00008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0" name="162 CuadroTexto">
          <a:extLst>
            <a:ext uri="{FF2B5EF4-FFF2-40B4-BE49-F238E27FC236}">
              <a16:creationId xmlns:a16="http://schemas.microsoft.com/office/drawing/2014/main" id="{00000000-0008-0000-2000-00008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1" name="163 CuadroTexto">
          <a:extLst>
            <a:ext uri="{FF2B5EF4-FFF2-40B4-BE49-F238E27FC236}">
              <a16:creationId xmlns:a16="http://schemas.microsoft.com/office/drawing/2014/main" id="{00000000-0008-0000-2000-00008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2" name="164 CuadroTexto">
          <a:extLst>
            <a:ext uri="{FF2B5EF4-FFF2-40B4-BE49-F238E27FC236}">
              <a16:creationId xmlns:a16="http://schemas.microsoft.com/office/drawing/2014/main" id="{00000000-0008-0000-2000-00008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3" name="165 CuadroTexto">
          <a:extLst>
            <a:ext uri="{FF2B5EF4-FFF2-40B4-BE49-F238E27FC236}">
              <a16:creationId xmlns:a16="http://schemas.microsoft.com/office/drawing/2014/main" id="{00000000-0008-0000-2000-00008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4" name="166 CuadroTexto">
          <a:extLst>
            <a:ext uri="{FF2B5EF4-FFF2-40B4-BE49-F238E27FC236}">
              <a16:creationId xmlns:a16="http://schemas.microsoft.com/office/drawing/2014/main" id="{00000000-0008-0000-2000-00008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5" name="167 CuadroTexto">
          <a:extLst>
            <a:ext uri="{FF2B5EF4-FFF2-40B4-BE49-F238E27FC236}">
              <a16:creationId xmlns:a16="http://schemas.microsoft.com/office/drawing/2014/main" id="{00000000-0008-0000-2000-00008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6" name="168 CuadroTexto">
          <a:extLst>
            <a:ext uri="{FF2B5EF4-FFF2-40B4-BE49-F238E27FC236}">
              <a16:creationId xmlns:a16="http://schemas.microsoft.com/office/drawing/2014/main" id="{00000000-0008-0000-2000-00008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7" name="169 CuadroTexto">
          <a:extLst>
            <a:ext uri="{FF2B5EF4-FFF2-40B4-BE49-F238E27FC236}">
              <a16:creationId xmlns:a16="http://schemas.microsoft.com/office/drawing/2014/main" id="{00000000-0008-0000-2000-00008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8" name="170 CuadroTexto">
          <a:extLst>
            <a:ext uri="{FF2B5EF4-FFF2-40B4-BE49-F238E27FC236}">
              <a16:creationId xmlns:a16="http://schemas.microsoft.com/office/drawing/2014/main" id="{00000000-0008-0000-2000-00008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9" name="171 CuadroTexto">
          <a:extLst>
            <a:ext uri="{FF2B5EF4-FFF2-40B4-BE49-F238E27FC236}">
              <a16:creationId xmlns:a16="http://schemas.microsoft.com/office/drawing/2014/main" id="{00000000-0008-0000-2000-00008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0" name="172 CuadroTexto">
          <a:extLst>
            <a:ext uri="{FF2B5EF4-FFF2-40B4-BE49-F238E27FC236}">
              <a16:creationId xmlns:a16="http://schemas.microsoft.com/office/drawing/2014/main" id="{00000000-0008-0000-2000-00008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1" name="173 CuadroTexto">
          <a:extLst>
            <a:ext uri="{FF2B5EF4-FFF2-40B4-BE49-F238E27FC236}">
              <a16:creationId xmlns:a16="http://schemas.microsoft.com/office/drawing/2014/main" id="{00000000-0008-0000-2000-00008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2" name="174 CuadroTexto">
          <a:extLst>
            <a:ext uri="{FF2B5EF4-FFF2-40B4-BE49-F238E27FC236}">
              <a16:creationId xmlns:a16="http://schemas.microsoft.com/office/drawing/2014/main" id="{00000000-0008-0000-2000-00009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3" name="175 CuadroTexto">
          <a:extLst>
            <a:ext uri="{FF2B5EF4-FFF2-40B4-BE49-F238E27FC236}">
              <a16:creationId xmlns:a16="http://schemas.microsoft.com/office/drawing/2014/main" id="{00000000-0008-0000-2000-00009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4" name="176 CuadroTexto">
          <a:extLst>
            <a:ext uri="{FF2B5EF4-FFF2-40B4-BE49-F238E27FC236}">
              <a16:creationId xmlns:a16="http://schemas.microsoft.com/office/drawing/2014/main" id="{00000000-0008-0000-2000-00009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5" name="177 CuadroTexto">
          <a:extLst>
            <a:ext uri="{FF2B5EF4-FFF2-40B4-BE49-F238E27FC236}">
              <a16:creationId xmlns:a16="http://schemas.microsoft.com/office/drawing/2014/main" id="{00000000-0008-0000-2000-00009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6" name="178 CuadroTexto">
          <a:extLst>
            <a:ext uri="{FF2B5EF4-FFF2-40B4-BE49-F238E27FC236}">
              <a16:creationId xmlns:a16="http://schemas.microsoft.com/office/drawing/2014/main" id="{00000000-0008-0000-2000-00009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7" name="179 CuadroTexto">
          <a:extLst>
            <a:ext uri="{FF2B5EF4-FFF2-40B4-BE49-F238E27FC236}">
              <a16:creationId xmlns:a16="http://schemas.microsoft.com/office/drawing/2014/main" id="{00000000-0008-0000-2000-00009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8" name="180 CuadroTexto">
          <a:extLst>
            <a:ext uri="{FF2B5EF4-FFF2-40B4-BE49-F238E27FC236}">
              <a16:creationId xmlns:a16="http://schemas.microsoft.com/office/drawing/2014/main" id="{00000000-0008-0000-2000-00009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9" name="181 CuadroTexto">
          <a:extLst>
            <a:ext uri="{FF2B5EF4-FFF2-40B4-BE49-F238E27FC236}">
              <a16:creationId xmlns:a16="http://schemas.microsoft.com/office/drawing/2014/main" id="{00000000-0008-0000-2000-00009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0" name="182 CuadroTexto">
          <a:extLst>
            <a:ext uri="{FF2B5EF4-FFF2-40B4-BE49-F238E27FC236}">
              <a16:creationId xmlns:a16="http://schemas.microsoft.com/office/drawing/2014/main" id="{00000000-0008-0000-2000-00009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1" name="183 CuadroTexto">
          <a:extLst>
            <a:ext uri="{FF2B5EF4-FFF2-40B4-BE49-F238E27FC236}">
              <a16:creationId xmlns:a16="http://schemas.microsoft.com/office/drawing/2014/main" id="{00000000-0008-0000-2000-00009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2" name="184 CuadroTexto">
          <a:extLst>
            <a:ext uri="{FF2B5EF4-FFF2-40B4-BE49-F238E27FC236}">
              <a16:creationId xmlns:a16="http://schemas.microsoft.com/office/drawing/2014/main" id="{00000000-0008-0000-2000-00009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3" name="185 CuadroTexto">
          <a:extLst>
            <a:ext uri="{FF2B5EF4-FFF2-40B4-BE49-F238E27FC236}">
              <a16:creationId xmlns:a16="http://schemas.microsoft.com/office/drawing/2014/main" id="{00000000-0008-0000-2000-00009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4" name="186 CuadroTexto">
          <a:extLst>
            <a:ext uri="{FF2B5EF4-FFF2-40B4-BE49-F238E27FC236}">
              <a16:creationId xmlns:a16="http://schemas.microsoft.com/office/drawing/2014/main" id="{00000000-0008-0000-2000-00009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5" name="187 CuadroTexto">
          <a:extLst>
            <a:ext uri="{FF2B5EF4-FFF2-40B4-BE49-F238E27FC236}">
              <a16:creationId xmlns:a16="http://schemas.microsoft.com/office/drawing/2014/main" id="{00000000-0008-0000-2000-00009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6" name="188 CuadroTexto">
          <a:extLst>
            <a:ext uri="{FF2B5EF4-FFF2-40B4-BE49-F238E27FC236}">
              <a16:creationId xmlns:a16="http://schemas.microsoft.com/office/drawing/2014/main" id="{00000000-0008-0000-2000-00009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7" name="189 CuadroTexto">
          <a:extLst>
            <a:ext uri="{FF2B5EF4-FFF2-40B4-BE49-F238E27FC236}">
              <a16:creationId xmlns:a16="http://schemas.microsoft.com/office/drawing/2014/main" id="{00000000-0008-0000-2000-00009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8" name="190 CuadroTexto">
          <a:extLst>
            <a:ext uri="{FF2B5EF4-FFF2-40B4-BE49-F238E27FC236}">
              <a16:creationId xmlns:a16="http://schemas.microsoft.com/office/drawing/2014/main" id="{00000000-0008-0000-2000-0000A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9" name="191 CuadroTexto">
          <a:extLst>
            <a:ext uri="{FF2B5EF4-FFF2-40B4-BE49-F238E27FC236}">
              <a16:creationId xmlns:a16="http://schemas.microsoft.com/office/drawing/2014/main" id="{00000000-0008-0000-2000-0000A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0" name="192 CuadroTexto">
          <a:extLst>
            <a:ext uri="{FF2B5EF4-FFF2-40B4-BE49-F238E27FC236}">
              <a16:creationId xmlns:a16="http://schemas.microsoft.com/office/drawing/2014/main" id="{00000000-0008-0000-2000-0000A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1" name="193 CuadroTexto">
          <a:extLst>
            <a:ext uri="{FF2B5EF4-FFF2-40B4-BE49-F238E27FC236}">
              <a16:creationId xmlns:a16="http://schemas.microsoft.com/office/drawing/2014/main" id="{00000000-0008-0000-2000-0000A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2" name="194 CuadroTexto">
          <a:extLst>
            <a:ext uri="{FF2B5EF4-FFF2-40B4-BE49-F238E27FC236}">
              <a16:creationId xmlns:a16="http://schemas.microsoft.com/office/drawing/2014/main" id="{00000000-0008-0000-2000-0000A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3" name="195 CuadroTexto">
          <a:extLst>
            <a:ext uri="{FF2B5EF4-FFF2-40B4-BE49-F238E27FC236}">
              <a16:creationId xmlns:a16="http://schemas.microsoft.com/office/drawing/2014/main" id="{00000000-0008-0000-2000-0000A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4" name="196 CuadroTexto">
          <a:extLst>
            <a:ext uri="{FF2B5EF4-FFF2-40B4-BE49-F238E27FC236}">
              <a16:creationId xmlns:a16="http://schemas.microsoft.com/office/drawing/2014/main" id="{00000000-0008-0000-2000-0000A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5" name="197 CuadroTexto">
          <a:extLst>
            <a:ext uri="{FF2B5EF4-FFF2-40B4-BE49-F238E27FC236}">
              <a16:creationId xmlns:a16="http://schemas.microsoft.com/office/drawing/2014/main" id="{00000000-0008-0000-2000-0000A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6" name="198 CuadroTexto">
          <a:extLst>
            <a:ext uri="{FF2B5EF4-FFF2-40B4-BE49-F238E27FC236}">
              <a16:creationId xmlns:a16="http://schemas.microsoft.com/office/drawing/2014/main" id="{00000000-0008-0000-2000-0000A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7" name="199 CuadroTexto">
          <a:extLst>
            <a:ext uri="{FF2B5EF4-FFF2-40B4-BE49-F238E27FC236}">
              <a16:creationId xmlns:a16="http://schemas.microsoft.com/office/drawing/2014/main" id="{00000000-0008-0000-2000-0000A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8" name="200 CuadroTexto">
          <a:extLst>
            <a:ext uri="{FF2B5EF4-FFF2-40B4-BE49-F238E27FC236}">
              <a16:creationId xmlns:a16="http://schemas.microsoft.com/office/drawing/2014/main" id="{00000000-0008-0000-2000-0000A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9" name="201 CuadroTexto">
          <a:extLst>
            <a:ext uri="{FF2B5EF4-FFF2-40B4-BE49-F238E27FC236}">
              <a16:creationId xmlns:a16="http://schemas.microsoft.com/office/drawing/2014/main" id="{00000000-0008-0000-2000-0000A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0" name="202 CuadroTexto">
          <a:extLst>
            <a:ext uri="{FF2B5EF4-FFF2-40B4-BE49-F238E27FC236}">
              <a16:creationId xmlns:a16="http://schemas.microsoft.com/office/drawing/2014/main" id="{00000000-0008-0000-2000-0000A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1" name="203 CuadroTexto">
          <a:extLst>
            <a:ext uri="{FF2B5EF4-FFF2-40B4-BE49-F238E27FC236}">
              <a16:creationId xmlns:a16="http://schemas.microsoft.com/office/drawing/2014/main" id="{00000000-0008-0000-2000-0000A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2" name="204 CuadroTexto">
          <a:extLst>
            <a:ext uri="{FF2B5EF4-FFF2-40B4-BE49-F238E27FC236}">
              <a16:creationId xmlns:a16="http://schemas.microsoft.com/office/drawing/2014/main" id="{00000000-0008-0000-2000-0000A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3" name="205 CuadroTexto">
          <a:extLst>
            <a:ext uri="{FF2B5EF4-FFF2-40B4-BE49-F238E27FC236}">
              <a16:creationId xmlns:a16="http://schemas.microsoft.com/office/drawing/2014/main" id="{00000000-0008-0000-2000-0000A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4" name="206 CuadroTexto">
          <a:extLst>
            <a:ext uri="{FF2B5EF4-FFF2-40B4-BE49-F238E27FC236}">
              <a16:creationId xmlns:a16="http://schemas.microsoft.com/office/drawing/2014/main" id="{00000000-0008-0000-2000-0000B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5" name="207 CuadroTexto">
          <a:extLst>
            <a:ext uri="{FF2B5EF4-FFF2-40B4-BE49-F238E27FC236}">
              <a16:creationId xmlns:a16="http://schemas.microsoft.com/office/drawing/2014/main" id="{00000000-0008-0000-2000-0000B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6" name="208 CuadroTexto">
          <a:extLst>
            <a:ext uri="{FF2B5EF4-FFF2-40B4-BE49-F238E27FC236}">
              <a16:creationId xmlns:a16="http://schemas.microsoft.com/office/drawing/2014/main" id="{00000000-0008-0000-2000-0000B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7" name="209 CuadroTexto">
          <a:extLst>
            <a:ext uri="{FF2B5EF4-FFF2-40B4-BE49-F238E27FC236}">
              <a16:creationId xmlns:a16="http://schemas.microsoft.com/office/drawing/2014/main" id="{00000000-0008-0000-2000-0000B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8" name="210 CuadroTexto">
          <a:extLst>
            <a:ext uri="{FF2B5EF4-FFF2-40B4-BE49-F238E27FC236}">
              <a16:creationId xmlns:a16="http://schemas.microsoft.com/office/drawing/2014/main" id="{00000000-0008-0000-2000-0000B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9" name="211 CuadroTexto">
          <a:extLst>
            <a:ext uri="{FF2B5EF4-FFF2-40B4-BE49-F238E27FC236}">
              <a16:creationId xmlns:a16="http://schemas.microsoft.com/office/drawing/2014/main" id="{00000000-0008-0000-2000-0000B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0" name="212 CuadroTexto">
          <a:extLst>
            <a:ext uri="{FF2B5EF4-FFF2-40B4-BE49-F238E27FC236}">
              <a16:creationId xmlns:a16="http://schemas.microsoft.com/office/drawing/2014/main" id="{00000000-0008-0000-2000-0000B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1" name="213 CuadroTexto">
          <a:extLst>
            <a:ext uri="{FF2B5EF4-FFF2-40B4-BE49-F238E27FC236}">
              <a16:creationId xmlns:a16="http://schemas.microsoft.com/office/drawing/2014/main" id="{00000000-0008-0000-2000-0000B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2" name="214 CuadroTexto">
          <a:extLst>
            <a:ext uri="{FF2B5EF4-FFF2-40B4-BE49-F238E27FC236}">
              <a16:creationId xmlns:a16="http://schemas.microsoft.com/office/drawing/2014/main" id="{00000000-0008-0000-2000-0000B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3" name="215 CuadroTexto">
          <a:extLst>
            <a:ext uri="{FF2B5EF4-FFF2-40B4-BE49-F238E27FC236}">
              <a16:creationId xmlns:a16="http://schemas.microsoft.com/office/drawing/2014/main" id="{00000000-0008-0000-2000-0000B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4" name="216 CuadroTexto">
          <a:extLst>
            <a:ext uri="{FF2B5EF4-FFF2-40B4-BE49-F238E27FC236}">
              <a16:creationId xmlns:a16="http://schemas.microsoft.com/office/drawing/2014/main" id="{00000000-0008-0000-2000-0000B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5" name="217 CuadroTexto">
          <a:extLst>
            <a:ext uri="{FF2B5EF4-FFF2-40B4-BE49-F238E27FC236}">
              <a16:creationId xmlns:a16="http://schemas.microsoft.com/office/drawing/2014/main" id="{00000000-0008-0000-2000-0000B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6" name="218 CuadroTexto">
          <a:extLst>
            <a:ext uri="{FF2B5EF4-FFF2-40B4-BE49-F238E27FC236}">
              <a16:creationId xmlns:a16="http://schemas.microsoft.com/office/drawing/2014/main" id="{00000000-0008-0000-2000-0000B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7" name="219 CuadroTexto">
          <a:extLst>
            <a:ext uri="{FF2B5EF4-FFF2-40B4-BE49-F238E27FC236}">
              <a16:creationId xmlns:a16="http://schemas.microsoft.com/office/drawing/2014/main" id="{00000000-0008-0000-2000-0000B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8" name="220 CuadroTexto">
          <a:extLst>
            <a:ext uri="{FF2B5EF4-FFF2-40B4-BE49-F238E27FC236}">
              <a16:creationId xmlns:a16="http://schemas.microsoft.com/office/drawing/2014/main" id="{00000000-0008-0000-2000-0000B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9" name="221 CuadroTexto">
          <a:extLst>
            <a:ext uri="{FF2B5EF4-FFF2-40B4-BE49-F238E27FC236}">
              <a16:creationId xmlns:a16="http://schemas.microsoft.com/office/drawing/2014/main" id="{00000000-0008-0000-2000-0000B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0" name="222 CuadroTexto">
          <a:extLst>
            <a:ext uri="{FF2B5EF4-FFF2-40B4-BE49-F238E27FC236}">
              <a16:creationId xmlns:a16="http://schemas.microsoft.com/office/drawing/2014/main" id="{00000000-0008-0000-2000-0000C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1" name="223 CuadroTexto">
          <a:extLst>
            <a:ext uri="{FF2B5EF4-FFF2-40B4-BE49-F238E27FC236}">
              <a16:creationId xmlns:a16="http://schemas.microsoft.com/office/drawing/2014/main" id="{00000000-0008-0000-2000-0000C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2" name="224 CuadroTexto">
          <a:extLst>
            <a:ext uri="{FF2B5EF4-FFF2-40B4-BE49-F238E27FC236}">
              <a16:creationId xmlns:a16="http://schemas.microsoft.com/office/drawing/2014/main" id="{00000000-0008-0000-2000-0000C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3" name="225 CuadroTexto">
          <a:extLst>
            <a:ext uri="{FF2B5EF4-FFF2-40B4-BE49-F238E27FC236}">
              <a16:creationId xmlns:a16="http://schemas.microsoft.com/office/drawing/2014/main" id="{00000000-0008-0000-2000-0000C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4" name="226 CuadroTexto">
          <a:extLst>
            <a:ext uri="{FF2B5EF4-FFF2-40B4-BE49-F238E27FC236}">
              <a16:creationId xmlns:a16="http://schemas.microsoft.com/office/drawing/2014/main" id="{00000000-0008-0000-2000-0000C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5" name="227 CuadroTexto">
          <a:extLst>
            <a:ext uri="{FF2B5EF4-FFF2-40B4-BE49-F238E27FC236}">
              <a16:creationId xmlns:a16="http://schemas.microsoft.com/office/drawing/2014/main" id="{00000000-0008-0000-2000-0000C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6" name="228 CuadroTexto">
          <a:extLst>
            <a:ext uri="{FF2B5EF4-FFF2-40B4-BE49-F238E27FC236}">
              <a16:creationId xmlns:a16="http://schemas.microsoft.com/office/drawing/2014/main" id="{00000000-0008-0000-2000-0000C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7" name="229 CuadroTexto">
          <a:extLst>
            <a:ext uri="{FF2B5EF4-FFF2-40B4-BE49-F238E27FC236}">
              <a16:creationId xmlns:a16="http://schemas.microsoft.com/office/drawing/2014/main" id="{00000000-0008-0000-2000-0000C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8" name="230 CuadroTexto">
          <a:extLst>
            <a:ext uri="{FF2B5EF4-FFF2-40B4-BE49-F238E27FC236}">
              <a16:creationId xmlns:a16="http://schemas.microsoft.com/office/drawing/2014/main" id="{00000000-0008-0000-2000-0000C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9" name="231 CuadroTexto">
          <a:extLst>
            <a:ext uri="{FF2B5EF4-FFF2-40B4-BE49-F238E27FC236}">
              <a16:creationId xmlns:a16="http://schemas.microsoft.com/office/drawing/2014/main" id="{00000000-0008-0000-2000-0000C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0" name="232 CuadroTexto">
          <a:extLst>
            <a:ext uri="{FF2B5EF4-FFF2-40B4-BE49-F238E27FC236}">
              <a16:creationId xmlns:a16="http://schemas.microsoft.com/office/drawing/2014/main" id="{00000000-0008-0000-2000-0000C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1" name="233 CuadroTexto">
          <a:extLst>
            <a:ext uri="{FF2B5EF4-FFF2-40B4-BE49-F238E27FC236}">
              <a16:creationId xmlns:a16="http://schemas.microsoft.com/office/drawing/2014/main" id="{00000000-0008-0000-2000-0000C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2" name="234 CuadroTexto">
          <a:extLst>
            <a:ext uri="{FF2B5EF4-FFF2-40B4-BE49-F238E27FC236}">
              <a16:creationId xmlns:a16="http://schemas.microsoft.com/office/drawing/2014/main" id="{00000000-0008-0000-2000-0000C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3" name="235 CuadroTexto">
          <a:extLst>
            <a:ext uri="{FF2B5EF4-FFF2-40B4-BE49-F238E27FC236}">
              <a16:creationId xmlns:a16="http://schemas.microsoft.com/office/drawing/2014/main" id="{00000000-0008-0000-2000-0000C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4" name="236 CuadroTexto">
          <a:extLst>
            <a:ext uri="{FF2B5EF4-FFF2-40B4-BE49-F238E27FC236}">
              <a16:creationId xmlns:a16="http://schemas.microsoft.com/office/drawing/2014/main" id="{00000000-0008-0000-2000-0000C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5" name="237 CuadroTexto">
          <a:extLst>
            <a:ext uri="{FF2B5EF4-FFF2-40B4-BE49-F238E27FC236}">
              <a16:creationId xmlns:a16="http://schemas.microsoft.com/office/drawing/2014/main" id="{00000000-0008-0000-2000-0000C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6" name="238 CuadroTexto">
          <a:extLst>
            <a:ext uri="{FF2B5EF4-FFF2-40B4-BE49-F238E27FC236}">
              <a16:creationId xmlns:a16="http://schemas.microsoft.com/office/drawing/2014/main" id="{00000000-0008-0000-2000-0000D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7" name="239 CuadroTexto">
          <a:extLst>
            <a:ext uri="{FF2B5EF4-FFF2-40B4-BE49-F238E27FC236}">
              <a16:creationId xmlns:a16="http://schemas.microsoft.com/office/drawing/2014/main" id="{00000000-0008-0000-2000-0000D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8" name="240 CuadroTexto">
          <a:extLst>
            <a:ext uri="{FF2B5EF4-FFF2-40B4-BE49-F238E27FC236}">
              <a16:creationId xmlns:a16="http://schemas.microsoft.com/office/drawing/2014/main" id="{00000000-0008-0000-2000-0000D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9" name="241 CuadroTexto">
          <a:extLst>
            <a:ext uri="{FF2B5EF4-FFF2-40B4-BE49-F238E27FC236}">
              <a16:creationId xmlns:a16="http://schemas.microsoft.com/office/drawing/2014/main" id="{00000000-0008-0000-2000-0000D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0" name="242 CuadroTexto">
          <a:extLst>
            <a:ext uri="{FF2B5EF4-FFF2-40B4-BE49-F238E27FC236}">
              <a16:creationId xmlns:a16="http://schemas.microsoft.com/office/drawing/2014/main" id="{00000000-0008-0000-2000-0000D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1" name="243 CuadroTexto">
          <a:extLst>
            <a:ext uri="{FF2B5EF4-FFF2-40B4-BE49-F238E27FC236}">
              <a16:creationId xmlns:a16="http://schemas.microsoft.com/office/drawing/2014/main" id="{00000000-0008-0000-2000-0000D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2" name="244 CuadroTexto">
          <a:extLst>
            <a:ext uri="{FF2B5EF4-FFF2-40B4-BE49-F238E27FC236}">
              <a16:creationId xmlns:a16="http://schemas.microsoft.com/office/drawing/2014/main" id="{00000000-0008-0000-2000-0000D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3" name="245 CuadroTexto">
          <a:extLst>
            <a:ext uri="{FF2B5EF4-FFF2-40B4-BE49-F238E27FC236}">
              <a16:creationId xmlns:a16="http://schemas.microsoft.com/office/drawing/2014/main" id="{00000000-0008-0000-2000-0000D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4" name="246 CuadroTexto">
          <a:extLst>
            <a:ext uri="{FF2B5EF4-FFF2-40B4-BE49-F238E27FC236}">
              <a16:creationId xmlns:a16="http://schemas.microsoft.com/office/drawing/2014/main" id="{00000000-0008-0000-2000-0000D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5" name="247 CuadroTexto">
          <a:extLst>
            <a:ext uri="{FF2B5EF4-FFF2-40B4-BE49-F238E27FC236}">
              <a16:creationId xmlns:a16="http://schemas.microsoft.com/office/drawing/2014/main" id="{00000000-0008-0000-2000-0000D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6" name="248 CuadroTexto">
          <a:extLst>
            <a:ext uri="{FF2B5EF4-FFF2-40B4-BE49-F238E27FC236}">
              <a16:creationId xmlns:a16="http://schemas.microsoft.com/office/drawing/2014/main" id="{00000000-0008-0000-2000-0000D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7" name="249 CuadroTexto">
          <a:extLst>
            <a:ext uri="{FF2B5EF4-FFF2-40B4-BE49-F238E27FC236}">
              <a16:creationId xmlns:a16="http://schemas.microsoft.com/office/drawing/2014/main" id="{00000000-0008-0000-2000-0000D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8" name="250 CuadroTexto">
          <a:extLst>
            <a:ext uri="{FF2B5EF4-FFF2-40B4-BE49-F238E27FC236}">
              <a16:creationId xmlns:a16="http://schemas.microsoft.com/office/drawing/2014/main" id="{00000000-0008-0000-2000-0000D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9" name="251 CuadroTexto">
          <a:extLst>
            <a:ext uri="{FF2B5EF4-FFF2-40B4-BE49-F238E27FC236}">
              <a16:creationId xmlns:a16="http://schemas.microsoft.com/office/drawing/2014/main" id="{00000000-0008-0000-2000-0000D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0" name="252 CuadroTexto">
          <a:extLst>
            <a:ext uri="{FF2B5EF4-FFF2-40B4-BE49-F238E27FC236}">
              <a16:creationId xmlns:a16="http://schemas.microsoft.com/office/drawing/2014/main" id="{00000000-0008-0000-2000-0000D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1" name="253 CuadroTexto">
          <a:extLst>
            <a:ext uri="{FF2B5EF4-FFF2-40B4-BE49-F238E27FC236}">
              <a16:creationId xmlns:a16="http://schemas.microsoft.com/office/drawing/2014/main" id="{00000000-0008-0000-2000-0000D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2" name="254 CuadroTexto">
          <a:extLst>
            <a:ext uri="{FF2B5EF4-FFF2-40B4-BE49-F238E27FC236}">
              <a16:creationId xmlns:a16="http://schemas.microsoft.com/office/drawing/2014/main" id="{00000000-0008-0000-2000-0000E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3" name="255 CuadroTexto">
          <a:extLst>
            <a:ext uri="{FF2B5EF4-FFF2-40B4-BE49-F238E27FC236}">
              <a16:creationId xmlns:a16="http://schemas.microsoft.com/office/drawing/2014/main" id="{00000000-0008-0000-2000-0000E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4" name="256 CuadroTexto">
          <a:extLst>
            <a:ext uri="{FF2B5EF4-FFF2-40B4-BE49-F238E27FC236}">
              <a16:creationId xmlns:a16="http://schemas.microsoft.com/office/drawing/2014/main" id="{00000000-0008-0000-2000-0000E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5" name="257 CuadroTexto">
          <a:extLst>
            <a:ext uri="{FF2B5EF4-FFF2-40B4-BE49-F238E27FC236}">
              <a16:creationId xmlns:a16="http://schemas.microsoft.com/office/drawing/2014/main" id="{00000000-0008-0000-2000-0000E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6" name="258 CuadroTexto">
          <a:extLst>
            <a:ext uri="{FF2B5EF4-FFF2-40B4-BE49-F238E27FC236}">
              <a16:creationId xmlns:a16="http://schemas.microsoft.com/office/drawing/2014/main" id="{00000000-0008-0000-2000-0000E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7" name="259 CuadroTexto">
          <a:extLst>
            <a:ext uri="{FF2B5EF4-FFF2-40B4-BE49-F238E27FC236}">
              <a16:creationId xmlns:a16="http://schemas.microsoft.com/office/drawing/2014/main" id="{00000000-0008-0000-2000-0000E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8" name="260 CuadroTexto">
          <a:extLst>
            <a:ext uri="{FF2B5EF4-FFF2-40B4-BE49-F238E27FC236}">
              <a16:creationId xmlns:a16="http://schemas.microsoft.com/office/drawing/2014/main" id="{00000000-0008-0000-2000-0000E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9" name="261 CuadroTexto">
          <a:extLst>
            <a:ext uri="{FF2B5EF4-FFF2-40B4-BE49-F238E27FC236}">
              <a16:creationId xmlns:a16="http://schemas.microsoft.com/office/drawing/2014/main" id="{00000000-0008-0000-2000-0000E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0" name="262 CuadroTexto">
          <a:extLst>
            <a:ext uri="{FF2B5EF4-FFF2-40B4-BE49-F238E27FC236}">
              <a16:creationId xmlns:a16="http://schemas.microsoft.com/office/drawing/2014/main" id="{00000000-0008-0000-2000-0000E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1" name="263 CuadroTexto">
          <a:extLst>
            <a:ext uri="{FF2B5EF4-FFF2-40B4-BE49-F238E27FC236}">
              <a16:creationId xmlns:a16="http://schemas.microsoft.com/office/drawing/2014/main" id="{00000000-0008-0000-2000-0000E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2" name="264 CuadroTexto">
          <a:extLst>
            <a:ext uri="{FF2B5EF4-FFF2-40B4-BE49-F238E27FC236}">
              <a16:creationId xmlns:a16="http://schemas.microsoft.com/office/drawing/2014/main" id="{00000000-0008-0000-2000-0000E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3" name="265 CuadroTexto">
          <a:extLst>
            <a:ext uri="{FF2B5EF4-FFF2-40B4-BE49-F238E27FC236}">
              <a16:creationId xmlns:a16="http://schemas.microsoft.com/office/drawing/2014/main" id="{00000000-0008-0000-2000-0000E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4" name="266 CuadroTexto">
          <a:extLst>
            <a:ext uri="{FF2B5EF4-FFF2-40B4-BE49-F238E27FC236}">
              <a16:creationId xmlns:a16="http://schemas.microsoft.com/office/drawing/2014/main" id="{00000000-0008-0000-2000-0000E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5" name="267 CuadroTexto">
          <a:extLst>
            <a:ext uri="{FF2B5EF4-FFF2-40B4-BE49-F238E27FC236}">
              <a16:creationId xmlns:a16="http://schemas.microsoft.com/office/drawing/2014/main" id="{00000000-0008-0000-2000-0000E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846" name="268 CuadroTexto">
          <a:extLst>
            <a:ext uri="{FF2B5EF4-FFF2-40B4-BE49-F238E27FC236}">
              <a16:creationId xmlns:a16="http://schemas.microsoft.com/office/drawing/2014/main" id="{00000000-0008-0000-2000-0000E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7" name="269 CuadroTexto">
          <a:extLst>
            <a:ext uri="{FF2B5EF4-FFF2-40B4-BE49-F238E27FC236}">
              <a16:creationId xmlns:a16="http://schemas.microsoft.com/office/drawing/2014/main" id="{00000000-0008-0000-2000-0000E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8" name="270 CuadroTexto">
          <a:extLst>
            <a:ext uri="{FF2B5EF4-FFF2-40B4-BE49-F238E27FC236}">
              <a16:creationId xmlns:a16="http://schemas.microsoft.com/office/drawing/2014/main" id="{00000000-0008-0000-2000-0000F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9" name="271 CuadroTexto">
          <a:extLst>
            <a:ext uri="{FF2B5EF4-FFF2-40B4-BE49-F238E27FC236}">
              <a16:creationId xmlns:a16="http://schemas.microsoft.com/office/drawing/2014/main" id="{00000000-0008-0000-2000-0000F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0" name="272 CuadroTexto">
          <a:extLst>
            <a:ext uri="{FF2B5EF4-FFF2-40B4-BE49-F238E27FC236}">
              <a16:creationId xmlns:a16="http://schemas.microsoft.com/office/drawing/2014/main" id="{00000000-0008-0000-2000-0000F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1" name="273 CuadroTexto">
          <a:extLst>
            <a:ext uri="{FF2B5EF4-FFF2-40B4-BE49-F238E27FC236}">
              <a16:creationId xmlns:a16="http://schemas.microsoft.com/office/drawing/2014/main" id="{00000000-0008-0000-2000-0000F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2" name="274 CuadroTexto">
          <a:extLst>
            <a:ext uri="{FF2B5EF4-FFF2-40B4-BE49-F238E27FC236}">
              <a16:creationId xmlns:a16="http://schemas.microsoft.com/office/drawing/2014/main" id="{00000000-0008-0000-2000-0000F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3" name="275 CuadroTexto">
          <a:extLst>
            <a:ext uri="{FF2B5EF4-FFF2-40B4-BE49-F238E27FC236}">
              <a16:creationId xmlns:a16="http://schemas.microsoft.com/office/drawing/2014/main" id="{00000000-0008-0000-2000-0000F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4" name="276 CuadroTexto">
          <a:extLst>
            <a:ext uri="{FF2B5EF4-FFF2-40B4-BE49-F238E27FC236}">
              <a16:creationId xmlns:a16="http://schemas.microsoft.com/office/drawing/2014/main" id="{00000000-0008-0000-2000-0000F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5" name="277 CuadroTexto">
          <a:extLst>
            <a:ext uri="{FF2B5EF4-FFF2-40B4-BE49-F238E27FC236}">
              <a16:creationId xmlns:a16="http://schemas.microsoft.com/office/drawing/2014/main" id="{00000000-0008-0000-2000-0000F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6" name="278 CuadroTexto">
          <a:extLst>
            <a:ext uri="{FF2B5EF4-FFF2-40B4-BE49-F238E27FC236}">
              <a16:creationId xmlns:a16="http://schemas.microsoft.com/office/drawing/2014/main" id="{00000000-0008-0000-2000-0000F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7" name="279 CuadroTexto">
          <a:extLst>
            <a:ext uri="{FF2B5EF4-FFF2-40B4-BE49-F238E27FC236}">
              <a16:creationId xmlns:a16="http://schemas.microsoft.com/office/drawing/2014/main" id="{00000000-0008-0000-2000-0000F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8" name="280 CuadroTexto">
          <a:extLst>
            <a:ext uri="{FF2B5EF4-FFF2-40B4-BE49-F238E27FC236}">
              <a16:creationId xmlns:a16="http://schemas.microsoft.com/office/drawing/2014/main" id="{00000000-0008-0000-2000-0000F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9" name="281 CuadroTexto">
          <a:extLst>
            <a:ext uri="{FF2B5EF4-FFF2-40B4-BE49-F238E27FC236}">
              <a16:creationId xmlns:a16="http://schemas.microsoft.com/office/drawing/2014/main" id="{00000000-0008-0000-2000-0000F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0" name="282 CuadroTexto">
          <a:extLst>
            <a:ext uri="{FF2B5EF4-FFF2-40B4-BE49-F238E27FC236}">
              <a16:creationId xmlns:a16="http://schemas.microsoft.com/office/drawing/2014/main" id="{00000000-0008-0000-2000-0000F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1" name="283 CuadroTexto">
          <a:extLst>
            <a:ext uri="{FF2B5EF4-FFF2-40B4-BE49-F238E27FC236}">
              <a16:creationId xmlns:a16="http://schemas.microsoft.com/office/drawing/2014/main" id="{00000000-0008-0000-2000-0000F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2" name="284 CuadroTexto">
          <a:extLst>
            <a:ext uri="{FF2B5EF4-FFF2-40B4-BE49-F238E27FC236}">
              <a16:creationId xmlns:a16="http://schemas.microsoft.com/office/drawing/2014/main" id="{00000000-0008-0000-2000-0000F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863" name="285 CuadroTexto">
          <a:extLst>
            <a:ext uri="{FF2B5EF4-FFF2-40B4-BE49-F238E27FC236}">
              <a16:creationId xmlns:a16="http://schemas.microsoft.com/office/drawing/2014/main" id="{00000000-0008-0000-2000-0000F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4" name="286 CuadroTexto">
          <a:extLst>
            <a:ext uri="{FF2B5EF4-FFF2-40B4-BE49-F238E27FC236}">
              <a16:creationId xmlns:a16="http://schemas.microsoft.com/office/drawing/2014/main" id="{00000000-0008-0000-2000-00000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5" name="287 CuadroTexto">
          <a:extLst>
            <a:ext uri="{FF2B5EF4-FFF2-40B4-BE49-F238E27FC236}">
              <a16:creationId xmlns:a16="http://schemas.microsoft.com/office/drawing/2014/main" id="{00000000-0008-0000-2000-00000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6" name="288 CuadroTexto">
          <a:extLst>
            <a:ext uri="{FF2B5EF4-FFF2-40B4-BE49-F238E27FC236}">
              <a16:creationId xmlns:a16="http://schemas.microsoft.com/office/drawing/2014/main" id="{00000000-0008-0000-2000-00000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7" name="289 CuadroTexto">
          <a:extLst>
            <a:ext uri="{FF2B5EF4-FFF2-40B4-BE49-F238E27FC236}">
              <a16:creationId xmlns:a16="http://schemas.microsoft.com/office/drawing/2014/main" id="{00000000-0008-0000-2000-00000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8" name="290 CuadroTexto">
          <a:extLst>
            <a:ext uri="{FF2B5EF4-FFF2-40B4-BE49-F238E27FC236}">
              <a16:creationId xmlns:a16="http://schemas.microsoft.com/office/drawing/2014/main" id="{00000000-0008-0000-2000-00000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9" name="291 CuadroTexto">
          <a:extLst>
            <a:ext uri="{FF2B5EF4-FFF2-40B4-BE49-F238E27FC236}">
              <a16:creationId xmlns:a16="http://schemas.microsoft.com/office/drawing/2014/main" id="{00000000-0008-0000-2000-00000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0" name="292 CuadroTexto">
          <a:extLst>
            <a:ext uri="{FF2B5EF4-FFF2-40B4-BE49-F238E27FC236}">
              <a16:creationId xmlns:a16="http://schemas.microsoft.com/office/drawing/2014/main" id="{00000000-0008-0000-2000-00000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1" name="293 CuadroTexto">
          <a:extLst>
            <a:ext uri="{FF2B5EF4-FFF2-40B4-BE49-F238E27FC236}">
              <a16:creationId xmlns:a16="http://schemas.microsoft.com/office/drawing/2014/main" id="{00000000-0008-0000-2000-00000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2" name="294 CuadroTexto">
          <a:extLst>
            <a:ext uri="{FF2B5EF4-FFF2-40B4-BE49-F238E27FC236}">
              <a16:creationId xmlns:a16="http://schemas.microsoft.com/office/drawing/2014/main" id="{00000000-0008-0000-2000-00000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3" name="295 CuadroTexto">
          <a:extLst>
            <a:ext uri="{FF2B5EF4-FFF2-40B4-BE49-F238E27FC236}">
              <a16:creationId xmlns:a16="http://schemas.microsoft.com/office/drawing/2014/main" id="{00000000-0008-0000-2000-00000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4" name="296 CuadroTexto">
          <a:extLst>
            <a:ext uri="{FF2B5EF4-FFF2-40B4-BE49-F238E27FC236}">
              <a16:creationId xmlns:a16="http://schemas.microsoft.com/office/drawing/2014/main" id="{00000000-0008-0000-2000-00000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5" name="1 CuadroTexto">
          <a:extLst>
            <a:ext uri="{FF2B5EF4-FFF2-40B4-BE49-F238E27FC236}">
              <a16:creationId xmlns:a16="http://schemas.microsoft.com/office/drawing/2014/main" id="{00000000-0008-0000-2000-00000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6" name="2 CuadroTexto">
          <a:extLst>
            <a:ext uri="{FF2B5EF4-FFF2-40B4-BE49-F238E27FC236}">
              <a16:creationId xmlns:a16="http://schemas.microsoft.com/office/drawing/2014/main" id="{00000000-0008-0000-2000-00000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7" name="3 CuadroTexto">
          <a:extLst>
            <a:ext uri="{FF2B5EF4-FFF2-40B4-BE49-F238E27FC236}">
              <a16:creationId xmlns:a16="http://schemas.microsoft.com/office/drawing/2014/main" id="{00000000-0008-0000-2000-00000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8" name="4 CuadroTexto">
          <a:extLst>
            <a:ext uri="{FF2B5EF4-FFF2-40B4-BE49-F238E27FC236}">
              <a16:creationId xmlns:a16="http://schemas.microsoft.com/office/drawing/2014/main" id="{00000000-0008-0000-2000-00000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9" name="5 CuadroTexto">
          <a:extLst>
            <a:ext uri="{FF2B5EF4-FFF2-40B4-BE49-F238E27FC236}">
              <a16:creationId xmlns:a16="http://schemas.microsoft.com/office/drawing/2014/main" id="{00000000-0008-0000-2000-00000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0" name="6 CuadroTexto">
          <a:extLst>
            <a:ext uri="{FF2B5EF4-FFF2-40B4-BE49-F238E27FC236}">
              <a16:creationId xmlns:a16="http://schemas.microsoft.com/office/drawing/2014/main" id="{00000000-0008-0000-2000-00001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1" name="7 CuadroTexto">
          <a:extLst>
            <a:ext uri="{FF2B5EF4-FFF2-40B4-BE49-F238E27FC236}">
              <a16:creationId xmlns:a16="http://schemas.microsoft.com/office/drawing/2014/main" id="{00000000-0008-0000-2000-00001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2" name="8 CuadroTexto">
          <a:extLst>
            <a:ext uri="{FF2B5EF4-FFF2-40B4-BE49-F238E27FC236}">
              <a16:creationId xmlns:a16="http://schemas.microsoft.com/office/drawing/2014/main" id="{00000000-0008-0000-2000-00001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3" name="9 CuadroTexto">
          <a:extLst>
            <a:ext uri="{FF2B5EF4-FFF2-40B4-BE49-F238E27FC236}">
              <a16:creationId xmlns:a16="http://schemas.microsoft.com/office/drawing/2014/main" id="{00000000-0008-0000-2000-00001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4" name="10 CuadroTexto">
          <a:extLst>
            <a:ext uri="{FF2B5EF4-FFF2-40B4-BE49-F238E27FC236}">
              <a16:creationId xmlns:a16="http://schemas.microsoft.com/office/drawing/2014/main" id="{00000000-0008-0000-2000-00001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5" name="11 CuadroTexto">
          <a:extLst>
            <a:ext uri="{FF2B5EF4-FFF2-40B4-BE49-F238E27FC236}">
              <a16:creationId xmlns:a16="http://schemas.microsoft.com/office/drawing/2014/main" id="{00000000-0008-0000-2000-00001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6" name="12 CuadroTexto">
          <a:extLst>
            <a:ext uri="{FF2B5EF4-FFF2-40B4-BE49-F238E27FC236}">
              <a16:creationId xmlns:a16="http://schemas.microsoft.com/office/drawing/2014/main" id="{00000000-0008-0000-2000-00001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7" name="13 CuadroTexto">
          <a:extLst>
            <a:ext uri="{FF2B5EF4-FFF2-40B4-BE49-F238E27FC236}">
              <a16:creationId xmlns:a16="http://schemas.microsoft.com/office/drawing/2014/main" id="{00000000-0008-0000-2000-00001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8" name="14 CuadroTexto">
          <a:extLst>
            <a:ext uri="{FF2B5EF4-FFF2-40B4-BE49-F238E27FC236}">
              <a16:creationId xmlns:a16="http://schemas.microsoft.com/office/drawing/2014/main" id="{00000000-0008-0000-2000-00001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9" name="15 CuadroTexto">
          <a:extLst>
            <a:ext uri="{FF2B5EF4-FFF2-40B4-BE49-F238E27FC236}">
              <a16:creationId xmlns:a16="http://schemas.microsoft.com/office/drawing/2014/main" id="{00000000-0008-0000-2000-00001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0" name="16 CuadroTexto">
          <a:extLst>
            <a:ext uri="{FF2B5EF4-FFF2-40B4-BE49-F238E27FC236}">
              <a16:creationId xmlns:a16="http://schemas.microsoft.com/office/drawing/2014/main" id="{00000000-0008-0000-2000-00001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1" name="18 CuadroTexto">
          <a:extLst>
            <a:ext uri="{FF2B5EF4-FFF2-40B4-BE49-F238E27FC236}">
              <a16:creationId xmlns:a16="http://schemas.microsoft.com/office/drawing/2014/main" id="{00000000-0008-0000-2000-00001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2" name="19 CuadroTexto">
          <a:extLst>
            <a:ext uri="{FF2B5EF4-FFF2-40B4-BE49-F238E27FC236}">
              <a16:creationId xmlns:a16="http://schemas.microsoft.com/office/drawing/2014/main" id="{00000000-0008-0000-2000-00001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3" name="20 CuadroTexto">
          <a:extLst>
            <a:ext uri="{FF2B5EF4-FFF2-40B4-BE49-F238E27FC236}">
              <a16:creationId xmlns:a16="http://schemas.microsoft.com/office/drawing/2014/main" id="{00000000-0008-0000-2000-00001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4" name="21 CuadroTexto">
          <a:extLst>
            <a:ext uri="{FF2B5EF4-FFF2-40B4-BE49-F238E27FC236}">
              <a16:creationId xmlns:a16="http://schemas.microsoft.com/office/drawing/2014/main" id="{00000000-0008-0000-2000-00001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5" name="22 CuadroTexto">
          <a:extLst>
            <a:ext uri="{FF2B5EF4-FFF2-40B4-BE49-F238E27FC236}">
              <a16:creationId xmlns:a16="http://schemas.microsoft.com/office/drawing/2014/main" id="{00000000-0008-0000-2000-00001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6" name="23 CuadroTexto">
          <a:extLst>
            <a:ext uri="{FF2B5EF4-FFF2-40B4-BE49-F238E27FC236}">
              <a16:creationId xmlns:a16="http://schemas.microsoft.com/office/drawing/2014/main" id="{00000000-0008-0000-2000-00002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7" name="24 CuadroTexto">
          <a:extLst>
            <a:ext uri="{FF2B5EF4-FFF2-40B4-BE49-F238E27FC236}">
              <a16:creationId xmlns:a16="http://schemas.microsoft.com/office/drawing/2014/main" id="{00000000-0008-0000-2000-00002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8" name="25 CuadroTexto">
          <a:extLst>
            <a:ext uri="{FF2B5EF4-FFF2-40B4-BE49-F238E27FC236}">
              <a16:creationId xmlns:a16="http://schemas.microsoft.com/office/drawing/2014/main" id="{00000000-0008-0000-2000-00002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9" name="26 CuadroTexto">
          <a:extLst>
            <a:ext uri="{FF2B5EF4-FFF2-40B4-BE49-F238E27FC236}">
              <a16:creationId xmlns:a16="http://schemas.microsoft.com/office/drawing/2014/main" id="{00000000-0008-0000-2000-00002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0" name="27 CuadroTexto">
          <a:extLst>
            <a:ext uri="{FF2B5EF4-FFF2-40B4-BE49-F238E27FC236}">
              <a16:creationId xmlns:a16="http://schemas.microsoft.com/office/drawing/2014/main" id="{00000000-0008-0000-2000-00002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1" name="28 CuadroTexto">
          <a:extLst>
            <a:ext uri="{FF2B5EF4-FFF2-40B4-BE49-F238E27FC236}">
              <a16:creationId xmlns:a16="http://schemas.microsoft.com/office/drawing/2014/main" id="{00000000-0008-0000-2000-00002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2" name="29 CuadroTexto">
          <a:extLst>
            <a:ext uri="{FF2B5EF4-FFF2-40B4-BE49-F238E27FC236}">
              <a16:creationId xmlns:a16="http://schemas.microsoft.com/office/drawing/2014/main" id="{00000000-0008-0000-2000-00002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3" name="30 CuadroTexto">
          <a:extLst>
            <a:ext uri="{FF2B5EF4-FFF2-40B4-BE49-F238E27FC236}">
              <a16:creationId xmlns:a16="http://schemas.microsoft.com/office/drawing/2014/main" id="{00000000-0008-0000-2000-00002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4" name="31 CuadroTexto">
          <a:extLst>
            <a:ext uri="{FF2B5EF4-FFF2-40B4-BE49-F238E27FC236}">
              <a16:creationId xmlns:a16="http://schemas.microsoft.com/office/drawing/2014/main" id="{00000000-0008-0000-2000-00002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5" name="32 CuadroTexto">
          <a:extLst>
            <a:ext uri="{FF2B5EF4-FFF2-40B4-BE49-F238E27FC236}">
              <a16:creationId xmlns:a16="http://schemas.microsoft.com/office/drawing/2014/main" id="{00000000-0008-0000-2000-00002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6" name="33 CuadroTexto">
          <a:extLst>
            <a:ext uri="{FF2B5EF4-FFF2-40B4-BE49-F238E27FC236}">
              <a16:creationId xmlns:a16="http://schemas.microsoft.com/office/drawing/2014/main" id="{00000000-0008-0000-2000-00002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7" name="34 CuadroTexto">
          <a:extLst>
            <a:ext uri="{FF2B5EF4-FFF2-40B4-BE49-F238E27FC236}">
              <a16:creationId xmlns:a16="http://schemas.microsoft.com/office/drawing/2014/main" id="{00000000-0008-0000-2000-00002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8" name="35 CuadroTexto">
          <a:extLst>
            <a:ext uri="{FF2B5EF4-FFF2-40B4-BE49-F238E27FC236}">
              <a16:creationId xmlns:a16="http://schemas.microsoft.com/office/drawing/2014/main" id="{00000000-0008-0000-2000-00002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9" name="36 CuadroTexto">
          <a:extLst>
            <a:ext uri="{FF2B5EF4-FFF2-40B4-BE49-F238E27FC236}">
              <a16:creationId xmlns:a16="http://schemas.microsoft.com/office/drawing/2014/main" id="{00000000-0008-0000-2000-00002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0" name="37 CuadroTexto">
          <a:extLst>
            <a:ext uri="{FF2B5EF4-FFF2-40B4-BE49-F238E27FC236}">
              <a16:creationId xmlns:a16="http://schemas.microsoft.com/office/drawing/2014/main" id="{00000000-0008-0000-2000-00002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1" name="38 CuadroTexto">
          <a:extLst>
            <a:ext uri="{FF2B5EF4-FFF2-40B4-BE49-F238E27FC236}">
              <a16:creationId xmlns:a16="http://schemas.microsoft.com/office/drawing/2014/main" id="{00000000-0008-0000-2000-00002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2" name="39 CuadroTexto">
          <a:extLst>
            <a:ext uri="{FF2B5EF4-FFF2-40B4-BE49-F238E27FC236}">
              <a16:creationId xmlns:a16="http://schemas.microsoft.com/office/drawing/2014/main" id="{00000000-0008-0000-2000-00003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3" name="40 CuadroTexto">
          <a:extLst>
            <a:ext uri="{FF2B5EF4-FFF2-40B4-BE49-F238E27FC236}">
              <a16:creationId xmlns:a16="http://schemas.microsoft.com/office/drawing/2014/main" id="{00000000-0008-0000-2000-00003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4" name="41 CuadroTexto">
          <a:extLst>
            <a:ext uri="{FF2B5EF4-FFF2-40B4-BE49-F238E27FC236}">
              <a16:creationId xmlns:a16="http://schemas.microsoft.com/office/drawing/2014/main" id="{00000000-0008-0000-2000-00003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5" name="42 CuadroTexto">
          <a:extLst>
            <a:ext uri="{FF2B5EF4-FFF2-40B4-BE49-F238E27FC236}">
              <a16:creationId xmlns:a16="http://schemas.microsoft.com/office/drawing/2014/main" id="{00000000-0008-0000-2000-00003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6" name="43 CuadroTexto">
          <a:extLst>
            <a:ext uri="{FF2B5EF4-FFF2-40B4-BE49-F238E27FC236}">
              <a16:creationId xmlns:a16="http://schemas.microsoft.com/office/drawing/2014/main" id="{00000000-0008-0000-2000-00003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7" name="44 CuadroTexto">
          <a:extLst>
            <a:ext uri="{FF2B5EF4-FFF2-40B4-BE49-F238E27FC236}">
              <a16:creationId xmlns:a16="http://schemas.microsoft.com/office/drawing/2014/main" id="{00000000-0008-0000-2000-00003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8" name="45 CuadroTexto">
          <a:extLst>
            <a:ext uri="{FF2B5EF4-FFF2-40B4-BE49-F238E27FC236}">
              <a16:creationId xmlns:a16="http://schemas.microsoft.com/office/drawing/2014/main" id="{00000000-0008-0000-2000-00003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9" name="46 CuadroTexto">
          <a:extLst>
            <a:ext uri="{FF2B5EF4-FFF2-40B4-BE49-F238E27FC236}">
              <a16:creationId xmlns:a16="http://schemas.microsoft.com/office/drawing/2014/main" id="{00000000-0008-0000-2000-00003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0" name="47 CuadroTexto">
          <a:extLst>
            <a:ext uri="{FF2B5EF4-FFF2-40B4-BE49-F238E27FC236}">
              <a16:creationId xmlns:a16="http://schemas.microsoft.com/office/drawing/2014/main" id="{00000000-0008-0000-2000-00003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1" name="48 CuadroTexto">
          <a:extLst>
            <a:ext uri="{FF2B5EF4-FFF2-40B4-BE49-F238E27FC236}">
              <a16:creationId xmlns:a16="http://schemas.microsoft.com/office/drawing/2014/main" id="{00000000-0008-0000-2000-00003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2" name="49 CuadroTexto">
          <a:extLst>
            <a:ext uri="{FF2B5EF4-FFF2-40B4-BE49-F238E27FC236}">
              <a16:creationId xmlns:a16="http://schemas.microsoft.com/office/drawing/2014/main" id="{00000000-0008-0000-2000-00003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3" name="50 CuadroTexto">
          <a:extLst>
            <a:ext uri="{FF2B5EF4-FFF2-40B4-BE49-F238E27FC236}">
              <a16:creationId xmlns:a16="http://schemas.microsoft.com/office/drawing/2014/main" id="{00000000-0008-0000-2000-00003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4" name="51 CuadroTexto">
          <a:extLst>
            <a:ext uri="{FF2B5EF4-FFF2-40B4-BE49-F238E27FC236}">
              <a16:creationId xmlns:a16="http://schemas.microsoft.com/office/drawing/2014/main" id="{00000000-0008-0000-2000-00003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5" name="52 CuadroTexto">
          <a:extLst>
            <a:ext uri="{FF2B5EF4-FFF2-40B4-BE49-F238E27FC236}">
              <a16:creationId xmlns:a16="http://schemas.microsoft.com/office/drawing/2014/main" id="{00000000-0008-0000-2000-00003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6" name="53 CuadroTexto">
          <a:extLst>
            <a:ext uri="{FF2B5EF4-FFF2-40B4-BE49-F238E27FC236}">
              <a16:creationId xmlns:a16="http://schemas.microsoft.com/office/drawing/2014/main" id="{00000000-0008-0000-2000-00003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7" name="54 CuadroTexto">
          <a:extLst>
            <a:ext uri="{FF2B5EF4-FFF2-40B4-BE49-F238E27FC236}">
              <a16:creationId xmlns:a16="http://schemas.microsoft.com/office/drawing/2014/main" id="{00000000-0008-0000-2000-00003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8" name="55 CuadroTexto">
          <a:extLst>
            <a:ext uri="{FF2B5EF4-FFF2-40B4-BE49-F238E27FC236}">
              <a16:creationId xmlns:a16="http://schemas.microsoft.com/office/drawing/2014/main" id="{00000000-0008-0000-2000-00004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9" name="56 CuadroTexto">
          <a:extLst>
            <a:ext uri="{FF2B5EF4-FFF2-40B4-BE49-F238E27FC236}">
              <a16:creationId xmlns:a16="http://schemas.microsoft.com/office/drawing/2014/main" id="{00000000-0008-0000-2000-00004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0" name="57 CuadroTexto">
          <a:extLst>
            <a:ext uri="{FF2B5EF4-FFF2-40B4-BE49-F238E27FC236}">
              <a16:creationId xmlns:a16="http://schemas.microsoft.com/office/drawing/2014/main" id="{00000000-0008-0000-2000-00004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1" name="58 CuadroTexto">
          <a:extLst>
            <a:ext uri="{FF2B5EF4-FFF2-40B4-BE49-F238E27FC236}">
              <a16:creationId xmlns:a16="http://schemas.microsoft.com/office/drawing/2014/main" id="{00000000-0008-0000-2000-00004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2" name="59 CuadroTexto">
          <a:extLst>
            <a:ext uri="{FF2B5EF4-FFF2-40B4-BE49-F238E27FC236}">
              <a16:creationId xmlns:a16="http://schemas.microsoft.com/office/drawing/2014/main" id="{00000000-0008-0000-2000-00004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3" name="60 CuadroTexto">
          <a:extLst>
            <a:ext uri="{FF2B5EF4-FFF2-40B4-BE49-F238E27FC236}">
              <a16:creationId xmlns:a16="http://schemas.microsoft.com/office/drawing/2014/main" id="{00000000-0008-0000-2000-00004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4" name="61 CuadroTexto">
          <a:extLst>
            <a:ext uri="{FF2B5EF4-FFF2-40B4-BE49-F238E27FC236}">
              <a16:creationId xmlns:a16="http://schemas.microsoft.com/office/drawing/2014/main" id="{00000000-0008-0000-2000-00004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5" name="62 CuadroTexto">
          <a:extLst>
            <a:ext uri="{FF2B5EF4-FFF2-40B4-BE49-F238E27FC236}">
              <a16:creationId xmlns:a16="http://schemas.microsoft.com/office/drawing/2014/main" id="{00000000-0008-0000-2000-00004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6" name="63 CuadroTexto">
          <a:extLst>
            <a:ext uri="{FF2B5EF4-FFF2-40B4-BE49-F238E27FC236}">
              <a16:creationId xmlns:a16="http://schemas.microsoft.com/office/drawing/2014/main" id="{00000000-0008-0000-2000-00004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7" name="64 CuadroTexto">
          <a:extLst>
            <a:ext uri="{FF2B5EF4-FFF2-40B4-BE49-F238E27FC236}">
              <a16:creationId xmlns:a16="http://schemas.microsoft.com/office/drawing/2014/main" id="{00000000-0008-0000-2000-00004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8" name="65 CuadroTexto">
          <a:extLst>
            <a:ext uri="{FF2B5EF4-FFF2-40B4-BE49-F238E27FC236}">
              <a16:creationId xmlns:a16="http://schemas.microsoft.com/office/drawing/2014/main" id="{00000000-0008-0000-2000-00004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9" name="66 CuadroTexto">
          <a:extLst>
            <a:ext uri="{FF2B5EF4-FFF2-40B4-BE49-F238E27FC236}">
              <a16:creationId xmlns:a16="http://schemas.microsoft.com/office/drawing/2014/main" id="{00000000-0008-0000-2000-00004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0" name="67 CuadroTexto">
          <a:extLst>
            <a:ext uri="{FF2B5EF4-FFF2-40B4-BE49-F238E27FC236}">
              <a16:creationId xmlns:a16="http://schemas.microsoft.com/office/drawing/2014/main" id="{00000000-0008-0000-2000-00004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1" name="68 CuadroTexto">
          <a:extLst>
            <a:ext uri="{FF2B5EF4-FFF2-40B4-BE49-F238E27FC236}">
              <a16:creationId xmlns:a16="http://schemas.microsoft.com/office/drawing/2014/main" id="{00000000-0008-0000-2000-00004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2" name="69 CuadroTexto">
          <a:extLst>
            <a:ext uri="{FF2B5EF4-FFF2-40B4-BE49-F238E27FC236}">
              <a16:creationId xmlns:a16="http://schemas.microsoft.com/office/drawing/2014/main" id="{00000000-0008-0000-2000-00004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3" name="70 CuadroTexto">
          <a:extLst>
            <a:ext uri="{FF2B5EF4-FFF2-40B4-BE49-F238E27FC236}">
              <a16:creationId xmlns:a16="http://schemas.microsoft.com/office/drawing/2014/main" id="{00000000-0008-0000-2000-00004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4" name="71 CuadroTexto">
          <a:extLst>
            <a:ext uri="{FF2B5EF4-FFF2-40B4-BE49-F238E27FC236}">
              <a16:creationId xmlns:a16="http://schemas.microsoft.com/office/drawing/2014/main" id="{00000000-0008-0000-2000-00005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5" name="72 CuadroTexto">
          <a:extLst>
            <a:ext uri="{FF2B5EF4-FFF2-40B4-BE49-F238E27FC236}">
              <a16:creationId xmlns:a16="http://schemas.microsoft.com/office/drawing/2014/main" id="{00000000-0008-0000-2000-00005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6" name="73 CuadroTexto">
          <a:extLst>
            <a:ext uri="{FF2B5EF4-FFF2-40B4-BE49-F238E27FC236}">
              <a16:creationId xmlns:a16="http://schemas.microsoft.com/office/drawing/2014/main" id="{00000000-0008-0000-2000-00005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7" name="74 CuadroTexto">
          <a:extLst>
            <a:ext uri="{FF2B5EF4-FFF2-40B4-BE49-F238E27FC236}">
              <a16:creationId xmlns:a16="http://schemas.microsoft.com/office/drawing/2014/main" id="{00000000-0008-0000-2000-00005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8" name="75 CuadroTexto">
          <a:extLst>
            <a:ext uri="{FF2B5EF4-FFF2-40B4-BE49-F238E27FC236}">
              <a16:creationId xmlns:a16="http://schemas.microsoft.com/office/drawing/2014/main" id="{00000000-0008-0000-2000-00005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9" name="76 CuadroTexto">
          <a:extLst>
            <a:ext uri="{FF2B5EF4-FFF2-40B4-BE49-F238E27FC236}">
              <a16:creationId xmlns:a16="http://schemas.microsoft.com/office/drawing/2014/main" id="{00000000-0008-0000-2000-00005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0" name="77 CuadroTexto">
          <a:extLst>
            <a:ext uri="{FF2B5EF4-FFF2-40B4-BE49-F238E27FC236}">
              <a16:creationId xmlns:a16="http://schemas.microsoft.com/office/drawing/2014/main" id="{00000000-0008-0000-2000-00005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1" name="78 CuadroTexto">
          <a:extLst>
            <a:ext uri="{FF2B5EF4-FFF2-40B4-BE49-F238E27FC236}">
              <a16:creationId xmlns:a16="http://schemas.microsoft.com/office/drawing/2014/main" id="{00000000-0008-0000-2000-00005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2" name="79 CuadroTexto">
          <a:extLst>
            <a:ext uri="{FF2B5EF4-FFF2-40B4-BE49-F238E27FC236}">
              <a16:creationId xmlns:a16="http://schemas.microsoft.com/office/drawing/2014/main" id="{00000000-0008-0000-2000-00005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3" name="80 CuadroTexto">
          <a:extLst>
            <a:ext uri="{FF2B5EF4-FFF2-40B4-BE49-F238E27FC236}">
              <a16:creationId xmlns:a16="http://schemas.microsoft.com/office/drawing/2014/main" id="{00000000-0008-0000-2000-00005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4" name="81 CuadroTexto">
          <a:extLst>
            <a:ext uri="{FF2B5EF4-FFF2-40B4-BE49-F238E27FC236}">
              <a16:creationId xmlns:a16="http://schemas.microsoft.com/office/drawing/2014/main" id="{00000000-0008-0000-2000-00005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5" name="82 CuadroTexto">
          <a:extLst>
            <a:ext uri="{FF2B5EF4-FFF2-40B4-BE49-F238E27FC236}">
              <a16:creationId xmlns:a16="http://schemas.microsoft.com/office/drawing/2014/main" id="{00000000-0008-0000-2000-00005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6" name="83 CuadroTexto">
          <a:extLst>
            <a:ext uri="{FF2B5EF4-FFF2-40B4-BE49-F238E27FC236}">
              <a16:creationId xmlns:a16="http://schemas.microsoft.com/office/drawing/2014/main" id="{00000000-0008-0000-2000-00005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7" name="84 CuadroTexto">
          <a:extLst>
            <a:ext uri="{FF2B5EF4-FFF2-40B4-BE49-F238E27FC236}">
              <a16:creationId xmlns:a16="http://schemas.microsoft.com/office/drawing/2014/main" id="{00000000-0008-0000-2000-00005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8" name="85 CuadroTexto">
          <a:extLst>
            <a:ext uri="{FF2B5EF4-FFF2-40B4-BE49-F238E27FC236}">
              <a16:creationId xmlns:a16="http://schemas.microsoft.com/office/drawing/2014/main" id="{00000000-0008-0000-2000-00005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9" name="86 CuadroTexto">
          <a:extLst>
            <a:ext uri="{FF2B5EF4-FFF2-40B4-BE49-F238E27FC236}">
              <a16:creationId xmlns:a16="http://schemas.microsoft.com/office/drawing/2014/main" id="{00000000-0008-0000-2000-00005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0" name="87 CuadroTexto">
          <a:extLst>
            <a:ext uri="{FF2B5EF4-FFF2-40B4-BE49-F238E27FC236}">
              <a16:creationId xmlns:a16="http://schemas.microsoft.com/office/drawing/2014/main" id="{00000000-0008-0000-2000-00006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1" name="88 CuadroTexto">
          <a:extLst>
            <a:ext uri="{FF2B5EF4-FFF2-40B4-BE49-F238E27FC236}">
              <a16:creationId xmlns:a16="http://schemas.microsoft.com/office/drawing/2014/main" id="{00000000-0008-0000-2000-00006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2" name="89 CuadroTexto">
          <a:extLst>
            <a:ext uri="{FF2B5EF4-FFF2-40B4-BE49-F238E27FC236}">
              <a16:creationId xmlns:a16="http://schemas.microsoft.com/office/drawing/2014/main" id="{00000000-0008-0000-2000-00006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3" name="102 CuadroTexto">
          <a:extLst>
            <a:ext uri="{FF2B5EF4-FFF2-40B4-BE49-F238E27FC236}">
              <a16:creationId xmlns:a16="http://schemas.microsoft.com/office/drawing/2014/main" id="{00000000-0008-0000-2000-00006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4" name="103 CuadroTexto">
          <a:extLst>
            <a:ext uri="{FF2B5EF4-FFF2-40B4-BE49-F238E27FC236}">
              <a16:creationId xmlns:a16="http://schemas.microsoft.com/office/drawing/2014/main" id="{00000000-0008-0000-2000-00006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5" name="104 CuadroTexto">
          <a:extLst>
            <a:ext uri="{FF2B5EF4-FFF2-40B4-BE49-F238E27FC236}">
              <a16:creationId xmlns:a16="http://schemas.microsoft.com/office/drawing/2014/main" id="{00000000-0008-0000-2000-00006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6" name="105 CuadroTexto">
          <a:extLst>
            <a:ext uri="{FF2B5EF4-FFF2-40B4-BE49-F238E27FC236}">
              <a16:creationId xmlns:a16="http://schemas.microsoft.com/office/drawing/2014/main" id="{00000000-0008-0000-2000-00006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7" name="106 CuadroTexto">
          <a:extLst>
            <a:ext uri="{FF2B5EF4-FFF2-40B4-BE49-F238E27FC236}">
              <a16:creationId xmlns:a16="http://schemas.microsoft.com/office/drawing/2014/main" id="{00000000-0008-0000-2000-00006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8" name="107 CuadroTexto">
          <a:extLst>
            <a:ext uri="{FF2B5EF4-FFF2-40B4-BE49-F238E27FC236}">
              <a16:creationId xmlns:a16="http://schemas.microsoft.com/office/drawing/2014/main" id="{00000000-0008-0000-2000-00006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9" name="108 CuadroTexto">
          <a:extLst>
            <a:ext uri="{FF2B5EF4-FFF2-40B4-BE49-F238E27FC236}">
              <a16:creationId xmlns:a16="http://schemas.microsoft.com/office/drawing/2014/main" id="{00000000-0008-0000-2000-00006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0" name="109 CuadroTexto">
          <a:extLst>
            <a:ext uri="{FF2B5EF4-FFF2-40B4-BE49-F238E27FC236}">
              <a16:creationId xmlns:a16="http://schemas.microsoft.com/office/drawing/2014/main" id="{00000000-0008-0000-2000-00006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1" name="110 CuadroTexto">
          <a:extLst>
            <a:ext uri="{FF2B5EF4-FFF2-40B4-BE49-F238E27FC236}">
              <a16:creationId xmlns:a16="http://schemas.microsoft.com/office/drawing/2014/main" id="{00000000-0008-0000-2000-00006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2" name="111 CuadroTexto">
          <a:extLst>
            <a:ext uri="{FF2B5EF4-FFF2-40B4-BE49-F238E27FC236}">
              <a16:creationId xmlns:a16="http://schemas.microsoft.com/office/drawing/2014/main" id="{00000000-0008-0000-2000-00006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3" name="112 CuadroTexto">
          <a:extLst>
            <a:ext uri="{FF2B5EF4-FFF2-40B4-BE49-F238E27FC236}">
              <a16:creationId xmlns:a16="http://schemas.microsoft.com/office/drawing/2014/main" id="{00000000-0008-0000-2000-00006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4" name="113 CuadroTexto">
          <a:extLst>
            <a:ext uri="{FF2B5EF4-FFF2-40B4-BE49-F238E27FC236}">
              <a16:creationId xmlns:a16="http://schemas.microsoft.com/office/drawing/2014/main" id="{00000000-0008-0000-2000-00006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5" name="114 CuadroTexto">
          <a:extLst>
            <a:ext uri="{FF2B5EF4-FFF2-40B4-BE49-F238E27FC236}">
              <a16:creationId xmlns:a16="http://schemas.microsoft.com/office/drawing/2014/main" id="{00000000-0008-0000-2000-00006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6" name="115 CuadroTexto">
          <a:extLst>
            <a:ext uri="{FF2B5EF4-FFF2-40B4-BE49-F238E27FC236}">
              <a16:creationId xmlns:a16="http://schemas.microsoft.com/office/drawing/2014/main" id="{00000000-0008-0000-2000-00007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7" name="116 CuadroTexto">
          <a:extLst>
            <a:ext uri="{FF2B5EF4-FFF2-40B4-BE49-F238E27FC236}">
              <a16:creationId xmlns:a16="http://schemas.microsoft.com/office/drawing/2014/main" id="{00000000-0008-0000-2000-00007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8" name="117 CuadroTexto">
          <a:extLst>
            <a:ext uri="{FF2B5EF4-FFF2-40B4-BE49-F238E27FC236}">
              <a16:creationId xmlns:a16="http://schemas.microsoft.com/office/drawing/2014/main" id="{00000000-0008-0000-2000-00007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9" name="126 CuadroTexto">
          <a:extLst>
            <a:ext uri="{FF2B5EF4-FFF2-40B4-BE49-F238E27FC236}">
              <a16:creationId xmlns:a16="http://schemas.microsoft.com/office/drawing/2014/main" id="{00000000-0008-0000-2000-00007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0" name="127 CuadroTexto">
          <a:extLst>
            <a:ext uri="{FF2B5EF4-FFF2-40B4-BE49-F238E27FC236}">
              <a16:creationId xmlns:a16="http://schemas.microsoft.com/office/drawing/2014/main" id="{00000000-0008-0000-2000-00007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1" name="128 CuadroTexto">
          <a:extLst>
            <a:ext uri="{FF2B5EF4-FFF2-40B4-BE49-F238E27FC236}">
              <a16:creationId xmlns:a16="http://schemas.microsoft.com/office/drawing/2014/main" id="{00000000-0008-0000-2000-00007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2" name="129 CuadroTexto">
          <a:extLst>
            <a:ext uri="{FF2B5EF4-FFF2-40B4-BE49-F238E27FC236}">
              <a16:creationId xmlns:a16="http://schemas.microsoft.com/office/drawing/2014/main" id="{00000000-0008-0000-2000-00007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3" name="130 CuadroTexto">
          <a:extLst>
            <a:ext uri="{FF2B5EF4-FFF2-40B4-BE49-F238E27FC236}">
              <a16:creationId xmlns:a16="http://schemas.microsoft.com/office/drawing/2014/main" id="{00000000-0008-0000-2000-00007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4" name="131 CuadroTexto">
          <a:extLst>
            <a:ext uri="{FF2B5EF4-FFF2-40B4-BE49-F238E27FC236}">
              <a16:creationId xmlns:a16="http://schemas.microsoft.com/office/drawing/2014/main" id="{00000000-0008-0000-2000-00007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5" name="132 CuadroTexto">
          <a:extLst>
            <a:ext uri="{FF2B5EF4-FFF2-40B4-BE49-F238E27FC236}">
              <a16:creationId xmlns:a16="http://schemas.microsoft.com/office/drawing/2014/main" id="{00000000-0008-0000-2000-00007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6" name="133 CuadroTexto">
          <a:extLst>
            <a:ext uri="{FF2B5EF4-FFF2-40B4-BE49-F238E27FC236}">
              <a16:creationId xmlns:a16="http://schemas.microsoft.com/office/drawing/2014/main" id="{00000000-0008-0000-2000-00007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7" name="134 CuadroTexto">
          <a:extLst>
            <a:ext uri="{FF2B5EF4-FFF2-40B4-BE49-F238E27FC236}">
              <a16:creationId xmlns:a16="http://schemas.microsoft.com/office/drawing/2014/main" id="{00000000-0008-0000-2000-00007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8" name="135 CuadroTexto">
          <a:extLst>
            <a:ext uri="{FF2B5EF4-FFF2-40B4-BE49-F238E27FC236}">
              <a16:creationId xmlns:a16="http://schemas.microsoft.com/office/drawing/2014/main" id="{00000000-0008-0000-2000-00007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9" name="136 CuadroTexto">
          <a:extLst>
            <a:ext uri="{FF2B5EF4-FFF2-40B4-BE49-F238E27FC236}">
              <a16:creationId xmlns:a16="http://schemas.microsoft.com/office/drawing/2014/main" id="{00000000-0008-0000-2000-00007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0" name="137 CuadroTexto">
          <a:extLst>
            <a:ext uri="{FF2B5EF4-FFF2-40B4-BE49-F238E27FC236}">
              <a16:creationId xmlns:a16="http://schemas.microsoft.com/office/drawing/2014/main" id="{00000000-0008-0000-2000-00007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1" name="138 CuadroTexto">
          <a:extLst>
            <a:ext uri="{FF2B5EF4-FFF2-40B4-BE49-F238E27FC236}">
              <a16:creationId xmlns:a16="http://schemas.microsoft.com/office/drawing/2014/main" id="{00000000-0008-0000-2000-00007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2" name="139 CuadroTexto">
          <a:extLst>
            <a:ext uri="{FF2B5EF4-FFF2-40B4-BE49-F238E27FC236}">
              <a16:creationId xmlns:a16="http://schemas.microsoft.com/office/drawing/2014/main" id="{00000000-0008-0000-2000-00008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3" name="140 CuadroTexto">
          <a:extLst>
            <a:ext uri="{FF2B5EF4-FFF2-40B4-BE49-F238E27FC236}">
              <a16:creationId xmlns:a16="http://schemas.microsoft.com/office/drawing/2014/main" id="{00000000-0008-0000-2000-00008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4" name="141 CuadroTexto">
          <a:extLst>
            <a:ext uri="{FF2B5EF4-FFF2-40B4-BE49-F238E27FC236}">
              <a16:creationId xmlns:a16="http://schemas.microsoft.com/office/drawing/2014/main" id="{00000000-0008-0000-2000-00008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5" name="142 CuadroTexto">
          <a:extLst>
            <a:ext uri="{FF2B5EF4-FFF2-40B4-BE49-F238E27FC236}">
              <a16:creationId xmlns:a16="http://schemas.microsoft.com/office/drawing/2014/main" id="{00000000-0008-0000-2000-00008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6" name="307 CuadroTexto">
          <a:extLst>
            <a:ext uri="{FF2B5EF4-FFF2-40B4-BE49-F238E27FC236}">
              <a16:creationId xmlns:a16="http://schemas.microsoft.com/office/drawing/2014/main" id="{00000000-0008-0000-2000-000084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7" name="308 CuadroTexto">
          <a:extLst>
            <a:ext uri="{FF2B5EF4-FFF2-40B4-BE49-F238E27FC236}">
              <a16:creationId xmlns:a16="http://schemas.microsoft.com/office/drawing/2014/main" id="{00000000-0008-0000-2000-000085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8" name="309 CuadroTexto">
          <a:extLst>
            <a:ext uri="{FF2B5EF4-FFF2-40B4-BE49-F238E27FC236}">
              <a16:creationId xmlns:a16="http://schemas.microsoft.com/office/drawing/2014/main" id="{00000000-0008-0000-2000-000086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9" name="310 CuadroTexto">
          <a:extLst>
            <a:ext uri="{FF2B5EF4-FFF2-40B4-BE49-F238E27FC236}">
              <a16:creationId xmlns:a16="http://schemas.microsoft.com/office/drawing/2014/main" id="{00000000-0008-0000-2000-000087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0" name="311 CuadroTexto">
          <a:extLst>
            <a:ext uri="{FF2B5EF4-FFF2-40B4-BE49-F238E27FC236}">
              <a16:creationId xmlns:a16="http://schemas.microsoft.com/office/drawing/2014/main" id="{00000000-0008-0000-2000-000088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1" name="312 CuadroTexto">
          <a:extLst>
            <a:ext uri="{FF2B5EF4-FFF2-40B4-BE49-F238E27FC236}">
              <a16:creationId xmlns:a16="http://schemas.microsoft.com/office/drawing/2014/main" id="{00000000-0008-0000-2000-000089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2" name="313 CuadroTexto">
          <a:extLst>
            <a:ext uri="{FF2B5EF4-FFF2-40B4-BE49-F238E27FC236}">
              <a16:creationId xmlns:a16="http://schemas.microsoft.com/office/drawing/2014/main" id="{00000000-0008-0000-2000-00008A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3" name="314 CuadroTexto">
          <a:extLst>
            <a:ext uri="{FF2B5EF4-FFF2-40B4-BE49-F238E27FC236}">
              <a16:creationId xmlns:a16="http://schemas.microsoft.com/office/drawing/2014/main" id="{00000000-0008-0000-2000-00008B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4" name="315 CuadroTexto">
          <a:extLst>
            <a:ext uri="{FF2B5EF4-FFF2-40B4-BE49-F238E27FC236}">
              <a16:creationId xmlns:a16="http://schemas.microsoft.com/office/drawing/2014/main" id="{00000000-0008-0000-2000-00008C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5" name="316 CuadroTexto">
          <a:extLst>
            <a:ext uri="{FF2B5EF4-FFF2-40B4-BE49-F238E27FC236}">
              <a16:creationId xmlns:a16="http://schemas.microsoft.com/office/drawing/2014/main" id="{00000000-0008-0000-2000-00008D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6" name="317 CuadroTexto">
          <a:extLst>
            <a:ext uri="{FF2B5EF4-FFF2-40B4-BE49-F238E27FC236}">
              <a16:creationId xmlns:a16="http://schemas.microsoft.com/office/drawing/2014/main" id="{00000000-0008-0000-2000-00008E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7" name="318 CuadroTexto">
          <a:extLst>
            <a:ext uri="{FF2B5EF4-FFF2-40B4-BE49-F238E27FC236}">
              <a16:creationId xmlns:a16="http://schemas.microsoft.com/office/drawing/2014/main" id="{00000000-0008-0000-2000-00008F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8" name="319 CuadroTexto">
          <a:extLst>
            <a:ext uri="{FF2B5EF4-FFF2-40B4-BE49-F238E27FC236}">
              <a16:creationId xmlns:a16="http://schemas.microsoft.com/office/drawing/2014/main" id="{00000000-0008-0000-2000-000090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9" name="320 CuadroTexto">
          <a:extLst>
            <a:ext uri="{FF2B5EF4-FFF2-40B4-BE49-F238E27FC236}">
              <a16:creationId xmlns:a16="http://schemas.microsoft.com/office/drawing/2014/main" id="{00000000-0008-0000-2000-000091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0" name="321 CuadroTexto">
          <a:extLst>
            <a:ext uri="{FF2B5EF4-FFF2-40B4-BE49-F238E27FC236}">
              <a16:creationId xmlns:a16="http://schemas.microsoft.com/office/drawing/2014/main" id="{00000000-0008-0000-2000-000092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1" name="322 CuadroTexto">
          <a:extLst>
            <a:ext uri="{FF2B5EF4-FFF2-40B4-BE49-F238E27FC236}">
              <a16:creationId xmlns:a16="http://schemas.microsoft.com/office/drawing/2014/main" id="{00000000-0008-0000-2000-000093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2" name="323 CuadroTexto">
          <a:extLst>
            <a:ext uri="{FF2B5EF4-FFF2-40B4-BE49-F238E27FC236}">
              <a16:creationId xmlns:a16="http://schemas.microsoft.com/office/drawing/2014/main" id="{00000000-0008-0000-2000-000094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3" name="324 CuadroTexto">
          <a:extLst>
            <a:ext uri="{FF2B5EF4-FFF2-40B4-BE49-F238E27FC236}">
              <a16:creationId xmlns:a16="http://schemas.microsoft.com/office/drawing/2014/main" id="{00000000-0008-0000-2000-000095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4" name="325 CuadroTexto">
          <a:extLst>
            <a:ext uri="{FF2B5EF4-FFF2-40B4-BE49-F238E27FC236}">
              <a16:creationId xmlns:a16="http://schemas.microsoft.com/office/drawing/2014/main" id="{00000000-0008-0000-2000-000096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5" name="326 CuadroTexto">
          <a:extLst>
            <a:ext uri="{FF2B5EF4-FFF2-40B4-BE49-F238E27FC236}">
              <a16:creationId xmlns:a16="http://schemas.microsoft.com/office/drawing/2014/main" id="{00000000-0008-0000-2000-000097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6" name="327 CuadroTexto">
          <a:extLst>
            <a:ext uri="{FF2B5EF4-FFF2-40B4-BE49-F238E27FC236}">
              <a16:creationId xmlns:a16="http://schemas.microsoft.com/office/drawing/2014/main" id="{00000000-0008-0000-2000-000098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7" name="328 CuadroTexto">
          <a:extLst>
            <a:ext uri="{FF2B5EF4-FFF2-40B4-BE49-F238E27FC236}">
              <a16:creationId xmlns:a16="http://schemas.microsoft.com/office/drawing/2014/main" id="{00000000-0008-0000-2000-000099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8" name="329 CuadroTexto">
          <a:extLst>
            <a:ext uri="{FF2B5EF4-FFF2-40B4-BE49-F238E27FC236}">
              <a16:creationId xmlns:a16="http://schemas.microsoft.com/office/drawing/2014/main" id="{00000000-0008-0000-2000-00009A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9" name="330 CuadroTexto">
          <a:extLst>
            <a:ext uri="{FF2B5EF4-FFF2-40B4-BE49-F238E27FC236}">
              <a16:creationId xmlns:a16="http://schemas.microsoft.com/office/drawing/2014/main" id="{00000000-0008-0000-2000-00009B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0" name="331 CuadroTexto">
          <a:extLst>
            <a:ext uri="{FF2B5EF4-FFF2-40B4-BE49-F238E27FC236}">
              <a16:creationId xmlns:a16="http://schemas.microsoft.com/office/drawing/2014/main" id="{00000000-0008-0000-2000-00009C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1" name="332 CuadroTexto">
          <a:extLst>
            <a:ext uri="{FF2B5EF4-FFF2-40B4-BE49-F238E27FC236}">
              <a16:creationId xmlns:a16="http://schemas.microsoft.com/office/drawing/2014/main" id="{00000000-0008-0000-2000-00009D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2" name="333 CuadroTexto">
          <a:extLst>
            <a:ext uri="{FF2B5EF4-FFF2-40B4-BE49-F238E27FC236}">
              <a16:creationId xmlns:a16="http://schemas.microsoft.com/office/drawing/2014/main" id="{00000000-0008-0000-2000-00009E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3" name="334 CuadroTexto">
          <a:extLst>
            <a:ext uri="{FF2B5EF4-FFF2-40B4-BE49-F238E27FC236}">
              <a16:creationId xmlns:a16="http://schemas.microsoft.com/office/drawing/2014/main" id="{00000000-0008-0000-2000-00009F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4" name="335 CuadroTexto">
          <a:extLst>
            <a:ext uri="{FF2B5EF4-FFF2-40B4-BE49-F238E27FC236}">
              <a16:creationId xmlns:a16="http://schemas.microsoft.com/office/drawing/2014/main" id="{00000000-0008-0000-2000-0000A0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5" name="336 CuadroTexto">
          <a:extLst>
            <a:ext uri="{FF2B5EF4-FFF2-40B4-BE49-F238E27FC236}">
              <a16:creationId xmlns:a16="http://schemas.microsoft.com/office/drawing/2014/main" id="{00000000-0008-0000-2000-0000A1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6" name="337 CuadroTexto">
          <a:extLst>
            <a:ext uri="{FF2B5EF4-FFF2-40B4-BE49-F238E27FC236}">
              <a16:creationId xmlns:a16="http://schemas.microsoft.com/office/drawing/2014/main" id="{00000000-0008-0000-2000-0000A2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7" name="338 CuadroTexto">
          <a:extLst>
            <a:ext uri="{FF2B5EF4-FFF2-40B4-BE49-F238E27FC236}">
              <a16:creationId xmlns:a16="http://schemas.microsoft.com/office/drawing/2014/main" id="{00000000-0008-0000-2000-0000A3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8" name="339 CuadroTexto">
          <a:extLst>
            <a:ext uri="{FF2B5EF4-FFF2-40B4-BE49-F238E27FC236}">
              <a16:creationId xmlns:a16="http://schemas.microsoft.com/office/drawing/2014/main" id="{00000000-0008-0000-2000-0000A4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9" name="340 CuadroTexto">
          <a:extLst>
            <a:ext uri="{FF2B5EF4-FFF2-40B4-BE49-F238E27FC236}">
              <a16:creationId xmlns:a16="http://schemas.microsoft.com/office/drawing/2014/main" id="{00000000-0008-0000-2000-0000A5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0" name="341 CuadroTexto">
          <a:extLst>
            <a:ext uri="{FF2B5EF4-FFF2-40B4-BE49-F238E27FC236}">
              <a16:creationId xmlns:a16="http://schemas.microsoft.com/office/drawing/2014/main" id="{00000000-0008-0000-2000-0000A6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1" name="342 CuadroTexto">
          <a:extLst>
            <a:ext uri="{FF2B5EF4-FFF2-40B4-BE49-F238E27FC236}">
              <a16:creationId xmlns:a16="http://schemas.microsoft.com/office/drawing/2014/main" id="{00000000-0008-0000-2000-0000A7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2" name="343 CuadroTexto">
          <a:extLst>
            <a:ext uri="{FF2B5EF4-FFF2-40B4-BE49-F238E27FC236}">
              <a16:creationId xmlns:a16="http://schemas.microsoft.com/office/drawing/2014/main" id="{00000000-0008-0000-2000-0000A8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3" name="344 CuadroTexto">
          <a:extLst>
            <a:ext uri="{FF2B5EF4-FFF2-40B4-BE49-F238E27FC236}">
              <a16:creationId xmlns:a16="http://schemas.microsoft.com/office/drawing/2014/main" id="{00000000-0008-0000-2000-0000A9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4" name="345 CuadroTexto">
          <a:extLst>
            <a:ext uri="{FF2B5EF4-FFF2-40B4-BE49-F238E27FC236}">
              <a16:creationId xmlns:a16="http://schemas.microsoft.com/office/drawing/2014/main" id="{00000000-0008-0000-2000-0000AA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5" name="346 CuadroTexto">
          <a:extLst>
            <a:ext uri="{FF2B5EF4-FFF2-40B4-BE49-F238E27FC236}">
              <a16:creationId xmlns:a16="http://schemas.microsoft.com/office/drawing/2014/main" id="{00000000-0008-0000-2000-0000AB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6" name="347 CuadroTexto">
          <a:extLst>
            <a:ext uri="{FF2B5EF4-FFF2-40B4-BE49-F238E27FC236}">
              <a16:creationId xmlns:a16="http://schemas.microsoft.com/office/drawing/2014/main" id="{00000000-0008-0000-2000-0000AC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7" name="348 CuadroTexto">
          <a:extLst>
            <a:ext uri="{FF2B5EF4-FFF2-40B4-BE49-F238E27FC236}">
              <a16:creationId xmlns:a16="http://schemas.microsoft.com/office/drawing/2014/main" id="{00000000-0008-0000-2000-0000AD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8" name="349 CuadroTexto">
          <a:extLst>
            <a:ext uri="{FF2B5EF4-FFF2-40B4-BE49-F238E27FC236}">
              <a16:creationId xmlns:a16="http://schemas.microsoft.com/office/drawing/2014/main" id="{00000000-0008-0000-2000-0000AE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9" name="350 CuadroTexto">
          <a:extLst>
            <a:ext uri="{FF2B5EF4-FFF2-40B4-BE49-F238E27FC236}">
              <a16:creationId xmlns:a16="http://schemas.microsoft.com/office/drawing/2014/main" id="{00000000-0008-0000-2000-0000AF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0" name="351 CuadroTexto">
          <a:extLst>
            <a:ext uri="{FF2B5EF4-FFF2-40B4-BE49-F238E27FC236}">
              <a16:creationId xmlns:a16="http://schemas.microsoft.com/office/drawing/2014/main" id="{00000000-0008-0000-2000-0000B0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1" name="352 CuadroTexto">
          <a:extLst>
            <a:ext uri="{FF2B5EF4-FFF2-40B4-BE49-F238E27FC236}">
              <a16:creationId xmlns:a16="http://schemas.microsoft.com/office/drawing/2014/main" id="{00000000-0008-0000-2000-0000B1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2" name="353 CuadroTexto">
          <a:extLst>
            <a:ext uri="{FF2B5EF4-FFF2-40B4-BE49-F238E27FC236}">
              <a16:creationId xmlns:a16="http://schemas.microsoft.com/office/drawing/2014/main" id="{00000000-0008-0000-2000-0000B2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3" name="354 CuadroTexto">
          <a:extLst>
            <a:ext uri="{FF2B5EF4-FFF2-40B4-BE49-F238E27FC236}">
              <a16:creationId xmlns:a16="http://schemas.microsoft.com/office/drawing/2014/main" id="{00000000-0008-0000-2000-0000B3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4" name="355 CuadroTexto">
          <a:extLst>
            <a:ext uri="{FF2B5EF4-FFF2-40B4-BE49-F238E27FC236}">
              <a16:creationId xmlns:a16="http://schemas.microsoft.com/office/drawing/2014/main" id="{00000000-0008-0000-2000-0000B4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5" name="356 CuadroTexto">
          <a:extLst>
            <a:ext uri="{FF2B5EF4-FFF2-40B4-BE49-F238E27FC236}">
              <a16:creationId xmlns:a16="http://schemas.microsoft.com/office/drawing/2014/main" id="{00000000-0008-0000-2000-0000B5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6" name="357 CuadroTexto">
          <a:extLst>
            <a:ext uri="{FF2B5EF4-FFF2-40B4-BE49-F238E27FC236}">
              <a16:creationId xmlns:a16="http://schemas.microsoft.com/office/drawing/2014/main" id="{00000000-0008-0000-2000-0000B6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7" name="358 CuadroTexto">
          <a:extLst>
            <a:ext uri="{FF2B5EF4-FFF2-40B4-BE49-F238E27FC236}">
              <a16:creationId xmlns:a16="http://schemas.microsoft.com/office/drawing/2014/main" id="{00000000-0008-0000-2000-0000B7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8" name="359 CuadroTexto">
          <a:extLst>
            <a:ext uri="{FF2B5EF4-FFF2-40B4-BE49-F238E27FC236}">
              <a16:creationId xmlns:a16="http://schemas.microsoft.com/office/drawing/2014/main" id="{00000000-0008-0000-2000-0000B8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9" name="360 CuadroTexto">
          <a:extLst>
            <a:ext uri="{FF2B5EF4-FFF2-40B4-BE49-F238E27FC236}">
              <a16:creationId xmlns:a16="http://schemas.microsoft.com/office/drawing/2014/main" id="{00000000-0008-0000-2000-0000B9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0" name="361 CuadroTexto">
          <a:extLst>
            <a:ext uri="{FF2B5EF4-FFF2-40B4-BE49-F238E27FC236}">
              <a16:creationId xmlns:a16="http://schemas.microsoft.com/office/drawing/2014/main" id="{00000000-0008-0000-2000-0000BA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1" name="362 CuadroTexto">
          <a:extLst>
            <a:ext uri="{FF2B5EF4-FFF2-40B4-BE49-F238E27FC236}">
              <a16:creationId xmlns:a16="http://schemas.microsoft.com/office/drawing/2014/main" id="{00000000-0008-0000-2000-0000BB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2" name="363 CuadroTexto">
          <a:extLst>
            <a:ext uri="{FF2B5EF4-FFF2-40B4-BE49-F238E27FC236}">
              <a16:creationId xmlns:a16="http://schemas.microsoft.com/office/drawing/2014/main" id="{00000000-0008-0000-2000-0000BC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3" name="364 CuadroTexto">
          <a:extLst>
            <a:ext uri="{FF2B5EF4-FFF2-40B4-BE49-F238E27FC236}">
              <a16:creationId xmlns:a16="http://schemas.microsoft.com/office/drawing/2014/main" id="{00000000-0008-0000-2000-0000BD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4" name="365 CuadroTexto">
          <a:extLst>
            <a:ext uri="{FF2B5EF4-FFF2-40B4-BE49-F238E27FC236}">
              <a16:creationId xmlns:a16="http://schemas.microsoft.com/office/drawing/2014/main" id="{00000000-0008-0000-2000-0000BE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5" name="366 CuadroTexto">
          <a:extLst>
            <a:ext uri="{FF2B5EF4-FFF2-40B4-BE49-F238E27FC236}">
              <a16:creationId xmlns:a16="http://schemas.microsoft.com/office/drawing/2014/main" id="{00000000-0008-0000-2000-0000BF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6" name="367 CuadroTexto">
          <a:extLst>
            <a:ext uri="{FF2B5EF4-FFF2-40B4-BE49-F238E27FC236}">
              <a16:creationId xmlns:a16="http://schemas.microsoft.com/office/drawing/2014/main" id="{00000000-0008-0000-2000-0000C0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7" name="368 CuadroTexto">
          <a:extLst>
            <a:ext uri="{FF2B5EF4-FFF2-40B4-BE49-F238E27FC236}">
              <a16:creationId xmlns:a16="http://schemas.microsoft.com/office/drawing/2014/main" id="{00000000-0008-0000-2000-0000C1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8" name="369 CuadroTexto">
          <a:extLst>
            <a:ext uri="{FF2B5EF4-FFF2-40B4-BE49-F238E27FC236}">
              <a16:creationId xmlns:a16="http://schemas.microsoft.com/office/drawing/2014/main" id="{00000000-0008-0000-2000-0000C2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9" name="370 CuadroTexto">
          <a:extLst>
            <a:ext uri="{FF2B5EF4-FFF2-40B4-BE49-F238E27FC236}">
              <a16:creationId xmlns:a16="http://schemas.microsoft.com/office/drawing/2014/main" id="{00000000-0008-0000-2000-0000C3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0" name="371 CuadroTexto">
          <a:extLst>
            <a:ext uri="{FF2B5EF4-FFF2-40B4-BE49-F238E27FC236}">
              <a16:creationId xmlns:a16="http://schemas.microsoft.com/office/drawing/2014/main" id="{00000000-0008-0000-2000-0000C4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1" name="372 CuadroTexto">
          <a:extLst>
            <a:ext uri="{FF2B5EF4-FFF2-40B4-BE49-F238E27FC236}">
              <a16:creationId xmlns:a16="http://schemas.microsoft.com/office/drawing/2014/main" id="{00000000-0008-0000-2000-0000C5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2" name="373 CuadroTexto">
          <a:extLst>
            <a:ext uri="{FF2B5EF4-FFF2-40B4-BE49-F238E27FC236}">
              <a16:creationId xmlns:a16="http://schemas.microsoft.com/office/drawing/2014/main" id="{00000000-0008-0000-2000-0000C6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3" name="374 CuadroTexto">
          <a:extLst>
            <a:ext uri="{FF2B5EF4-FFF2-40B4-BE49-F238E27FC236}">
              <a16:creationId xmlns:a16="http://schemas.microsoft.com/office/drawing/2014/main" id="{00000000-0008-0000-2000-0000C7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4" name="375 CuadroTexto">
          <a:extLst>
            <a:ext uri="{FF2B5EF4-FFF2-40B4-BE49-F238E27FC236}">
              <a16:creationId xmlns:a16="http://schemas.microsoft.com/office/drawing/2014/main" id="{00000000-0008-0000-2000-0000C8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5" name="376 CuadroTexto">
          <a:extLst>
            <a:ext uri="{FF2B5EF4-FFF2-40B4-BE49-F238E27FC236}">
              <a16:creationId xmlns:a16="http://schemas.microsoft.com/office/drawing/2014/main" id="{00000000-0008-0000-2000-0000C9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6" name="377 CuadroTexto">
          <a:extLst>
            <a:ext uri="{FF2B5EF4-FFF2-40B4-BE49-F238E27FC236}">
              <a16:creationId xmlns:a16="http://schemas.microsoft.com/office/drawing/2014/main" id="{00000000-0008-0000-2000-0000CA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7" name="378 CuadroTexto">
          <a:extLst>
            <a:ext uri="{FF2B5EF4-FFF2-40B4-BE49-F238E27FC236}">
              <a16:creationId xmlns:a16="http://schemas.microsoft.com/office/drawing/2014/main" id="{00000000-0008-0000-2000-0000CB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8" name="379 CuadroTexto">
          <a:extLst>
            <a:ext uri="{FF2B5EF4-FFF2-40B4-BE49-F238E27FC236}">
              <a16:creationId xmlns:a16="http://schemas.microsoft.com/office/drawing/2014/main" id="{00000000-0008-0000-2000-0000CC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9" name="380 CuadroTexto">
          <a:extLst>
            <a:ext uri="{FF2B5EF4-FFF2-40B4-BE49-F238E27FC236}">
              <a16:creationId xmlns:a16="http://schemas.microsoft.com/office/drawing/2014/main" id="{00000000-0008-0000-2000-0000CD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0" name="381 CuadroTexto">
          <a:extLst>
            <a:ext uri="{FF2B5EF4-FFF2-40B4-BE49-F238E27FC236}">
              <a16:creationId xmlns:a16="http://schemas.microsoft.com/office/drawing/2014/main" id="{00000000-0008-0000-2000-0000CE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1" name="382 CuadroTexto">
          <a:extLst>
            <a:ext uri="{FF2B5EF4-FFF2-40B4-BE49-F238E27FC236}">
              <a16:creationId xmlns:a16="http://schemas.microsoft.com/office/drawing/2014/main" id="{00000000-0008-0000-2000-0000CF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2" name="383 CuadroTexto">
          <a:extLst>
            <a:ext uri="{FF2B5EF4-FFF2-40B4-BE49-F238E27FC236}">
              <a16:creationId xmlns:a16="http://schemas.microsoft.com/office/drawing/2014/main" id="{00000000-0008-0000-2000-0000D0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3" name="384 CuadroTexto">
          <a:extLst>
            <a:ext uri="{FF2B5EF4-FFF2-40B4-BE49-F238E27FC236}">
              <a16:creationId xmlns:a16="http://schemas.microsoft.com/office/drawing/2014/main" id="{00000000-0008-0000-2000-0000D1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4" name="385 CuadroTexto">
          <a:extLst>
            <a:ext uri="{FF2B5EF4-FFF2-40B4-BE49-F238E27FC236}">
              <a16:creationId xmlns:a16="http://schemas.microsoft.com/office/drawing/2014/main" id="{00000000-0008-0000-2000-0000D2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5" name="386 CuadroTexto">
          <a:extLst>
            <a:ext uri="{FF2B5EF4-FFF2-40B4-BE49-F238E27FC236}">
              <a16:creationId xmlns:a16="http://schemas.microsoft.com/office/drawing/2014/main" id="{00000000-0008-0000-2000-0000D3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6" name="387 CuadroTexto">
          <a:extLst>
            <a:ext uri="{FF2B5EF4-FFF2-40B4-BE49-F238E27FC236}">
              <a16:creationId xmlns:a16="http://schemas.microsoft.com/office/drawing/2014/main" id="{00000000-0008-0000-2000-0000D4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7" name="388 CuadroTexto">
          <a:extLst>
            <a:ext uri="{FF2B5EF4-FFF2-40B4-BE49-F238E27FC236}">
              <a16:creationId xmlns:a16="http://schemas.microsoft.com/office/drawing/2014/main" id="{00000000-0008-0000-2000-0000D5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8" name="389 CuadroTexto">
          <a:extLst>
            <a:ext uri="{FF2B5EF4-FFF2-40B4-BE49-F238E27FC236}">
              <a16:creationId xmlns:a16="http://schemas.microsoft.com/office/drawing/2014/main" id="{00000000-0008-0000-2000-0000D6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9" name="390 CuadroTexto">
          <a:extLst>
            <a:ext uri="{FF2B5EF4-FFF2-40B4-BE49-F238E27FC236}">
              <a16:creationId xmlns:a16="http://schemas.microsoft.com/office/drawing/2014/main" id="{00000000-0008-0000-2000-0000D7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0" name="391 CuadroTexto">
          <a:extLst>
            <a:ext uri="{FF2B5EF4-FFF2-40B4-BE49-F238E27FC236}">
              <a16:creationId xmlns:a16="http://schemas.microsoft.com/office/drawing/2014/main" id="{00000000-0008-0000-2000-0000D8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1" name="392 CuadroTexto">
          <a:extLst>
            <a:ext uri="{FF2B5EF4-FFF2-40B4-BE49-F238E27FC236}">
              <a16:creationId xmlns:a16="http://schemas.microsoft.com/office/drawing/2014/main" id="{00000000-0008-0000-2000-0000D9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2" name="393 CuadroTexto">
          <a:extLst>
            <a:ext uri="{FF2B5EF4-FFF2-40B4-BE49-F238E27FC236}">
              <a16:creationId xmlns:a16="http://schemas.microsoft.com/office/drawing/2014/main" id="{00000000-0008-0000-2000-0000DA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3" name="394 CuadroTexto">
          <a:extLst>
            <a:ext uri="{FF2B5EF4-FFF2-40B4-BE49-F238E27FC236}">
              <a16:creationId xmlns:a16="http://schemas.microsoft.com/office/drawing/2014/main" id="{00000000-0008-0000-2000-0000DB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4" name="395 CuadroTexto">
          <a:extLst>
            <a:ext uri="{FF2B5EF4-FFF2-40B4-BE49-F238E27FC236}">
              <a16:creationId xmlns:a16="http://schemas.microsoft.com/office/drawing/2014/main" id="{00000000-0008-0000-2000-0000DC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5" name="396 CuadroTexto">
          <a:extLst>
            <a:ext uri="{FF2B5EF4-FFF2-40B4-BE49-F238E27FC236}">
              <a16:creationId xmlns:a16="http://schemas.microsoft.com/office/drawing/2014/main" id="{00000000-0008-0000-2000-0000DD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6" name="397 CuadroTexto">
          <a:extLst>
            <a:ext uri="{FF2B5EF4-FFF2-40B4-BE49-F238E27FC236}">
              <a16:creationId xmlns:a16="http://schemas.microsoft.com/office/drawing/2014/main" id="{00000000-0008-0000-2000-0000DE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7" name="398 CuadroTexto">
          <a:extLst>
            <a:ext uri="{FF2B5EF4-FFF2-40B4-BE49-F238E27FC236}">
              <a16:creationId xmlns:a16="http://schemas.microsoft.com/office/drawing/2014/main" id="{00000000-0008-0000-2000-0000DF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8" name="399 CuadroTexto">
          <a:extLst>
            <a:ext uri="{FF2B5EF4-FFF2-40B4-BE49-F238E27FC236}">
              <a16:creationId xmlns:a16="http://schemas.microsoft.com/office/drawing/2014/main" id="{00000000-0008-0000-2000-0000E0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9" name="400 CuadroTexto">
          <a:extLst>
            <a:ext uri="{FF2B5EF4-FFF2-40B4-BE49-F238E27FC236}">
              <a16:creationId xmlns:a16="http://schemas.microsoft.com/office/drawing/2014/main" id="{00000000-0008-0000-2000-0000E1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0" name="401 CuadroTexto">
          <a:extLst>
            <a:ext uri="{FF2B5EF4-FFF2-40B4-BE49-F238E27FC236}">
              <a16:creationId xmlns:a16="http://schemas.microsoft.com/office/drawing/2014/main" id="{00000000-0008-0000-2000-0000E2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1" name="402 CuadroTexto">
          <a:extLst>
            <a:ext uri="{FF2B5EF4-FFF2-40B4-BE49-F238E27FC236}">
              <a16:creationId xmlns:a16="http://schemas.microsoft.com/office/drawing/2014/main" id="{00000000-0008-0000-2000-0000E3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2" name="403 CuadroTexto">
          <a:extLst>
            <a:ext uri="{FF2B5EF4-FFF2-40B4-BE49-F238E27FC236}">
              <a16:creationId xmlns:a16="http://schemas.microsoft.com/office/drawing/2014/main" id="{00000000-0008-0000-2000-0000E4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3" name="404 CuadroTexto">
          <a:extLst>
            <a:ext uri="{FF2B5EF4-FFF2-40B4-BE49-F238E27FC236}">
              <a16:creationId xmlns:a16="http://schemas.microsoft.com/office/drawing/2014/main" id="{00000000-0008-0000-2000-0000E5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4" name="405 CuadroTexto">
          <a:extLst>
            <a:ext uri="{FF2B5EF4-FFF2-40B4-BE49-F238E27FC236}">
              <a16:creationId xmlns:a16="http://schemas.microsoft.com/office/drawing/2014/main" id="{00000000-0008-0000-2000-0000E6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5" name="406 CuadroTexto">
          <a:extLst>
            <a:ext uri="{FF2B5EF4-FFF2-40B4-BE49-F238E27FC236}">
              <a16:creationId xmlns:a16="http://schemas.microsoft.com/office/drawing/2014/main" id="{00000000-0008-0000-2000-0000E7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6" name="407 CuadroTexto">
          <a:extLst>
            <a:ext uri="{FF2B5EF4-FFF2-40B4-BE49-F238E27FC236}">
              <a16:creationId xmlns:a16="http://schemas.microsoft.com/office/drawing/2014/main" id="{00000000-0008-0000-2000-0000E8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7" name="408 CuadroTexto">
          <a:extLst>
            <a:ext uri="{FF2B5EF4-FFF2-40B4-BE49-F238E27FC236}">
              <a16:creationId xmlns:a16="http://schemas.microsoft.com/office/drawing/2014/main" id="{00000000-0008-0000-2000-0000E9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8" name="409 CuadroTexto">
          <a:extLst>
            <a:ext uri="{FF2B5EF4-FFF2-40B4-BE49-F238E27FC236}">
              <a16:creationId xmlns:a16="http://schemas.microsoft.com/office/drawing/2014/main" id="{00000000-0008-0000-2000-0000EA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9" name="410 CuadroTexto">
          <a:extLst>
            <a:ext uri="{FF2B5EF4-FFF2-40B4-BE49-F238E27FC236}">
              <a16:creationId xmlns:a16="http://schemas.microsoft.com/office/drawing/2014/main" id="{00000000-0008-0000-2000-0000EB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0" name="411 CuadroTexto">
          <a:extLst>
            <a:ext uri="{FF2B5EF4-FFF2-40B4-BE49-F238E27FC236}">
              <a16:creationId xmlns:a16="http://schemas.microsoft.com/office/drawing/2014/main" id="{00000000-0008-0000-2000-0000EC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1" name="412 CuadroTexto">
          <a:extLst>
            <a:ext uri="{FF2B5EF4-FFF2-40B4-BE49-F238E27FC236}">
              <a16:creationId xmlns:a16="http://schemas.microsoft.com/office/drawing/2014/main" id="{00000000-0008-0000-2000-0000ED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2" name="413 CuadroTexto">
          <a:extLst>
            <a:ext uri="{FF2B5EF4-FFF2-40B4-BE49-F238E27FC236}">
              <a16:creationId xmlns:a16="http://schemas.microsoft.com/office/drawing/2014/main" id="{00000000-0008-0000-2000-0000EE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3" name="414 CuadroTexto">
          <a:extLst>
            <a:ext uri="{FF2B5EF4-FFF2-40B4-BE49-F238E27FC236}">
              <a16:creationId xmlns:a16="http://schemas.microsoft.com/office/drawing/2014/main" id="{00000000-0008-0000-2000-0000EF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4" name="415 CuadroTexto">
          <a:extLst>
            <a:ext uri="{FF2B5EF4-FFF2-40B4-BE49-F238E27FC236}">
              <a16:creationId xmlns:a16="http://schemas.microsoft.com/office/drawing/2014/main" id="{00000000-0008-0000-2000-0000F0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5" name="416 CuadroTexto">
          <a:extLst>
            <a:ext uri="{FF2B5EF4-FFF2-40B4-BE49-F238E27FC236}">
              <a16:creationId xmlns:a16="http://schemas.microsoft.com/office/drawing/2014/main" id="{00000000-0008-0000-2000-0000F1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6" name="417 CuadroTexto">
          <a:extLst>
            <a:ext uri="{FF2B5EF4-FFF2-40B4-BE49-F238E27FC236}">
              <a16:creationId xmlns:a16="http://schemas.microsoft.com/office/drawing/2014/main" id="{00000000-0008-0000-2000-0000F2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7" name="418 CuadroTexto">
          <a:extLst>
            <a:ext uri="{FF2B5EF4-FFF2-40B4-BE49-F238E27FC236}">
              <a16:creationId xmlns:a16="http://schemas.microsoft.com/office/drawing/2014/main" id="{00000000-0008-0000-2000-0000F3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8" name="419 CuadroTexto">
          <a:extLst>
            <a:ext uri="{FF2B5EF4-FFF2-40B4-BE49-F238E27FC236}">
              <a16:creationId xmlns:a16="http://schemas.microsoft.com/office/drawing/2014/main" id="{00000000-0008-0000-2000-0000F4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9" name="420 CuadroTexto">
          <a:extLst>
            <a:ext uri="{FF2B5EF4-FFF2-40B4-BE49-F238E27FC236}">
              <a16:creationId xmlns:a16="http://schemas.microsoft.com/office/drawing/2014/main" id="{00000000-0008-0000-2000-0000F5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0" name="421 CuadroTexto">
          <a:extLst>
            <a:ext uri="{FF2B5EF4-FFF2-40B4-BE49-F238E27FC236}">
              <a16:creationId xmlns:a16="http://schemas.microsoft.com/office/drawing/2014/main" id="{00000000-0008-0000-2000-0000F6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1" name="422 CuadroTexto">
          <a:extLst>
            <a:ext uri="{FF2B5EF4-FFF2-40B4-BE49-F238E27FC236}">
              <a16:creationId xmlns:a16="http://schemas.microsoft.com/office/drawing/2014/main" id="{00000000-0008-0000-2000-0000F7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2" name="440 CuadroTexto">
          <a:extLst>
            <a:ext uri="{FF2B5EF4-FFF2-40B4-BE49-F238E27FC236}">
              <a16:creationId xmlns:a16="http://schemas.microsoft.com/office/drawing/2014/main" id="{00000000-0008-0000-2000-0000F8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3" name="441 CuadroTexto">
          <a:extLst>
            <a:ext uri="{FF2B5EF4-FFF2-40B4-BE49-F238E27FC236}">
              <a16:creationId xmlns:a16="http://schemas.microsoft.com/office/drawing/2014/main" id="{00000000-0008-0000-2000-0000F9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4" name="442 CuadroTexto">
          <a:extLst>
            <a:ext uri="{FF2B5EF4-FFF2-40B4-BE49-F238E27FC236}">
              <a16:creationId xmlns:a16="http://schemas.microsoft.com/office/drawing/2014/main" id="{00000000-0008-0000-2000-0000FA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5" name="443 CuadroTexto">
          <a:extLst>
            <a:ext uri="{FF2B5EF4-FFF2-40B4-BE49-F238E27FC236}">
              <a16:creationId xmlns:a16="http://schemas.microsoft.com/office/drawing/2014/main" id="{00000000-0008-0000-2000-0000FB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6" name="444 CuadroTexto">
          <a:extLst>
            <a:ext uri="{FF2B5EF4-FFF2-40B4-BE49-F238E27FC236}">
              <a16:creationId xmlns:a16="http://schemas.microsoft.com/office/drawing/2014/main" id="{00000000-0008-0000-2000-0000FC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7" name="445 CuadroTexto">
          <a:extLst>
            <a:ext uri="{FF2B5EF4-FFF2-40B4-BE49-F238E27FC236}">
              <a16:creationId xmlns:a16="http://schemas.microsoft.com/office/drawing/2014/main" id="{00000000-0008-0000-2000-0000FD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8" name="446 CuadroTexto">
          <a:extLst>
            <a:ext uri="{FF2B5EF4-FFF2-40B4-BE49-F238E27FC236}">
              <a16:creationId xmlns:a16="http://schemas.microsoft.com/office/drawing/2014/main" id="{00000000-0008-0000-2000-0000FE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9" name="447 CuadroTexto">
          <a:extLst>
            <a:ext uri="{FF2B5EF4-FFF2-40B4-BE49-F238E27FC236}">
              <a16:creationId xmlns:a16="http://schemas.microsoft.com/office/drawing/2014/main" id="{00000000-0008-0000-2000-0000FF13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0" name="448 CuadroTexto">
          <a:extLst>
            <a:ext uri="{FF2B5EF4-FFF2-40B4-BE49-F238E27FC236}">
              <a16:creationId xmlns:a16="http://schemas.microsoft.com/office/drawing/2014/main" id="{00000000-0008-0000-2000-00000014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1" name="449 CuadroTexto">
          <a:extLst>
            <a:ext uri="{FF2B5EF4-FFF2-40B4-BE49-F238E27FC236}">
              <a16:creationId xmlns:a16="http://schemas.microsoft.com/office/drawing/2014/main" id="{00000000-0008-0000-2000-00000114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2" name="450 CuadroTexto">
          <a:extLst>
            <a:ext uri="{FF2B5EF4-FFF2-40B4-BE49-F238E27FC236}">
              <a16:creationId xmlns:a16="http://schemas.microsoft.com/office/drawing/2014/main" id="{00000000-0008-0000-2000-00000214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3" name="451 CuadroTexto">
          <a:extLst>
            <a:ext uri="{FF2B5EF4-FFF2-40B4-BE49-F238E27FC236}">
              <a16:creationId xmlns:a16="http://schemas.microsoft.com/office/drawing/2014/main" id="{00000000-0008-0000-2000-00000314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4" name="17 CuadroTexto">
          <a:extLst>
            <a:ext uri="{FF2B5EF4-FFF2-40B4-BE49-F238E27FC236}">
              <a16:creationId xmlns:a16="http://schemas.microsoft.com/office/drawing/2014/main" id="{00000000-0008-0000-2000-00000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125" name="90 CuadroTexto">
          <a:extLst>
            <a:ext uri="{FF2B5EF4-FFF2-40B4-BE49-F238E27FC236}">
              <a16:creationId xmlns:a16="http://schemas.microsoft.com/office/drawing/2014/main" id="{00000000-0008-0000-2000-00000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6" name="91 CuadroTexto">
          <a:extLst>
            <a:ext uri="{FF2B5EF4-FFF2-40B4-BE49-F238E27FC236}">
              <a16:creationId xmlns:a16="http://schemas.microsoft.com/office/drawing/2014/main" id="{00000000-0008-0000-2000-00000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7" name="92 CuadroTexto">
          <a:extLst>
            <a:ext uri="{FF2B5EF4-FFF2-40B4-BE49-F238E27FC236}">
              <a16:creationId xmlns:a16="http://schemas.microsoft.com/office/drawing/2014/main" id="{00000000-0008-0000-2000-00000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8" name="93 CuadroTexto">
          <a:extLst>
            <a:ext uri="{FF2B5EF4-FFF2-40B4-BE49-F238E27FC236}">
              <a16:creationId xmlns:a16="http://schemas.microsoft.com/office/drawing/2014/main" id="{00000000-0008-0000-2000-00000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9" name="94 CuadroTexto">
          <a:extLst>
            <a:ext uri="{FF2B5EF4-FFF2-40B4-BE49-F238E27FC236}">
              <a16:creationId xmlns:a16="http://schemas.microsoft.com/office/drawing/2014/main" id="{00000000-0008-0000-2000-00000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0" name="95 CuadroTexto">
          <a:extLst>
            <a:ext uri="{FF2B5EF4-FFF2-40B4-BE49-F238E27FC236}">
              <a16:creationId xmlns:a16="http://schemas.microsoft.com/office/drawing/2014/main" id="{00000000-0008-0000-2000-00000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1" name="96 CuadroTexto">
          <a:extLst>
            <a:ext uri="{FF2B5EF4-FFF2-40B4-BE49-F238E27FC236}">
              <a16:creationId xmlns:a16="http://schemas.microsoft.com/office/drawing/2014/main" id="{00000000-0008-0000-2000-00000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2" name="97 CuadroTexto">
          <a:extLst>
            <a:ext uri="{FF2B5EF4-FFF2-40B4-BE49-F238E27FC236}">
              <a16:creationId xmlns:a16="http://schemas.microsoft.com/office/drawing/2014/main" id="{00000000-0008-0000-2000-00000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3" name="98 CuadroTexto">
          <a:extLst>
            <a:ext uri="{FF2B5EF4-FFF2-40B4-BE49-F238E27FC236}">
              <a16:creationId xmlns:a16="http://schemas.microsoft.com/office/drawing/2014/main" id="{00000000-0008-0000-2000-00000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4" name="99 CuadroTexto">
          <a:extLst>
            <a:ext uri="{FF2B5EF4-FFF2-40B4-BE49-F238E27FC236}">
              <a16:creationId xmlns:a16="http://schemas.microsoft.com/office/drawing/2014/main" id="{00000000-0008-0000-2000-00000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5" name="100 CuadroTexto">
          <a:extLst>
            <a:ext uri="{FF2B5EF4-FFF2-40B4-BE49-F238E27FC236}">
              <a16:creationId xmlns:a16="http://schemas.microsoft.com/office/drawing/2014/main" id="{00000000-0008-0000-2000-00000F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6" name="101 CuadroTexto">
          <a:extLst>
            <a:ext uri="{FF2B5EF4-FFF2-40B4-BE49-F238E27FC236}">
              <a16:creationId xmlns:a16="http://schemas.microsoft.com/office/drawing/2014/main" id="{00000000-0008-0000-2000-000010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137" name="118 CuadroTexto">
          <a:extLst>
            <a:ext uri="{FF2B5EF4-FFF2-40B4-BE49-F238E27FC236}">
              <a16:creationId xmlns:a16="http://schemas.microsoft.com/office/drawing/2014/main" id="{00000000-0008-0000-2000-00001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8" name="119 CuadroTexto">
          <a:extLst>
            <a:ext uri="{FF2B5EF4-FFF2-40B4-BE49-F238E27FC236}">
              <a16:creationId xmlns:a16="http://schemas.microsoft.com/office/drawing/2014/main" id="{00000000-0008-0000-2000-00001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9" name="120 CuadroTexto">
          <a:extLst>
            <a:ext uri="{FF2B5EF4-FFF2-40B4-BE49-F238E27FC236}">
              <a16:creationId xmlns:a16="http://schemas.microsoft.com/office/drawing/2014/main" id="{00000000-0008-0000-2000-00001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0" name="121 CuadroTexto">
          <a:extLst>
            <a:ext uri="{FF2B5EF4-FFF2-40B4-BE49-F238E27FC236}">
              <a16:creationId xmlns:a16="http://schemas.microsoft.com/office/drawing/2014/main" id="{00000000-0008-0000-2000-00001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1" name="122 CuadroTexto">
          <a:extLst>
            <a:ext uri="{FF2B5EF4-FFF2-40B4-BE49-F238E27FC236}">
              <a16:creationId xmlns:a16="http://schemas.microsoft.com/office/drawing/2014/main" id="{00000000-0008-0000-2000-00001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2" name="123 CuadroTexto">
          <a:extLst>
            <a:ext uri="{FF2B5EF4-FFF2-40B4-BE49-F238E27FC236}">
              <a16:creationId xmlns:a16="http://schemas.microsoft.com/office/drawing/2014/main" id="{00000000-0008-0000-2000-00001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3" name="124 CuadroTexto">
          <a:extLst>
            <a:ext uri="{FF2B5EF4-FFF2-40B4-BE49-F238E27FC236}">
              <a16:creationId xmlns:a16="http://schemas.microsoft.com/office/drawing/2014/main" id="{00000000-0008-0000-2000-00001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4" name="125 CuadroTexto">
          <a:extLst>
            <a:ext uri="{FF2B5EF4-FFF2-40B4-BE49-F238E27FC236}">
              <a16:creationId xmlns:a16="http://schemas.microsoft.com/office/drawing/2014/main" id="{00000000-0008-0000-2000-00001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5" name="143 CuadroTexto">
          <a:extLst>
            <a:ext uri="{FF2B5EF4-FFF2-40B4-BE49-F238E27FC236}">
              <a16:creationId xmlns:a16="http://schemas.microsoft.com/office/drawing/2014/main" id="{00000000-0008-0000-2000-00001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6" name="144 CuadroTexto">
          <a:extLst>
            <a:ext uri="{FF2B5EF4-FFF2-40B4-BE49-F238E27FC236}">
              <a16:creationId xmlns:a16="http://schemas.microsoft.com/office/drawing/2014/main" id="{00000000-0008-0000-2000-00001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7" name="145 CuadroTexto">
          <a:extLst>
            <a:ext uri="{FF2B5EF4-FFF2-40B4-BE49-F238E27FC236}">
              <a16:creationId xmlns:a16="http://schemas.microsoft.com/office/drawing/2014/main" id="{00000000-0008-0000-2000-00001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8" name="146 CuadroTexto">
          <a:extLst>
            <a:ext uri="{FF2B5EF4-FFF2-40B4-BE49-F238E27FC236}">
              <a16:creationId xmlns:a16="http://schemas.microsoft.com/office/drawing/2014/main" id="{00000000-0008-0000-2000-00001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9" name="147 CuadroTexto">
          <a:extLst>
            <a:ext uri="{FF2B5EF4-FFF2-40B4-BE49-F238E27FC236}">
              <a16:creationId xmlns:a16="http://schemas.microsoft.com/office/drawing/2014/main" id="{00000000-0008-0000-2000-00001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0" name="148 CuadroTexto">
          <a:extLst>
            <a:ext uri="{FF2B5EF4-FFF2-40B4-BE49-F238E27FC236}">
              <a16:creationId xmlns:a16="http://schemas.microsoft.com/office/drawing/2014/main" id="{00000000-0008-0000-2000-00001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1" name="149 CuadroTexto">
          <a:extLst>
            <a:ext uri="{FF2B5EF4-FFF2-40B4-BE49-F238E27FC236}">
              <a16:creationId xmlns:a16="http://schemas.microsoft.com/office/drawing/2014/main" id="{00000000-0008-0000-2000-00001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2" name="150 CuadroTexto">
          <a:extLst>
            <a:ext uri="{FF2B5EF4-FFF2-40B4-BE49-F238E27FC236}">
              <a16:creationId xmlns:a16="http://schemas.microsoft.com/office/drawing/2014/main" id="{00000000-0008-0000-2000-00002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3" name="151 CuadroTexto">
          <a:extLst>
            <a:ext uri="{FF2B5EF4-FFF2-40B4-BE49-F238E27FC236}">
              <a16:creationId xmlns:a16="http://schemas.microsoft.com/office/drawing/2014/main" id="{00000000-0008-0000-2000-00002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4" name="152 CuadroTexto">
          <a:extLst>
            <a:ext uri="{FF2B5EF4-FFF2-40B4-BE49-F238E27FC236}">
              <a16:creationId xmlns:a16="http://schemas.microsoft.com/office/drawing/2014/main" id="{00000000-0008-0000-2000-00002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5" name="153 CuadroTexto">
          <a:extLst>
            <a:ext uri="{FF2B5EF4-FFF2-40B4-BE49-F238E27FC236}">
              <a16:creationId xmlns:a16="http://schemas.microsoft.com/office/drawing/2014/main" id="{00000000-0008-0000-2000-00002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6" name="154 CuadroTexto">
          <a:extLst>
            <a:ext uri="{FF2B5EF4-FFF2-40B4-BE49-F238E27FC236}">
              <a16:creationId xmlns:a16="http://schemas.microsoft.com/office/drawing/2014/main" id="{00000000-0008-0000-2000-00002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7" name="155 CuadroTexto">
          <a:extLst>
            <a:ext uri="{FF2B5EF4-FFF2-40B4-BE49-F238E27FC236}">
              <a16:creationId xmlns:a16="http://schemas.microsoft.com/office/drawing/2014/main" id="{00000000-0008-0000-2000-00002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8" name="156 CuadroTexto">
          <a:extLst>
            <a:ext uri="{FF2B5EF4-FFF2-40B4-BE49-F238E27FC236}">
              <a16:creationId xmlns:a16="http://schemas.microsoft.com/office/drawing/2014/main" id="{00000000-0008-0000-2000-00002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9" name="157 CuadroTexto">
          <a:extLst>
            <a:ext uri="{FF2B5EF4-FFF2-40B4-BE49-F238E27FC236}">
              <a16:creationId xmlns:a16="http://schemas.microsoft.com/office/drawing/2014/main" id="{00000000-0008-0000-2000-00002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0" name="158 CuadroTexto">
          <a:extLst>
            <a:ext uri="{FF2B5EF4-FFF2-40B4-BE49-F238E27FC236}">
              <a16:creationId xmlns:a16="http://schemas.microsoft.com/office/drawing/2014/main" id="{00000000-0008-0000-2000-00002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1" name="159 CuadroTexto">
          <a:extLst>
            <a:ext uri="{FF2B5EF4-FFF2-40B4-BE49-F238E27FC236}">
              <a16:creationId xmlns:a16="http://schemas.microsoft.com/office/drawing/2014/main" id="{00000000-0008-0000-2000-00002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2" name="160 CuadroTexto">
          <a:extLst>
            <a:ext uri="{FF2B5EF4-FFF2-40B4-BE49-F238E27FC236}">
              <a16:creationId xmlns:a16="http://schemas.microsoft.com/office/drawing/2014/main" id="{00000000-0008-0000-2000-00002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3" name="161 CuadroTexto">
          <a:extLst>
            <a:ext uri="{FF2B5EF4-FFF2-40B4-BE49-F238E27FC236}">
              <a16:creationId xmlns:a16="http://schemas.microsoft.com/office/drawing/2014/main" id="{00000000-0008-0000-2000-00002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4" name="162 CuadroTexto">
          <a:extLst>
            <a:ext uri="{FF2B5EF4-FFF2-40B4-BE49-F238E27FC236}">
              <a16:creationId xmlns:a16="http://schemas.microsoft.com/office/drawing/2014/main" id="{00000000-0008-0000-2000-00002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5" name="163 CuadroTexto">
          <a:extLst>
            <a:ext uri="{FF2B5EF4-FFF2-40B4-BE49-F238E27FC236}">
              <a16:creationId xmlns:a16="http://schemas.microsoft.com/office/drawing/2014/main" id="{00000000-0008-0000-2000-00002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6" name="164 CuadroTexto">
          <a:extLst>
            <a:ext uri="{FF2B5EF4-FFF2-40B4-BE49-F238E27FC236}">
              <a16:creationId xmlns:a16="http://schemas.microsoft.com/office/drawing/2014/main" id="{00000000-0008-0000-2000-00002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7" name="165 CuadroTexto">
          <a:extLst>
            <a:ext uri="{FF2B5EF4-FFF2-40B4-BE49-F238E27FC236}">
              <a16:creationId xmlns:a16="http://schemas.microsoft.com/office/drawing/2014/main" id="{00000000-0008-0000-2000-00002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8" name="166 CuadroTexto">
          <a:extLst>
            <a:ext uri="{FF2B5EF4-FFF2-40B4-BE49-F238E27FC236}">
              <a16:creationId xmlns:a16="http://schemas.microsoft.com/office/drawing/2014/main" id="{00000000-0008-0000-2000-00003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9" name="167 CuadroTexto">
          <a:extLst>
            <a:ext uri="{FF2B5EF4-FFF2-40B4-BE49-F238E27FC236}">
              <a16:creationId xmlns:a16="http://schemas.microsoft.com/office/drawing/2014/main" id="{00000000-0008-0000-2000-00003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0" name="168 CuadroTexto">
          <a:extLst>
            <a:ext uri="{FF2B5EF4-FFF2-40B4-BE49-F238E27FC236}">
              <a16:creationId xmlns:a16="http://schemas.microsoft.com/office/drawing/2014/main" id="{00000000-0008-0000-2000-00003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1" name="169 CuadroTexto">
          <a:extLst>
            <a:ext uri="{FF2B5EF4-FFF2-40B4-BE49-F238E27FC236}">
              <a16:creationId xmlns:a16="http://schemas.microsoft.com/office/drawing/2014/main" id="{00000000-0008-0000-2000-00003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2" name="170 CuadroTexto">
          <a:extLst>
            <a:ext uri="{FF2B5EF4-FFF2-40B4-BE49-F238E27FC236}">
              <a16:creationId xmlns:a16="http://schemas.microsoft.com/office/drawing/2014/main" id="{00000000-0008-0000-2000-00003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3" name="171 CuadroTexto">
          <a:extLst>
            <a:ext uri="{FF2B5EF4-FFF2-40B4-BE49-F238E27FC236}">
              <a16:creationId xmlns:a16="http://schemas.microsoft.com/office/drawing/2014/main" id="{00000000-0008-0000-2000-00003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4" name="172 CuadroTexto">
          <a:extLst>
            <a:ext uri="{FF2B5EF4-FFF2-40B4-BE49-F238E27FC236}">
              <a16:creationId xmlns:a16="http://schemas.microsoft.com/office/drawing/2014/main" id="{00000000-0008-0000-2000-00003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5" name="173 CuadroTexto">
          <a:extLst>
            <a:ext uri="{FF2B5EF4-FFF2-40B4-BE49-F238E27FC236}">
              <a16:creationId xmlns:a16="http://schemas.microsoft.com/office/drawing/2014/main" id="{00000000-0008-0000-2000-00003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6" name="174 CuadroTexto">
          <a:extLst>
            <a:ext uri="{FF2B5EF4-FFF2-40B4-BE49-F238E27FC236}">
              <a16:creationId xmlns:a16="http://schemas.microsoft.com/office/drawing/2014/main" id="{00000000-0008-0000-2000-00003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7" name="175 CuadroTexto">
          <a:extLst>
            <a:ext uri="{FF2B5EF4-FFF2-40B4-BE49-F238E27FC236}">
              <a16:creationId xmlns:a16="http://schemas.microsoft.com/office/drawing/2014/main" id="{00000000-0008-0000-2000-00003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8" name="176 CuadroTexto">
          <a:extLst>
            <a:ext uri="{FF2B5EF4-FFF2-40B4-BE49-F238E27FC236}">
              <a16:creationId xmlns:a16="http://schemas.microsoft.com/office/drawing/2014/main" id="{00000000-0008-0000-2000-00003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9" name="177 CuadroTexto">
          <a:extLst>
            <a:ext uri="{FF2B5EF4-FFF2-40B4-BE49-F238E27FC236}">
              <a16:creationId xmlns:a16="http://schemas.microsoft.com/office/drawing/2014/main" id="{00000000-0008-0000-2000-00003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0" name="178 CuadroTexto">
          <a:extLst>
            <a:ext uri="{FF2B5EF4-FFF2-40B4-BE49-F238E27FC236}">
              <a16:creationId xmlns:a16="http://schemas.microsoft.com/office/drawing/2014/main" id="{00000000-0008-0000-2000-00003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1" name="179 CuadroTexto">
          <a:extLst>
            <a:ext uri="{FF2B5EF4-FFF2-40B4-BE49-F238E27FC236}">
              <a16:creationId xmlns:a16="http://schemas.microsoft.com/office/drawing/2014/main" id="{00000000-0008-0000-2000-00003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2" name="180 CuadroTexto">
          <a:extLst>
            <a:ext uri="{FF2B5EF4-FFF2-40B4-BE49-F238E27FC236}">
              <a16:creationId xmlns:a16="http://schemas.microsoft.com/office/drawing/2014/main" id="{00000000-0008-0000-2000-00003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3" name="181 CuadroTexto">
          <a:extLst>
            <a:ext uri="{FF2B5EF4-FFF2-40B4-BE49-F238E27FC236}">
              <a16:creationId xmlns:a16="http://schemas.microsoft.com/office/drawing/2014/main" id="{00000000-0008-0000-2000-00003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4" name="182 CuadroTexto">
          <a:extLst>
            <a:ext uri="{FF2B5EF4-FFF2-40B4-BE49-F238E27FC236}">
              <a16:creationId xmlns:a16="http://schemas.microsoft.com/office/drawing/2014/main" id="{00000000-0008-0000-2000-00004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5" name="183 CuadroTexto">
          <a:extLst>
            <a:ext uri="{FF2B5EF4-FFF2-40B4-BE49-F238E27FC236}">
              <a16:creationId xmlns:a16="http://schemas.microsoft.com/office/drawing/2014/main" id="{00000000-0008-0000-2000-00004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6" name="184 CuadroTexto">
          <a:extLst>
            <a:ext uri="{FF2B5EF4-FFF2-40B4-BE49-F238E27FC236}">
              <a16:creationId xmlns:a16="http://schemas.microsoft.com/office/drawing/2014/main" id="{00000000-0008-0000-2000-00004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7" name="185 CuadroTexto">
          <a:extLst>
            <a:ext uri="{FF2B5EF4-FFF2-40B4-BE49-F238E27FC236}">
              <a16:creationId xmlns:a16="http://schemas.microsoft.com/office/drawing/2014/main" id="{00000000-0008-0000-2000-00004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8" name="186 CuadroTexto">
          <a:extLst>
            <a:ext uri="{FF2B5EF4-FFF2-40B4-BE49-F238E27FC236}">
              <a16:creationId xmlns:a16="http://schemas.microsoft.com/office/drawing/2014/main" id="{00000000-0008-0000-2000-00004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9" name="187 CuadroTexto">
          <a:extLst>
            <a:ext uri="{FF2B5EF4-FFF2-40B4-BE49-F238E27FC236}">
              <a16:creationId xmlns:a16="http://schemas.microsoft.com/office/drawing/2014/main" id="{00000000-0008-0000-2000-00004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0" name="188 CuadroTexto">
          <a:extLst>
            <a:ext uri="{FF2B5EF4-FFF2-40B4-BE49-F238E27FC236}">
              <a16:creationId xmlns:a16="http://schemas.microsoft.com/office/drawing/2014/main" id="{00000000-0008-0000-2000-00004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1" name="189 CuadroTexto">
          <a:extLst>
            <a:ext uri="{FF2B5EF4-FFF2-40B4-BE49-F238E27FC236}">
              <a16:creationId xmlns:a16="http://schemas.microsoft.com/office/drawing/2014/main" id="{00000000-0008-0000-2000-00004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2" name="190 CuadroTexto">
          <a:extLst>
            <a:ext uri="{FF2B5EF4-FFF2-40B4-BE49-F238E27FC236}">
              <a16:creationId xmlns:a16="http://schemas.microsoft.com/office/drawing/2014/main" id="{00000000-0008-0000-2000-00004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3" name="191 CuadroTexto">
          <a:extLst>
            <a:ext uri="{FF2B5EF4-FFF2-40B4-BE49-F238E27FC236}">
              <a16:creationId xmlns:a16="http://schemas.microsoft.com/office/drawing/2014/main" id="{00000000-0008-0000-2000-00004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4" name="192 CuadroTexto">
          <a:extLst>
            <a:ext uri="{FF2B5EF4-FFF2-40B4-BE49-F238E27FC236}">
              <a16:creationId xmlns:a16="http://schemas.microsoft.com/office/drawing/2014/main" id="{00000000-0008-0000-2000-00004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5" name="193 CuadroTexto">
          <a:extLst>
            <a:ext uri="{FF2B5EF4-FFF2-40B4-BE49-F238E27FC236}">
              <a16:creationId xmlns:a16="http://schemas.microsoft.com/office/drawing/2014/main" id="{00000000-0008-0000-2000-00004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6" name="194 CuadroTexto">
          <a:extLst>
            <a:ext uri="{FF2B5EF4-FFF2-40B4-BE49-F238E27FC236}">
              <a16:creationId xmlns:a16="http://schemas.microsoft.com/office/drawing/2014/main" id="{00000000-0008-0000-2000-00004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7" name="195 CuadroTexto">
          <a:extLst>
            <a:ext uri="{FF2B5EF4-FFF2-40B4-BE49-F238E27FC236}">
              <a16:creationId xmlns:a16="http://schemas.microsoft.com/office/drawing/2014/main" id="{00000000-0008-0000-2000-00004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8" name="196 CuadroTexto">
          <a:extLst>
            <a:ext uri="{FF2B5EF4-FFF2-40B4-BE49-F238E27FC236}">
              <a16:creationId xmlns:a16="http://schemas.microsoft.com/office/drawing/2014/main" id="{00000000-0008-0000-2000-00004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9" name="197 CuadroTexto">
          <a:extLst>
            <a:ext uri="{FF2B5EF4-FFF2-40B4-BE49-F238E27FC236}">
              <a16:creationId xmlns:a16="http://schemas.microsoft.com/office/drawing/2014/main" id="{00000000-0008-0000-2000-00004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0" name="198 CuadroTexto">
          <a:extLst>
            <a:ext uri="{FF2B5EF4-FFF2-40B4-BE49-F238E27FC236}">
              <a16:creationId xmlns:a16="http://schemas.microsoft.com/office/drawing/2014/main" id="{00000000-0008-0000-2000-00005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1" name="199 CuadroTexto">
          <a:extLst>
            <a:ext uri="{FF2B5EF4-FFF2-40B4-BE49-F238E27FC236}">
              <a16:creationId xmlns:a16="http://schemas.microsoft.com/office/drawing/2014/main" id="{00000000-0008-0000-2000-00005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2" name="200 CuadroTexto">
          <a:extLst>
            <a:ext uri="{FF2B5EF4-FFF2-40B4-BE49-F238E27FC236}">
              <a16:creationId xmlns:a16="http://schemas.microsoft.com/office/drawing/2014/main" id="{00000000-0008-0000-2000-00005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3" name="201 CuadroTexto">
          <a:extLst>
            <a:ext uri="{FF2B5EF4-FFF2-40B4-BE49-F238E27FC236}">
              <a16:creationId xmlns:a16="http://schemas.microsoft.com/office/drawing/2014/main" id="{00000000-0008-0000-2000-00005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4" name="202 CuadroTexto">
          <a:extLst>
            <a:ext uri="{FF2B5EF4-FFF2-40B4-BE49-F238E27FC236}">
              <a16:creationId xmlns:a16="http://schemas.microsoft.com/office/drawing/2014/main" id="{00000000-0008-0000-2000-00005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5" name="203 CuadroTexto">
          <a:extLst>
            <a:ext uri="{FF2B5EF4-FFF2-40B4-BE49-F238E27FC236}">
              <a16:creationId xmlns:a16="http://schemas.microsoft.com/office/drawing/2014/main" id="{00000000-0008-0000-2000-00005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6" name="204 CuadroTexto">
          <a:extLst>
            <a:ext uri="{FF2B5EF4-FFF2-40B4-BE49-F238E27FC236}">
              <a16:creationId xmlns:a16="http://schemas.microsoft.com/office/drawing/2014/main" id="{00000000-0008-0000-2000-00005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7" name="205 CuadroTexto">
          <a:extLst>
            <a:ext uri="{FF2B5EF4-FFF2-40B4-BE49-F238E27FC236}">
              <a16:creationId xmlns:a16="http://schemas.microsoft.com/office/drawing/2014/main" id="{00000000-0008-0000-2000-00005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8" name="206 CuadroTexto">
          <a:extLst>
            <a:ext uri="{FF2B5EF4-FFF2-40B4-BE49-F238E27FC236}">
              <a16:creationId xmlns:a16="http://schemas.microsoft.com/office/drawing/2014/main" id="{00000000-0008-0000-2000-00005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9" name="207 CuadroTexto">
          <a:extLst>
            <a:ext uri="{FF2B5EF4-FFF2-40B4-BE49-F238E27FC236}">
              <a16:creationId xmlns:a16="http://schemas.microsoft.com/office/drawing/2014/main" id="{00000000-0008-0000-2000-00005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0" name="208 CuadroTexto">
          <a:extLst>
            <a:ext uri="{FF2B5EF4-FFF2-40B4-BE49-F238E27FC236}">
              <a16:creationId xmlns:a16="http://schemas.microsoft.com/office/drawing/2014/main" id="{00000000-0008-0000-2000-00005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1" name="209 CuadroTexto">
          <a:extLst>
            <a:ext uri="{FF2B5EF4-FFF2-40B4-BE49-F238E27FC236}">
              <a16:creationId xmlns:a16="http://schemas.microsoft.com/office/drawing/2014/main" id="{00000000-0008-0000-2000-00005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2" name="210 CuadroTexto">
          <a:extLst>
            <a:ext uri="{FF2B5EF4-FFF2-40B4-BE49-F238E27FC236}">
              <a16:creationId xmlns:a16="http://schemas.microsoft.com/office/drawing/2014/main" id="{00000000-0008-0000-2000-00005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3" name="211 CuadroTexto">
          <a:extLst>
            <a:ext uri="{FF2B5EF4-FFF2-40B4-BE49-F238E27FC236}">
              <a16:creationId xmlns:a16="http://schemas.microsoft.com/office/drawing/2014/main" id="{00000000-0008-0000-2000-00005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4" name="212 CuadroTexto">
          <a:extLst>
            <a:ext uri="{FF2B5EF4-FFF2-40B4-BE49-F238E27FC236}">
              <a16:creationId xmlns:a16="http://schemas.microsoft.com/office/drawing/2014/main" id="{00000000-0008-0000-2000-00005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5" name="213 CuadroTexto">
          <a:extLst>
            <a:ext uri="{FF2B5EF4-FFF2-40B4-BE49-F238E27FC236}">
              <a16:creationId xmlns:a16="http://schemas.microsoft.com/office/drawing/2014/main" id="{00000000-0008-0000-2000-00005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6" name="214 CuadroTexto">
          <a:extLst>
            <a:ext uri="{FF2B5EF4-FFF2-40B4-BE49-F238E27FC236}">
              <a16:creationId xmlns:a16="http://schemas.microsoft.com/office/drawing/2014/main" id="{00000000-0008-0000-2000-00006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7" name="215 CuadroTexto">
          <a:extLst>
            <a:ext uri="{FF2B5EF4-FFF2-40B4-BE49-F238E27FC236}">
              <a16:creationId xmlns:a16="http://schemas.microsoft.com/office/drawing/2014/main" id="{00000000-0008-0000-2000-00006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8" name="216 CuadroTexto">
          <a:extLst>
            <a:ext uri="{FF2B5EF4-FFF2-40B4-BE49-F238E27FC236}">
              <a16:creationId xmlns:a16="http://schemas.microsoft.com/office/drawing/2014/main" id="{00000000-0008-0000-2000-00006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9" name="217 CuadroTexto">
          <a:extLst>
            <a:ext uri="{FF2B5EF4-FFF2-40B4-BE49-F238E27FC236}">
              <a16:creationId xmlns:a16="http://schemas.microsoft.com/office/drawing/2014/main" id="{00000000-0008-0000-2000-00006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0" name="218 CuadroTexto">
          <a:extLst>
            <a:ext uri="{FF2B5EF4-FFF2-40B4-BE49-F238E27FC236}">
              <a16:creationId xmlns:a16="http://schemas.microsoft.com/office/drawing/2014/main" id="{00000000-0008-0000-2000-00006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1" name="219 CuadroTexto">
          <a:extLst>
            <a:ext uri="{FF2B5EF4-FFF2-40B4-BE49-F238E27FC236}">
              <a16:creationId xmlns:a16="http://schemas.microsoft.com/office/drawing/2014/main" id="{00000000-0008-0000-2000-00006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2" name="220 CuadroTexto">
          <a:extLst>
            <a:ext uri="{FF2B5EF4-FFF2-40B4-BE49-F238E27FC236}">
              <a16:creationId xmlns:a16="http://schemas.microsoft.com/office/drawing/2014/main" id="{00000000-0008-0000-2000-00006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3" name="221 CuadroTexto">
          <a:extLst>
            <a:ext uri="{FF2B5EF4-FFF2-40B4-BE49-F238E27FC236}">
              <a16:creationId xmlns:a16="http://schemas.microsoft.com/office/drawing/2014/main" id="{00000000-0008-0000-2000-00006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4" name="222 CuadroTexto">
          <a:extLst>
            <a:ext uri="{FF2B5EF4-FFF2-40B4-BE49-F238E27FC236}">
              <a16:creationId xmlns:a16="http://schemas.microsoft.com/office/drawing/2014/main" id="{00000000-0008-0000-2000-00006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5" name="223 CuadroTexto">
          <a:extLst>
            <a:ext uri="{FF2B5EF4-FFF2-40B4-BE49-F238E27FC236}">
              <a16:creationId xmlns:a16="http://schemas.microsoft.com/office/drawing/2014/main" id="{00000000-0008-0000-2000-00006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6" name="224 CuadroTexto">
          <a:extLst>
            <a:ext uri="{FF2B5EF4-FFF2-40B4-BE49-F238E27FC236}">
              <a16:creationId xmlns:a16="http://schemas.microsoft.com/office/drawing/2014/main" id="{00000000-0008-0000-2000-00006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7" name="225 CuadroTexto">
          <a:extLst>
            <a:ext uri="{FF2B5EF4-FFF2-40B4-BE49-F238E27FC236}">
              <a16:creationId xmlns:a16="http://schemas.microsoft.com/office/drawing/2014/main" id="{00000000-0008-0000-2000-00006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8" name="226 CuadroTexto">
          <a:extLst>
            <a:ext uri="{FF2B5EF4-FFF2-40B4-BE49-F238E27FC236}">
              <a16:creationId xmlns:a16="http://schemas.microsoft.com/office/drawing/2014/main" id="{00000000-0008-0000-2000-00006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9" name="227 CuadroTexto">
          <a:extLst>
            <a:ext uri="{FF2B5EF4-FFF2-40B4-BE49-F238E27FC236}">
              <a16:creationId xmlns:a16="http://schemas.microsoft.com/office/drawing/2014/main" id="{00000000-0008-0000-2000-00006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0" name="228 CuadroTexto">
          <a:extLst>
            <a:ext uri="{FF2B5EF4-FFF2-40B4-BE49-F238E27FC236}">
              <a16:creationId xmlns:a16="http://schemas.microsoft.com/office/drawing/2014/main" id="{00000000-0008-0000-2000-00006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1" name="229 CuadroTexto">
          <a:extLst>
            <a:ext uri="{FF2B5EF4-FFF2-40B4-BE49-F238E27FC236}">
              <a16:creationId xmlns:a16="http://schemas.microsoft.com/office/drawing/2014/main" id="{00000000-0008-0000-2000-00006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2" name="230 CuadroTexto">
          <a:extLst>
            <a:ext uri="{FF2B5EF4-FFF2-40B4-BE49-F238E27FC236}">
              <a16:creationId xmlns:a16="http://schemas.microsoft.com/office/drawing/2014/main" id="{00000000-0008-0000-2000-00007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3" name="231 CuadroTexto">
          <a:extLst>
            <a:ext uri="{FF2B5EF4-FFF2-40B4-BE49-F238E27FC236}">
              <a16:creationId xmlns:a16="http://schemas.microsoft.com/office/drawing/2014/main" id="{00000000-0008-0000-2000-00007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4" name="232 CuadroTexto">
          <a:extLst>
            <a:ext uri="{FF2B5EF4-FFF2-40B4-BE49-F238E27FC236}">
              <a16:creationId xmlns:a16="http://schemas.microsoft.com/office/drawing/2014/main" id="{00000000-0008-0000-2000-00007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5" name="233 CuadroTexto">
          <a:extLst>
            <a:ext uri="{FF2B5EF4-FFF2-40B4-BE49-F238E27FC236}">
              <a16:creationId xmlns:a16="http://schemas.microsoft.com/office/drawing/2014/main" id="{00000000-0008-0000-2000-00007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6" name="234 CuadroTexto">
          <a:extLst>
            <a:ext uri="{FF2B5EF4-FFF2-40B4-BE49-F238E27FC236}">
              <a16:creationId xmlns:a16="http://schemas.microsoft.com/office/drawing/2014/main" id="{00000000-0008-0000-2000-00007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7" name="235 CuadroTexto">
          <a:extLst>
            <a:ext uri="{FF2B5EF4-FFF2-40B4-BE49-F238E27FC236}">
              <a16:creationId xmlns:a16="http://schemas.microsoft.com/office/drawing/2014/main" id="{00000000-0008-0000-2000-00007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8" name="236 CuadroTexto">
          <a:extLst>
            <a:ext uri="{FF2B5EF4-FFF2-40B4-BE49-F238E27FC236}">
              <a16:creationId xmlns:a16="http://schemas.microsoft.com/office/drawing/2014/main" id="{00000000-0008-0000-2000-00007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9" name="237 CuadroTexto">
          <a:extLst>
            <a:ext uri="{FF2B5EF4-FFF2-40B4-BE49-F238E27FC236}">
              <a16:creationId xmlns:a16="http://schemas.microsoft.com/office/drawing/2014/main" id="{00000000-0008-0000-2000-00007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0" name="238 CuadroTexto">
          <a:extLst>
            <a:ext uri="{FF2B5EF4-FFF2-40B4-BE49-F238E27FC236}">
              <a16:creationId xmlns:a16="http://schemas.microsoft.com/office/drawing/2014/main" id="{00000000-0008-0000-2000-00007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1" name="239 CuadroTexto">
          <a:extLst>
            <a:ext uri="{FF2B5EF4-FFF2-40B4-BE49-F238E27FC236}">
              <a16:creationId xmlns:a16="http://schemas.microsoft.com/office/drawing/2014/main" id="{00000000-0008-0000-2000-00007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2" name="240 CuadroTexto">
          <a:extLst>
            <a:ext uri="{FF2B5EF4-FFF2-40B4-BE49-F238E27FC236}">
              <a16:creationId xmlns:a16="http://schemas.microsoft.com/office/drawing/2014/main" id="{00000000-0008-0000-2000-00007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3" name="241 CuadroTexto">
          <a:extLst>
            <a:ext uri="{FF2B5EF4-FFF2-40B4-BE49-F238E27FC236}">
              <a16:creationId xmlns:a16="http://schemas.microsoft.com/office/drawing/2014/main" id="{00000000-0008-0000-2000-00007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4" name="242 CuadroTexto">
          <a:extLst>
            <a:ext uri="{FF2B5EF4-FFF2-40B4-BE49-F238E27FC236}">
              <a16:creationId xmlns:a16="http://schemas.microsoft.com/office/drawing/2014/main" id="{00000000-0008-0000-2000-00007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5" name="243 CuadroTexto">
          <a:extLst>
            <a:ext uri="{FF2B5EF4-FFF2-40B4-BE49-F238E27FC236}">
              <a16:creationId xmlns:a16="http://schemas.microsoft.com/office/drawing/2014/main" id="{00000000-0008-0000-2000-00007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6" name="244 CuadroTexto">
          <a:extLst>
            <a:ext uri="{FF2B5EF4-FFF2-40B4-BE49-F238E27FC236}">
              <a16:creationId xmlns:a16="http://schemas.microsoft.com/office/drawing/2014/main" id="{00000000-0008-0000-2000-00007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7" name="245 CuadroTexto">
          <a:extLst>
            <a:ext uri="{FF2B5EF4-FFF2-40B4-BE49-F238E27FC236}">
              <a16:creationId xmlns:a16="http://schemas.microsoft.com/office/drawing/2014/main" id="{00000000-0008-0000-2000-00007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8" name="246 CuadroTexto">
          <a:extLst>
            <a:ext uri="{FF2B5EF4-FFF2-40B4-BE49-F238E27FC236}">
              <a16:creationId xmlns:a16="http://schemas.microsoft.com/office/drawing/2014/main" id="{00000000-0008-0000-2000-00008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9" name="247 CuadroTexto">
          <a:extLst>
            <a:ext uri="{FF2B5EF4-FFF2-40B4-BE49-F238E27FC236}">
              <a16:creationId xmlns:a16="http://schemas.microsoft.com/office/drawing/2014/main" id="{00000000-0008-0000-2000-00008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0" name="248 CuadroTexto">
          <a:extLst>
            <a:ext uri="{FF2B5EF4-FFF2-40B4-BE49-F238E27FC236}">
              <a16:creationId xmlns:a16="http://schemas.microsoft.com/office/drawing/2014/main" id="{00000000-0008-0000-2000-00008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1" name="249 CuadroTexto">
          <a:extLst>
            <a:ext uri="{FF2B5EF4-FFF2-40B4-BE49-F238E27FC236}">
              <a16:creationId xmlns:a16="http://schemas.microsoft.com/office/drawing/2014/main" id="{00000000-0008-0000-2000-00008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2" name="250 CuadroTexto">
          <a:extLst>
            <a:ext uri="{FF2B5EF4-FFF2-40B4-BE49-F238E27FC236}">
              <a16:creationId xmlns:a16="http://schemas.microsoft.com/office/drawing/2014/main" id="{00000000-0008-0000-2000-00008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3" name="251 CuadroTexto">
          <a:extLst>
            <a:ext uri="{FF2B5EF4-FFF2-40B4-BE49-F238E27FC236}">
              <a16:creationId xmlns:a16="http://schemas.microsoft.com/office/drawing/2014/main" id="{00000000-0008-0000-2000-00008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4" name="252 CuadroTexto">
          <a:extLst>
            <a:ext uri="{FF2B5EF4-FFF2-40B4-BE49-F238E27FC236}">
              <a16:creationId xmlns:a16="http://schemas.microsoft.com/office/drawing/2014/main" id="{00000000-0008-0000-2000-00008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5" name="253 CuadroTexto">
          <a:extLst>
            <a:ext uri="{FF2B5EF4-FFF2-40B4-BE49-F238E27FC236}">
              <a16:creationId xmlns:a16="http://schemas.microsoft.com/office/drawing/2014/main" id="{00000000-0008-0000-2000-00008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6" name="254 CuadroTexto">
          <a:extLst>
            <a:ext uri="{FF2B5EF4-FFF2-40B4-BE49-F238E27FC236}">
              <a16:creationId xmlns:a16="http://schemas.microsoft.com/office/drawing/2014/main" id="{00000000-0008-0000-2000-00008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7" name="255 CuadroTexto">
          <a:extLst>
            <a:ext uri="{FF2B5EF4-FFF2-40B4-BE49-F238E27FC236}">
              <a16:creationId xmlns:a16="http://schemas.microsoft.com/office/drawing/2014/main" id="{00000000-0008-0000-2000-00008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8" name="256 CuadroTexto">
          <a:extLst>
            <a:ext uri="{FF2B5EF4-FFF2-40B4-BE49-F238E27FC236}">
              <a16:creationId xmlns:a16="http://schemas.microsoft.com/office/drawing/2014/main" id="{00000000-0008-0000-2000-00008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9" name="257 CuadroTexto">
          <a:extLst>
            <a:ext uri="{FF2B5EF4-FFF2-40B4-BE49-F238E27FC236}">
              <a16:creationId xmlns:a16="http://schemas.microsoft.com/office/drawing/2014/main" id="{00000000-0008-0000-2000-00008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0" name="258 CuadroTexto">
          <a:extLst>
            <a:ext uri="{FF2B5EF4-FFF2-40B4-BE49-F238E27FC236}">
              <a16:creationId xmlns:a16="http://schemas.microsoft.com/office/drawing/2014/main" id="{00000000-0008-0000-2000-00008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1" name="259 CuadroTexto">
          <a:extLst>
            <a:ext uri="{FF2B5EF4-FFF2-40B4-BE49-F238E27FC236}">
              <a16:creationId xmlns:a16="http://schemas.microsoft.com/office/drawing/2014/main" id="{00000000-0008-0000-2000-00008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2" name="260 CuadroTexto">
          <a:extLst>
            <a:ext uri="{FF2B5EF4-FFF2-40B4-BE49-F238E27FC236}">
              <a16:creationId xmlns:a16="http://schemas.microsoft.com/office/drawing/2014/main" id="{00000000-0008-0000-2000-00008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3" name="261 CuadroTexto">
          <a:extLst>
            <a:ext uri="{FF2B5EF4-FFF2-40B4-BE49-F238E27FC236}">
              <a16:creationId xmlns:a16="http://schemas.microsoft.com/office/drawing/2014/main" id="{00000000-0008-0000-2000-00008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4" name="262 CuadroTexto">
          <a:extLst>
            <a:ext uri="{FF2B5EF4-FFF2-40B4-BE49-F238E27FC236}">
              <a16:creationId xmlns:a16="http://schemas.microsoft.com/office/drawing/2014/main" id="{00000000-0008-0000-2000-00009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5" name="263 CuadroTexto">
          <a:extLst>
            <a:ext uri="{FF2B5EF4-FFF2-40B4-BE49-F238E27FC236}">
              <a16:creationId xmlns:a16="http://schemas.microsoft.com/office/drawing/2014/main" id="{00000000-0008-0000-2000-00009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6" name="264 CuadroTexto">
          <a:extLst>
            <a:ext uri="{FF2B5EF4-FFF2-40B4-BE49-F238E27FC236}">
              <a16:creationId xmlns:a16="http://schemas.microsoft.com/office/drawing/2014/main" id="{00000000-0008-0000-2000-00009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7" name="265 CuadroTexto">
          <a:extLst>
            <a:ext uri="{FF2B5EF4-FFF2-40B4-BE49-F238E27FC236}">
              <a16:creationId xmlns:a16="http://schemas.microsoft.com/office/drawing/2014/main" id="{00000000-0008-0000-2000-00009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8" name="266 CuadroTexto">
          <a:extLst>
            <a:ext uri="{FF2B5EF4-FFF2-40B4-BE49-F238E27FC236}">
              <a16:creationId xmlns:a16="http://schemas.microsoft.com/office/drawing/2014/main" id="{00000000-0008-0000-2000-00009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9" name="267 CuadroTexto">
          <a:extLst>
            <a:ext uri="{FF2B5EF4-FFF2-40B4-BE49-F238E27FC236}">
              <a16:creationId xmlns:a16="http://schemas.microsoft.com/office/drawing/2014/main" id="{00000000-0008-0000-2000-00009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0" name="285 CuadroTexto">
          <a:extLst>
            <a:ext uri="{FF2B5EF4-FFF2-40B4-BE49-F238E27FC236}">
              <a16:creationId xmlns:a16="http://schemas.microsoft.com/office/drawing/2014/main" id="{00000000-0008-0000-2000-00009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1" name="286 CuadroTexto">
          <a:extLst>
            <a:ext uri="{FF2B5EF4-FFF2-40B4-BE49-F238E27FC236}">
              <a16:creationId xmlns:a16="http://schemas.microsoft.com/office/drawing/2014/main" id="{00000000-0008-0000-2000-00009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2" name="287 CuadroTexto">
          <a:extLst>
            <a:ext uri="{FF2B5EF4-FFF2-40B4-BE49-F238E27FC236}">
              <a16:creationId xmlns:a16="http://schemas.microsoft.com/office/drawing/2014/main" id="{00000000-0008-0000-2000-00009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3" name="288 CuadroTexto">
          <a:extLst>
            <a:ext uri="{FF2B5EF4-FFF2-40B4-BE49-F238E27FC236}">
              <a16:creationId xmlns:a16="http://schemas.microsoft.com/office/drawing/2014/main" id="{00000000-0008-0000-2000-00009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4" name="289 CuadroTexto">
          <a:extLst>
            <a:ext uri="{FF2B5EF4-FFF2-40B4-BE49-F238E27FC236}">
              <a16:creationId xmlns:a16="http://schemas.microsoft.com/office/drawing/2014/main" id="{00000000-0008-0000-2000-00009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5" name="290 CuadroTexto">
          <a:extLst>
            <a:ext uri="{FF2B5EF4-FFF2-40B4-BE49-F238E27FC236}">
              <a16:creationId xmlns:a16="http://schemas.microsoft.com/office/drawing/2014/main" id="{00000000-0008-0000-2000-00009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6" name="291 CuadroTexto">
          <a:extLst>
            <a:ext uri="{FF2B5EF4-FFF2-40B4-BE49-F238E27FC236}">
              <a16:creationId xmlns:a16="http://schemas.microsoft.com/office/drawing/2014/main" id="{00000000-0008-0000-2000-00009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7" name="292 CuadroTexto">
          <a:extLst>
            <a:ext uri="{FF2B5EF4-FFF2-40B4-BE49-F238E27FC236}">
              <a16:creationId xmlns:a16="http://schemas.microsoft.com/office/drawing/2014/main" id="{00000000-0008-0000-2000-00009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8" name="293 CuadroTexto">
          <a:extLst>
            <a:ext uri="{FF2B5EF4-FFF2-40B4-BE49-F238E27FC236}">
              <a16:creationId xmlns:a16="http://schemas.microsoft.com/office/drawing/2014/main" id="{00000000-0008-0000-2000-00009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9" name="294 CuadroTexto">
          <a:extLst>
            <a:ext uri="{FF2B5EF4-FFF2-40B4-BE49-F238E27FC236}">
              <a16:creationId xmlns:a16="http://schemas.microsoft.com/office/drawing/2014/main" id="{00000000-0008-0000-2000-00009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0" name="295 CuadroTexto">
          <a:extLst>
            <a:ext uri="{FF2B5EF4-FFF2-40B4-BE49-F238E27FC236}">
              <a16:creationId xmlns:a16="http://schemas.microsoft.com/office/drawing/2014/main" id="{00000000-0008-0000-2000-0000A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1" name="296 CuadroTexto">
          <a:extLst>
            <a:ext uri="{FF2B5EF4-FFF2-40B4-BE49-F238E27FC236}">
              <a16:creationId xmlns:a16="http://schemas.microsoft.com/office/drawing/2014/main" id="{00000000-0008-0000-2000-0000A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2" name="17 CuadroTexto">
          <a:extLst>
            <a:ext uri="{FF2B5EF4-FFF2-40B4-BE49-F238E27FC236}">
              <a16:creationId xmlns:a16="http://schemas.microsoft.com/office/drawing/2014/main" id="{00000000-0008-0000-2000-0000A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283" name="90 CuadroTexto">
          <a:extLst>
            <a:ext uri="{FF2B5EF4-FFF2-40B4-BE49-F238E27FC236}">
              <a16:creationId xmlns:a16="http://schemas.microsoft.com/office/drawing/2014/main" id="{00000000-0008-0000-2000-0000A3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4" name="91 CuadroTexto">
          <a:extLst>
            <a:ext uri="{FF2B5EF4-FFF2-40B4-BE49-F238E27FC236}">
              <a16:creationId xmlns:a16="http://schemas.microsoft.com/office/drawing/2014/main" id="{00000000-0008-0000-2000-0000A4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5" name="92 CuadroTexto">
          <a:extLst>
            <a:ext uri="{FF2B5EF4-FFF2-40B4-BE49-F238E27FC236}">
              <a16:creationId xmlns:a16="http://schemas.microsoft.com/office/drawing/2014/main" id="{00000000-0008-0000-2000-0000A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6" name="93 CuadroTexto">
          <a:extLst>
            <a:ext uri="{FF2B5EF4-FFF2-40B4-BE49-F238E27FC236}">
              <a16:creationId xmlns:a16="http://schemas.microsoft.com/office/drawing/2014/main" id="{00000000-0008-0000-2000-0000A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7" name="94 CuadroTexto">
          <a:extLst>
            <a:ext uri="{FF2B5EF4-FFF2-40B4-BE49-F238E27FC236}">
              <a16:creationId xmlns:a16="http://schemas.microsoft.com/office/drawing/2014/main" id="{00000000-0008-0000-2000-0000A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8" name="95 CuadroTexto">
          <a:extLst>
            <a:ext uri="{FF2B5EF4-FFF2-40B4-BE49-F238E27FC236}">
              <a16:creationId xmlns:a16="http://schemas.microsoft.com/office/drawing/2014/main" id="{00000000-0008-0000-2000-0000A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9" name="96 CuadroTexto">
          <a:extLst>
            <a:ext uri="{FF2B5EF4-FFF2-40B4-BE49-F238E27FC236}">
              <a16:creationId xmlns:a16="http://schemas.microsoft.com/office/drawing/2014/main" id="{00000000-0008-0000-2000-0000A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0" name="97 CuadroTexto">
          <a:extLst>
            <a:ext uri="{FF2B5EF4-FFF2-40B4-BE49-F238E27FC236}">
              <a16:creationId xmlns:a16="http://schemas.microsoft.com/office/drawing/2014/main" id="{00000000-0008-0000-2000-0000A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1" name="98 CuadroTexto">
          <a:extLst>
            <a:ext uri="{FF2B5EF4-FFF2-40B4-BE49-F238E27FC236}">
              <a16:creationId xmlns:a16="http://schemas.microsoft.com/office/drawing/2014/main" id="{00000000-0008-0000-2000-0000A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2" name="99 CuadroTexto">
          <a:extLst>
            <a:ext uri="{FF2B5EF4-FFF2-40B4-BE49-F238E27FC236}">
              <a16:creationId xmlns:a16="http://schemas.microsoft.com/office/drawing/2014/main" id="{00000000-0008-0000-2000-0000A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3" name="100 CuadroTexto">
          <a:extLst>
            <a:ext uri="{FF2B5EF4-FFF2-40B4-BE49-F238E27FC236}">
              <a16:creationId xmlns:a16="http://schemas.microsoft.com/office/drawing/2014/main" id="{00000000-0008-0000-2000-0000A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4" name="101 CuadroTexto">
          <a:extLst>
            <a:ext uri="{FF2B5EF4-FFF2-40B4-BE49-F238E27FC236}">
              <a16:creationId xmlns:a16="http://schemas.microsoft.com/office/drawing/2014/main" id="{00000000-0008-0000-2000-0000A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295" name="118 CuadroTexto">
          <a:extLst>
            <a:ext uri="{FF2B5EF4-FFF2-40B4-BE49-F238E27FC236}">
              <a16:creationId xmlns:a16="http://schemas.microsoft.com/office/drawing/2014/main" id="{00000000-0008-0000-2000-0000A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6" name="119 CuadroTexto">
          <a:extLst>
            <a:ext uri="{FF2B5EF4-FFF2-40B4-BE49-F238E27FC236}">
              <a16:creationId xmlns:a16="http://schemas.microsoft.com/office/drawing/2014/main" id="{00000000-0008-0000-2000-0000B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7" name="120 CuadroTexto">
          <a:extLst>
            <a:ext uri="{FF2B5EF4-FFF2-40B4-BE49-F238E27FC236}">
              <a16:creationId xmlns:a16="http://schemas.microsoft.com/office/drawing/2014/main" id="{00000000-0008-0000-2000-0000B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8" name="121 CuadroTexto">
          <a:extLst>
            <a:ext uri="{FF2B5EF4-FFF2-40B4-BE49-F238E27FC236}">
              <a16:creationId xmlns:a16="http://schemas.microsoft.com/office/drawing/2014/main" id="{00000000-0008-0000-2000-0000B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9" name="122 CuadroTexto">
          <a:extLst>
            <a:ext uri="{FF2B5EF4-FFF2-40B4-BE49-F238E27FC236}">
              <a16:creationId xmlns:a16="http://schemas.microsoft.com/office/drawing/2014/main" id="{00000000-0008-0000-2000-0000B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0" name="123 CuadroTexto">
          <a:extLst>
            <a:ext uri="{FF2B5EF4-FFF2-40B4-BE49-F238E27FC236}">
              <a16:creationId xmlns:a16="http://schemas.microsoft.com/office/drawing/2014/main" id="{00000000-0008-0000-2000-0000B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1" name="124 CuadroTexto">
          <a:extLst>
            <a:ext uri="{FF2B5EF4-FFF2-40B4-BE49-F238E27FC236}">
              <a16:creationId xmlns:a16="http://schemas.microsoft.com/office/drawing/2014/main" id="{00000000-0008-0000-2000-0000B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2" name="125 CuadroTexto">
          <a:extLst>
            <a:ext uri="{FF2B5EF4-FFF2-40B4-BE49-F238E27FC236}">
              <a16:creationId xmlns:a16="http://schemas.microsoft.com/office/drawing/2014/main" id="{00000000-0008-0000-2000-0000B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3" name="143 CuadroTexto">
          <a:extLst>
            <a:ext uri="{FF2B5EF4-FFF2-40B4-BE49-F238E27FC236}">
              <a16:creationId xmlns:a16="http://schemas.microsoft.com/office/drawing/2014/main" id="{00000000-0008-0000-2000-0000B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4" name="144 CuadroTexto">
          <a:extLst>
            <a:ext uri="{FF2B5EF4-FFF2-40B4-BE49-F238E27FC236}">
              <a16:creationId xmlns:a16="http://schemas.microsoft.com/office/drawing/2014/main" id="{00000000-0008-0000-2000-0000B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5" name="145 CuadroTexto">
          <a:extLst>
            <a:ext uri="{FF2B5EF4-FFF2-40B4-BE49-F238E27FC236}">
              <a16:creationId xmlns:a16="http://schemas.microsoft.com/office/drawing/2014/main" id="{00000000-0008-0000-2000-0000B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6" name="146 CuadroTexto">
          <a:extLst>
            <a:ext uri="{FF2B5EF4-FFF2-40B4-BE49-F238E27FC236}">
              <a16:creationId xmlns:a16="http://schemas.microsoft.com/office/drawing/2014/main" id="{00000000-0008-0000-2000-0000B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7" name="147 CuadroTexto">
          <a:extLst>
            <a:ext uri="{FF2B5EF4-FFF2-40B4-BE49-F238E27FC236}">
              <a16:creationId xmlns:a16="http://schemas.microsoft.com/office/drawing/2014/main" id="{00000000-0008-0000-2000-0000B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8" name="148 CuadroTexto">
          <a:extLst>
            <a:ext uri="{FF2B5EF4-FFF2-40B4-BE49-F238E27FC236}">
              <a16:creationId xmlns:a16="http://schemas.microsoft.com/office/drawing/2014/main" id="{00000000-0008-0000-2000-0000B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9" name="149 CuadroTexto">
          <a:extLst>
            <a:ext uri="{FF2B5EF4-FFF2-40B4-BE49-F238E27FC236}">
              <a16:creationId xmlns:a16="http://schemas.microsoft.com/office/drawing/2014/main" id="{00000000-0008-0000-2000-0000B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0" name="150 CuadroTexto">
          <a:extLst>
            <a:ext uri="{FF2B5EF4-FFF2-40B4-BE49-F238E27FC236}">
              <a16:creationId xmlns:a16="http://schemas.microsoft.com/office/drawing/2014/main" id="{00000000-0008-0000-2000-0000B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1" name="151 CuadroTexto">
          <a:extLst>
            <a:ext uri="{FF2B5EF4-FFF2-40B4-BE49-F238E27FC236}">
              <a16:creationId xmlns:a16="http://schemas.microsoft.com/office/drawing/2014/main" id="{00000000-0008-0000-2000-0000B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2" name="152 CuadroTexto">
          <a:extLst>
            <a:ext uri="{FF2B5EF4-FFF2-40B4-BE49-F238E27FC236}">
              <a16:creationId xmlns:a16="http://schemas.microsoft.com/office/drawing/2014/main" id="{00000000-0008-0000-2000-0000C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3" name="153 CuadroTexto">
          <a:extLst>
            <a:ext uri="{FF2B5EF4-FFF2-40B4-BE49-F238E27FC236}">
              <a16:creationId xmlns:a16="http://schemas.microsoft.com/office/drawing/2014/main" id="{00000000-0008-0000-2000-0000C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4" name="154 CuadroTexto">
          <a:extLst>
            <a:ext uri="{FF2B5EF4-FFF2-40B4-BE49-F238E27FC236}">
              <a16:creationId xmlns:a16="http://schemas.microsoft.com/office/drawing/2014/main" id="{00000000-0008-0000-2000-0000C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5" name="155 CuadroTexto">
          <a:extLst>
            <a:ext uri="{FF2B5EF4-FFF2-40B4-BE49-F238E27FC236}">
              <a16:creationId xmlns:a16="http://schemas.microsoft.com/office/drawing/2014/main" id="{00000000-0008-0000-2000-0000C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6" name="156 CuadroTexto">
          <a:extLst>
            <a:ext uri="{FF2B5EF4-FFF2-40B4-BE49-F238E27FC236}">
              <a16:creationId xmlns:a16="http://schemas.microsoft.com/office/drawing/2014/main" id="{00000000-0008-0000-2000-0000C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7" name="157 CuadroTexto">
          <a:extLst>
            <a:ext uri="{FF2B5EF4-FFF2-40B4-BE49-F238E27FC236}">
              <a16:creationId xmlns:a16="http://schemas.microsoft.com/office/drawing/2014/main" id="{00000000-0008-0000-2000-0000C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8" name="158 CuadroTexto">
          <a:extLst>
            <a:ext uri="{FF2B5EF4-FFF2-40B4-BE49-F238E27FC236}">
              <a16:creationId xmlns:a16="http://schemas.microsoft.com/office/drawing/2014/main" id="{00000000-0008-0000-2000-0000C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9" name="159 CuadroTexto">
          <a:extLst>
            <a:ext uri="{FF2B5EF4-FFF2-40B4-BE49-F238E27FC236}">
              <a16:creationId xmlns:a16="http://schemas.microsoft.com/office/drawing/2014/main" id="{00000000-0008-0000-2000-0000C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0" name="160 CuadroTexto">
          <a:extLst>
            <a:ext uri="{FF2B5EF4-FFF2-40B4-BE49-F238E27FC236}">
              <a16:creationId xmlns:a16="http://schemas.microsoft.com/office/drawing/2014/main" id="{00000000-0008-0000-2000-0000C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1" name="161 CuadroTexto">
          <a:extLst>
            <a:ext uri="{FF2B5EF4-FFF2-40B4-BE49-F238E27FC236}">
              <a16:creationId xmlns:a16="http://schemas.microsoft.com/office/drawing/2014/main" id="{00000000-0008-0000-2000-0000C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2" name="162 CuadroTexto">
          <a:extLst>
            <a:ext uri="{FF2B5EF4-FFF2-40B4-BE49-F238E27FC236}">
              <a16:creationId xmlns:a16="http://schemas.microsoft.com/office/drawing/2014/main" id="{00000000-0008-0000-2000-0000C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3" name="163 CuadroTexto">
          <a:extLst>
            <a:ext uri="{FF2B5EF4-FFF2-40B4-BE49-F238E27FC236}">
              <a16:creationId xmlns:a16="http://schemas.microsoft.com/office/drawing/2014/main" id="{00000000-0008-0000-2000-0000C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4" name="164 CuadroTexto">
          <a:extLst>
            <a:ext uri="{FF2B5EF4-FFF2-40B4-BE49-F238E27FC236}">
              <a16:creationId xmlns:a16="http://schemas.microsoft.com/office/drawing/2014/main" id="{00000000-0008-0000-2000-0000C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5" name="165 CuadroTexto">
          <a:extLst>
            <a:ext uri="{FF2B5EF4-FFF2-40B4-BE49-F238E27FC236}">
              <a16:creationId xmlns:a16="http://schemas.microsoft.com/office/drawing/2014/main" id="{00000000-0008-0000-2000-0000C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6" name="166 CuadroTexto">
          <a:extLst>
            <a:ext uri="{FF2B5EF4-FFF2-40B4-BE49-F238E27FC236}">
              <a16:creationId xmlns:a16="http://schemas.microsoft.com/office/drawing/2014/main" id="{00000000-0008-0000-2000-0000C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7" name="167 CuadroTexto">
          <a:extLst>
            <a:ext uri="{FF2B5EF4-FFF2-40B4-BE49-F238E27FC236}">
              <a16:creationId xmlns:a16="http://schemas.microsoft.com/office/drawing/2014/main" id="{00000000-0008-0000-2000-0000C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8" name="168 CuadroTexto">
          <a:extLst>
            <a:ext uri="{FF2B5EF4-FFF2-40B4-BE49-F238E27FC236}">
              <a16:creationId xmlns:a16="http://schemas.microsoft.com/office/drawing/2014/main" id="{00000000-0008-0000-2000-0000D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9" name="169 CuadroTexto">
          <a:extLst>
            <a:ext uri="{FF2B5EF4-FFF2-40B4-BE49-F238E27FC236}">
              <a16:creationId xmlns:a16="http://schemas.microsoft.com/office/drawing/2014/main" id="{00000000-0008-0000-2000-0000D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0" name="170 CuadroTexto">
          <a:extLst>
            <a:ext uri="{FF2B5EF4-FFF2-40B4-BE49-F238E27FC236}">
              <a16:creationId xmlns:a16="http://schemas.microsoft.com/office/drawing/2014/main" id="{00000000-0008-0000-2000-0000D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1" name="171 CuadroTexto">
          <a:extLst>
            <a:ext uri="{FF2B5EF4-FFF2-40B4-BE49-F238E27FC236}">
              <a16:creationId xmlns:a16="http://schemas.microsoft.com/office/drawing/2014/main" id="{00000000-0008-0000-2000-0000D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2" name="172 CuadroTexto">
          <a:extLst>
            <a:ext uri="{FF2B5EF4-FFF2-40B4-BE49-F238E27FC236}">
              <a16:creationId xmlns:a16="http://schemas.microsoft.com/office/drawing/2014/main" id="{00000000-0008-0000-2000-0000D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3" name="173 CuadroTexto">
          <a:extLst>
            <a:ext uri="{FF2B5EF4-FFF2-40B4-BE49-F238E27FC236}">
              <a16:creationId xmlns:a16="http://schemas.microsoft.com/office/drawing/2014/main" id="{00000000-0008-0000-2000-0000D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4" name="174 CuadroTexto">
          <a:extLst>
            <a:ext uri="{FF2B5EF4-FFF2-40B4-BE49-F238E27FC236}">
              <a16:creationId xmlns:a16="http://schemas.microsoft.com/office/drawing/2014/main" id="{00000000-0008-0000-2000-0000D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5" name="175 CuadroTexto">
          <a:extLst>
            <a:ext uri="{FF2B5EF4-FFF2-40B4-BE49-F238E27FC236}">
              <a16:creationId xmlns:a16="http://schemas.microsoft.com/office/drawing/2014/main" id="{00000000-0008-0000-2000-0000D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6" name="176 CuadroTexto">
          <a:extLst>
            <a:ext uri="{FF2B5EF4-FFF2-40B4-BE49-F238E27FC236}">
              <a16:creationId xmlns:a16="http://schemas.microsoft.com/office/drawing/2014/main" id="{00000000-0008-0000-2000-0000D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7" name="177 CuadroTexto">
          <a:extLst>
            <a:ext uri="{FF2B5EF4-FFF2-40B4-BE49-F238E27FC236}">
              <a16:creationId xmlns:a16="http://schemas.microsoft.com/office/drawing/2014/main" id="{00000000-0008-0000-2000-0000D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8" name="178 CuadroTexto">
          <a:extLst>
            <a:ext uri="{FF2B5EF4-FFF2-40B4-BE49-F238E27FC236}">
              <a16:creationId xmlns:a16="http://schemas.microsoft.com/office/drawing/2014/main" id="{00000000-0008-0000-2000-0000D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9" name="179 CuadroTexto">
          <a:extLst>
            <a:ext uri="{FF2B5EF4-FFF2-40B4-BE49-F238E27FC236}">
              <a16:creationId xmlns:a16="http://schemas.microsoft.com/office/drawing/2014/main" id="{00000000-0008-0000-2000-0000D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0" name="180 CuadroTexto">
          <a:extLst>
            <a:ext uri="{FF2B5EF4-FFF2-40B4-BE49-F238E27FC236}">
              <a16:creationId xmlns:a16="http://schemas.microsoft.com/office/drawing/2014/main" id="{00000000-0008-0000-2000-0000D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1" name="181 CuadroTexto">
          <a:extLst>
            <a:ext uri="{FF2B5EF4-FFF2-40B4-BE49-F238E27FC236}">
              <a16:creationId xmlns:a16="http://schemas.microsoft.com/office/drawing/2014/main" id="{00000000-0008-0000-2000-0000D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2" name="182 CuadroTexto">
          <a:extLst>
            <a:ext uri="{FF2B5EF4-FFF2-40B4-BE49-F238E27FC236}">
              <a16:creationId xmlns:a16="http://schemas.microsoft.com/office/drawing/2014/main" id="{00000000-0008-0000-2000-0000D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3" name="183 CuadroTexto">
          <a:extLst>
            <a:ext uri="{FF2B5EF4-FFF2-40B4-BE49-F238E27FC236}">
              <a16:creationId xmlns:a16="http://schemas.microsoft.com/office/drawing/2014/main" id="{00000000-0008-0000-2000-0000D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4" name="184 CuadroTexto">
          <a:extLst>
            <a:ext uri="{FF2B5EF4-FFF2-40B4-BE49-F238E27FC236}">
              <a16:creationId xmlns:a16="http://schemas.microsoft.com/office/drawing/2014/main" id="{00000000-0008-0000-2000-0000E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5" name="185 CuadroTexto">
          <a:extLst>
            <a:ext uri="{FF2B5EF4-FFF2-40B4-BE49-F238E27FC236}">
              <a16:creationId xmlns:a16="http://schemas.microsoft.com/office/drawing/2014/main" id="{00000000-0008-0000-2000-0000E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6" name="186 CuadroTexto">
          <a:extLst>
            <a:ext uri="{FF2B5EF4-FFF2-40B4-BE49-F238E27FC236}">
              <a16:creationId xmlns:a16="http://schemas.microsoft.com/office/drawing/2014/main" id="{00000000-0008-0000-2000-0000E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7" name="187 CuadroTexto">
          <a:extLst>
            <a:ext uri="{FF2B5EF4-FFF2-40B4-BE49-F238E27FC236}">
              <a16:creationId xmlns:a16="http://schemas.microsoft.com/office/drawing/2014/main" id="{00000000-0008-0000-2000-0000E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8" name="188 CuadroTexto">
          <a:extLst>
            <a:ext uri="{FF2B5EF4-FFF2-40B4-BE49-F238E27FC236}">
              <a16:creationId xmlns:a16="http://schemas.microsoft.com/office/drawing/2014/main" id="{00000000-0008-0000-2000-0000E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9" name="189 CuadroTexto">
          <a:extLst>
            <a:ext uri="{FF2B5EF4-FFF2-40B4-BE49-F238E27FC236}">
              <a16:creationId xmlns:a16="http://schemas.microsoft.com/office/drawing/2014/main" id="{00000000-0008-0000-2000-0000E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0" name="190 CuadroTexto">
          <a:extLst>
            <a:ext uri="{FF2B5EF4-FFF2-40B4-BE49-F238E27FC236}">
              <a16:creationId xmlns:a16="http://schemas.microsoft.com/office/drawing/2014/main" id="{00000000-0008-0000-2000-0000E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1" name="191 CuadroTexto">
          <a:extLst>
            <a:ext uri="{FF2B5EF4-FFF2-40B4-BE49-F238E27FC236}">
              <a16:creationId xmlns:a16="http://schemas.microsoft.com/office/drawing/2014/main" id="{00000000-0008-0000-2000-0000E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2" name="192 CuadroTexto">
          <a:extLst>
            <a:ext uri="{FF2B5EF4-FFF2-40B4-BE49-F238E27FC236}">
              <a16:creationId xmlns:a16="http://schemas.microsoft.com/office/drawing/2014/main" id="{00000000-0008-0000-2000-0000E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3" name="193 CuadroTexto">
          <a:extLst>
            <a:ext uri="{FF2B5EF4-FFF2-40B4-BE49-F238E27FC236}">
              <a16:creationId xmlns:a16="http://schemas.microsoft.com/office/drawing/2014/main" id="{00000000-0008-0000-2000-0000E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4" name="194 CuadroTexto">
          <a:extLst>
            <a:ext uri="{FF2B5EF4-FFF2-40B4-BE49-F238E27FC236}">
              <a16:creationId xmlns:a16="http://schemas.microsoft.com/office/drawing/2014/main" id="{00000000-0008-0000-2000-0000E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5" name="195 CuadroTexto">
          <a:extLst>
            <a:ext uri="{FF2B5EF4-FFF2-40B4-BE49-F238E27FC236}">
              <a16:creationId xmlns:a16="http://schemas.microsoft.com/office/drawing/2014/main" id="{00000000-0008-0000-2000-0000E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6" name="196 CuadroTexto">
          <a:extLst>
            <a:ext uri="{FF2B5EF4-FFF2-40B4-BE49-F238E27FC236}">
              <a16:creationId xmlns:a16="http://schemas.microsoft.com/office/drawing/2014/main" id="{00000000-0008-0000-2000-0000E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7" name="197 CuadroTexto">
          <a:extLst>
            <a:ext uri="{FF2B5EF4-FFF2-40B4-BE49-F238E27FC236}">
              <a16:creationId xmlns:a16="http://schemas.microsoft.com/office/drawing/2014/main" id="{00000000-0008-0000-2000-0000E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8" name="198 CuadroTexto">
          <a:extLst>
            <a:ext uri="{FF2B5EF4-FFF2-40B4-BE49-F238E27FC236}">
              <a16:creationId xmlns:a16="http://schemas.microsoft.com/office/drawing/2014/main" id="{00000000-0008-0000-2000-0000E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9" name="199 CuadroTexto">
          <a:extLst>
            <a:ext uri="{FF2B5EF4-FFF2-40B4-BE49-F238E27FC236}">
              <a16:creationId xmlns:a16="http://schemas.microsoft.com/office/drawing/2014/main" id="{00000000-0008-0000-2000-0000E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0" name="200 CuadroTexto">
          <a:extLst>
            <a:ext uri="{FF2B5EF4-FFF2-40B4-BE49-F238E27FC236}">
              <a16:creationId xmlns:a16="http://schemas.microsoft.com/office/drawing/2014/main" id="{00000000-0008-0000-2000-0000F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1" name="201 CuadroTexto">
          <a:extLst>
            <a:ext uri="{FF2B5EF4-FFF2-40B4-BE49-F238E27FC236}">
              <a16:creationId xmlns:a16="http://schemas.microsoft.com/office/drawing/2014/main" id="{00000000-0008-0000-2000-0000F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2" name="202 CuadroTexto">
          <a:extLst>
            <a:ext uri="{FF2B5EF4-FFF2-40B4-BE49-F238E27FC236}">
              <a16:creationId xmlns:a16="http://schemas.microsoft.com/office/drawing/2014/main" id="{00000000-0008-0000-2000-0000F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3" name="203 CuadroTexto">
          <a:extLst>
            <a:ext uri="{FF2B5EF4-FFF2-40B4-BE49-F238E27FC236}">
              <a16:creationId xmlns:a16="http://schemas.microsoft.com/office/drawing/2014/main" id="{00000000-0008-0000-2000-0000F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4" name="204 CuadroTexto">
          <a:extLst>
            <a:ext uri="{FF2B5EF4-FFF2-40B4-BE49-F238E27FC236}">
              <a16:creationId xmlns:a16="http://schemas.microsoft.com/office/drawing/2014/main" id="{00000000-0008-0000-2000-0000F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5" name="205 CuadroTexto">
          <a:extLst>
            <a:ext uri="{FF2B5EF4-FFF2-40B4-BE49-F238E27FC236}">
              <a16:creationId xmlns:a16="http://schemas.microsoft.com/office/drawing/2014/main" id="{00000000-0008-0000-2000-0000F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6" name="206 CuadroTexto">
          <a:extLst>
            <a:ext uri="{FF2B5EF4-FFF2-40B4-BE49-F238E27FC236}">
              <a16:creationId xmlns:a16="http://schemas.microsoft.com/office/drawing/2014/main" id="{00000000-0008-0000-2000-0000F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7" name="207 CuadroTexto">
          <a:extLst>
            <a:ext uri="{FF2B5EF4-FFF2-40B4-BE49-F238E27FC236}">
              <a16:creationId xmlns:a16="http://schemas.microsoft.com/office/drawing/2014/main" id="{00000000-0008-0000-2000-0000F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8" name="208 CuadroTexto">
          <a:extLst>
            <a:ext uri="{FF2B5EF4-FFF2-40B4-BE49-F238E27FC236}">
              <a16:creationId xmlns:a16="http://schemas.microsoft.com/office/drawing/2014/main" id="{00000000-0008-0000-2000-0000F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9" name="209 CuadroTexto">
          <a:extLst>
            <a:ext uri="{FF2B5EF4-FFF2-40B4-BE49-F238E27FC236}">
              <a16:creationId xmlns:a16="http://schemas.microsoft.com/office/drawing/2014/main" id="{00000000-0008-0000-2000-0000F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0" name="210 CuadroTexto">
          <a:extLst>
            <a:ext uri="{FF2B5EF4-FFF2-40B4-BE49-F238E27FC236}">
              <a16:creationId xmlns:a16="http://schemas.microsoft.com/office/drawing/2014/main" id="{00000000-0008-0000-2000-0000F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1" name="211 CuadroTexto">
          <a:extLst>
            <a:ext uri="{FF2B5EF4-FFF2-40B4-BE49-F238E27FC236}">
              <a16:creationId xmlns:a16="http://schemas.microsoft.com/office/drawing/2014/main" id="{00000000-0008-0000-2000-0000F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2" name="212 CuadroTexto">
          <a:extLst>
            <a:ext uri="{FF2B5EF4-FFF2-40B4-BE49-F238E27FC236}">
              <a16:creationId xmlns:a16="http://schemas.microsoft.com/office/drawing/2014/main" id="{00000000-0008-0000-2000-0000F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3" name="213 CuadroTexto">
          <a:extLst>
            <a:ext uri="{FF2B5EF4-FFF2-40B4-BE49-F238E27FC236}">
              <a16:creationId xmlns:a16="http://schemas.microsoft.com/office/drawing/2014/main" id="{00000000-0008-0000-2000-0000F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4" name="214 CuadroTexto">
          <a:extLst>
            <a:ext uri="{FF2B5EF4-FFF2-40B4-BE49-F238E27FC236}">
              <a16:creationId xmlns:a16="http://schemas.microsoft.com/office/drawing/2014/main" id="{00000000-0008-0000-2000-0000F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5" name="215 CuadroTexto">
          <a:extLst>
            <a:ext uri="{FF2B5EF4-FFF2-40B4-BE49-F238E27FC236}">
              <a16:creationId xmlns:a16="http://schemas.microsoft.com/office/drawing/2014/main" id="{00000000-0008-0000-2000-0000F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6" name="216 CuadroTexto">
          <a:extLst>
            <a:ext uri="{FF2B5EF4-FFF2-40B4-BE49-F238E27FC236}">
              <a16:creationId xmlns:a16="http://schemas.microsoft.com/office/drawing/2014/main" id="{00000000-0008-0000-2000-00000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7" name="217 CuadroTexto">
          <a:extLst>
            <a:ext uri="{FF2B5EF4-FFF2-40B4-BE49-F238E27FC236}">
              <a16:creationId xmlns:a16="http://schemas.microsoft.com/office/drawing/2014/main" id="{00000000-0008-0000-2000-00000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8" name="218 CuadroTexto">
          <a:extLst>
            <a:ext uri="{FF2B5EF4-FFF2-40B4-BE49-F238E27FC236}">
              <a16:creationId xmlns:a16="http://schemas.microsoft.com/office/drawing/2014/main" id="{00000000-0008-0000-2000-00000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9" name="219 CuadroTexto">
          <a:extLst>
            <a:ext uri="{FF2B5EF4-FFF2-40B4-BE49-F238E27FC236}">
              <a16:creationId xmlns:a16="http://schemas.microsoft.com/office/drawing/2014/main" id="{00000000-0008-0000-2000-00000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0" name="220 CuadroTexto">
          <a:extLst>
            <a:ext uri="{FF2B5EF4-FFF2-40B4-BE49-F238E27FC236}">
              <a16:creationId xmlns:a16="http://schemas.microsoft.com/office/drawing/2014/main" id="{00000000-0008-0000-2000-00000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1" name="221 CuadroTexto">
          <a:extLst>
            <a:ext uri="{FF2B5EF4-FFF2-40B4-BE49-F238E27FC236}">
              <a16:creationId xmlns:a16="http://schemas.microsoft.com/office/drawing/2014/main" id="{00000000-0008-0000-2000-00000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2" name="222 CuadroTexto">
          <a:extLst>
            <a:ext uri="{FF2B5EF4-FFF2-40B4-BE49-F238E27FC236}">
              <a16:creationId xmlns:a16="http://schemas.microsoft.com/office/drawing/2014/main" id="{00000000-0008-0000-2000-00000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3" name="223 CuadroTexto">
          <a:extLst>
            <a:ext uri="{FF2B5EF4-FFF2-40B4-BE49-F238E27FC236}">
              <a16:creationId xmlns:a16="http://schemas.microsoft.com/office/drawing/2014/main" id="{00000000-0008-0000-2000-00000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4" name="224 CuadroTexto">
          <a:extLst>
            <a:ext uri="{FF2B5EF4-FFF2-40B4-BE49-F238E27FC236}">
              <a16:creationId xmlns:a16="http://schemas.microsoft.com/office/drawing/2014/main" id="{00000000-0008-0000-2000-00000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5" name="225 CuadroTexto">
          <a:extLst>
            <a:ext uri="{FF2B5EF4-FFF2-40B4-BE49-F238E27FC236}">
              <a16:creationId xmlns:a16="http://schemas.microsoft.com/office/drawing/2014/main" id="{00000000-0008-0000-2000-00000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6" name="226 CuadroTexto">
          <a:extLst>
            <a:ext uri="{FF2B5EF4-FFF2-40B4-BE49-F238E27FC236}">
              <a16:creationId xmlns:a16="http://schemas.microsoft.com/office/drawing/2014/main" id="{00000000-0008-0000-2000-00000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7" name="227 CuadroTexto">
          <a:extLst>
            <a:ext uri="{FF2B5EF4-FFF2-40B4-BE49-F238E27FC236}">
              <a16:creationId xmlns:a16="http://schemas.microsoft.com/office/drawing/2014/main" id="{00000000-0008-0000-2000-00000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8" name="228 CuadroTexto">
          <a:extLst>
            <a:ext uri="{FF2B5EF4-FFF2-40B4-BE49-F238E27FC236}">
              <a16:creationId xmlns:a16="http://schemas.microsoft.com/office/drawing/2014/main" id="{00000000-0008-0000-2000-00000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9" name="229 CuadroTexto">
          <a:extLst>
            <a:ext uri="{FF2B5EF4-FFF2-40B4-BE49-F238E27FC236}">
              <a16:creationId xmlns:a16="http://schemas.microsoft.com/office/drawing/2014/main" id="{00000000-0008-0000-2000-00000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0" name="230 CuadroTexto">
          <a:extLst>
            <a:ext uri="{FF2B5EF4-FFF2-40B4-BE49-F238E27FC236}">
              <a16:creationId xmlns:a16="http://schemas.microsoft.com/office/drawing/2014/main" id="{00000000-0008-0000-2000-00000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1" name="231 CuadroTexto">
          <a:extLst>
            <a:ext uri="{FF2B5EF4-FFF2-40B4-BE49-F238E27FC236}">
              <a16:creationId xmlns:a16="http://schemas.microsoft.com/office/drawing/2014/main" id="{00000000-0008-0000-2000-00000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2" name="232 CuadroTexto">
          <a:extLst>
            <a:ext uri="{FF2B5EF4-FFF2-40B4-BE49-F238E27FC236}">
              <a16:creationId xmlns:a16="http://schemas.microsoft.com/office/drawing/2014/main" id="{00000000-0008-0000-2000-00001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3" name="233 CuadroTexto">
          <a:extLst>
            <a:ext uri="{FF2B5EF4-FFF2-40B4-BE49-F238E27FC236}">
              <a16:creationId xmlns:a16="http://schemas.microsoft.com/office/drawing/2014/main" id="{00000000-0008-0000-2000-00001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4" name="234 CuadroTexto">
          <a:extLst>
            <a:ext uri="{FF2B5EF4-FFF2-40B4-BE49-F238E27FC236}">
              <a16:creationId xmlns:a16="http://schemas.microsoft.com/office/drawing/2014/main" id="{00000000-0008-0000-2000-00001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5" name="235 CuadroTexto">
          <a:extLst>
            <a:ext uri="{FF2B5EF4-FFF2-40B4-BE49-F238E27FC236}">
              <a16:creationId xmlns:a16="http://schemas.microsoft.com/office/drawing/2014/main" id="{00000000-0008-0000-2000-00001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6" name="236 CuadroTexto">
          <a:extLst>
            <a:ext uri="{FF2B5EF4-FFF2-40B4-BE49-F238E27FC236}">
              <a16:creationId xmlns:a16="http://schemas.microsoft.com/office/drawing/2014/main" id="{00000000-0008-0000-2000-00001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7" name="237 CuadroTexto">
          <a:extLst>
            <a:ext uri="{FF2B5EF4-FFF2-40B4-BE49-F238E27FC236}">
              <a16:creationId xmlns:a16="http://schemas.microsoft.com/office/drawing/2014/main" id="{00000000-0008-0000-2000-00001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8" name="238 CuadroTexto">
          <a:extLst>
            <a:ext uri="{FF2B5EF4-FFF2-40B4-BE49-F238E27FC236}">
              <a16:creationId xmlns:a16="http://schemas.microsoft.com/office/drawing/2014/main" id="{00000000-0008-0000-2000-00001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9" name="239 CuadroTexto">
          <a:extLst>
            <a:ext uri="{FF2B5EF4-FFF2-40B4-BE49-F238E27FC236}">
              <a16:creationId xmlns:a16="http://schemas.microsoft.com/office/drawing/2014/main" id="{00000000-0008-0000-2000-00001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0" name="240 CuadroTexto">
          <a:extLst>
            <a:ext uri="{FF2B5EF4-FFF2-40B4-BE49-F238E27FC236}">
              <a16:creationId xmlns:a16="http://schemas.microsoft.com/office/drawing/2014/main" id="{00000000-0008-0000-2000-00001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1" name="241 CuadroTexto">
          <a:extLst>
            <a:ext uri="{FF2B5EF4-FFF2-40B4-BE49-F238E27FC236}">
              <a16:creationId xmlns:a16="http://schemas.microsoft.com/office/drawing/2014/main" id="{00000000-0008-0000-2000-00001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2" name="242 CuadroTexto">
          <a:extLst>
            <a:ext uri="{FF2B5EF4-FFF2-40B4-BE49-F238E27FC236}">
              <a16:creationId xmlns:a16="http://schemas.microsoft.com/office/drawing/2014/main" id="{00000000-0008-0000-2000-00001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3" name="243 CuadroTexto">
          <a:extLst>
            <a:ext uri="{FF2B5EF4-FFF2-40B4-BE49-F238E27FC236}">
              <a16:creationId xmlns:a16="http://schemas.microsoft.com/office/drawing/2014/main" id="{00000000-0008-0000-2000-00001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4" name="244 CuadroTexto">
          <a:extLst>
            <a:ext uri="{FF2B5EF4-FFF2-40B4-BE49-F238E27FC236}">
              <a16:creationId xmlns:a16="http://schemas.microsoft.com/office/drawing/2014/main" id="{00000000-0008-0000-2000-00001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5" name="245 CuadroTexto">
          <a:extLst>
            <a:ext uri="{FF2B5EF4-FFF2-40B4-BE49-F238E27FC236}">
              <a16:creationId xmlns:a16="http://schemas.microsoft.com/office/drawing/2014/main" id="{00000000-0008-0000-2000-00001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6" name="246 CuadroTexto">
          <a:extLst>
            <a:ext uri="{FF2B5EF4-FFF2-40B4-BE49-F238E27FC236}">
              <a16:creationId xmlns:a16="http://schemas.microsoft.com/office/drawing/2014/main" id="{00000000-0008-0000-2000-00001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7" name="247 CuadroTexto">
          <a:extLst>
            <a:ext uri="{FF2B5EF4-FFF2-40B4-BE49-F238E27FC236}">
              <a16:creationId xmlns:a16="http://schemas.microsoft.com/office/drawing/2014/main" id="{00000000-0008-0000-2000-00001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8" name="248 CuadroTexto">
          <a:extLst>
            <a:ext uri="{FF2B5EF4-FFF2-40B4-BE49-F238E27FC236}">
              <a16:creationId xmlns:a16="http://schemas.microsoft.com/office/drawing/2014/main" id="{00000000-0008-0000-2000-00002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9" name="249 CuadroTexto">
          <a:extLst>
            <a:ext uri="{FF2B5EF4-FFF2-40B4-BE49-F238E27FC236}">
              <a16:creationId xmlns:a16="http://schemas.microsoft.com/office/drawing/2014/main" id="{00000000-0008-0000-2000-00002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0" name="250 CuadroTexto">
          <a:extLst>
            <a:ext uri="{FF2B5EF4-FFF2-40B4-BE49-F238E27FC236}">
              <a16:creationId xmlns:a16="http://schemas.microsoft.com/office/drawing/2014/main" id="{00000000-0008-0000-2000-00002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1" name="251 CuadroTexto">
          <a:extLst>
            <a:ext uri="{FF2B5EF4-FFF2-40B4-BE49-F238E27FC236}">
              <a16:creationId xmlns:a16="http://schemas.microsoft.com/office/drawing/2014/main" id="{00000000-0008-0000-2000-00002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2" name="252 CuadroTexto">
          <a:extLst>
            <a:ext uri="{FF2B5EF4-FFF2-40B4-BE49-F238E27FC236}">
              <a16:creationId xmlns:a16="http://schemas.microsoft.com/office/drawing/2014/main" id="{00000000-0008-0000-2000-00002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3" name="253 CuadroTexto">
          <a:extLst>
            <a:ext uri="{FF2B5EF4-FFF2-40B4-BE49-F238E27FC236}">
              <a16:creationId xmlns:a16="http://schemas.microsoft.com/office/drawing/2014/main" id="{00000000-0008-0000-2000-00002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4" name="254 CuadroTexto">
          <a:extLst>
            <a:ext uri="{FF2B5EF4-FFF2-40B4-BE49-F238E27FC236}">
              <a16:creationId xmlns:a16="http://schemas.microsoft.com/office/drawing/2014/main" id="{00000000-0008-0000-2000-00002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5" name="255 CuadroTexto">
          <a:extLst>
            <a:ext uri="{FF2B5EF4-FFF2-40B4-BE49-F238E27FC236}">
              <a16:creationId xmlns:a16="http://schemas.microsoft.com/office/drawing/2014/main" id="{00000000-0008-0000-2000-00002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6" name="256 CuadroTexto">
          <a:extLst>
            <a:ext uri="{FF2B5EF4-FFF2-40B4-BE49-F238E27FC236}">
              <a16:creationId xmlns:a16="http://schemas.microsoft.com/office/drawing/2014/main" id="{00000000-0008-0000-2000-00002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7" name="257 CuadroTexto">
          <a:extLst>
            <a:ext uri="{FF2B5EF4-FFF2-40B4-BE49-F238E27FC236}">
              <a16:creationId xmlns:a16="http://schemas.microsoft.com/office/drawing/2014/main" id="{00000000-0008-0000-2000-00002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8" name="258 CuadroTexto">
          <a:extLst>
            <a:ext uri="{FF2B5EF4-FFF2-40B4-BE49-F238E27FC236}">
              <a16:creationId xmlns:a16="http://schemas.microsoft.com/office/drawing/2014/main" id="{00000000-0008-0000-2000-00002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9" name="259 CuadroTexto">
          <a:extLst>
            <a:ext uri="{FF2B5EF4-FFF2-40B4-BE49-F238E27FC236}">
              <a16:creationId xmlns:a16="http://schemas.microsoft.com/office/drawing/2014/main" id="{00000000-0008-0000-2000-00002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0" name="260 CuadroTexto">
          <a:extLst>
            <a:ext uri="{FF2B5EF4-FFF2-40B4-BE49-F238E27FC236}">
              <a16:creationId xmlns:a16="http://schemas.microsoft.com/office/drawing/2014/main" id="{00000000-0008-0000-2000-00002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1" name="261 CuadroTexto">
          <a:extLst>
            <a:ext uri="{FF2B5EF4-FFF2-40B4-BE49-F238E27FC236}">
              <a16:creationId xmlns:a16="http://schemas.microsoft.com/office/drawing/2014/main" id="{00000000-0008-0000-2000-00002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2" name="262 CuadroTexto">
          <a:extLst>
            <a:ext uri="{FF2B5EF4-FFF2-40B4-BE49-F238E27FC236}">
              <a16:creationId xmlns:a16="http://schemas.microsoft.com/office/drawing/2014/main" id="{00000000-0008-0000-2000-00002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3" name="263 CuadroTexto">
          <a:extLst>
            <a:ext uri="{FF2B5EF4-FFF2-40B4-BE49-F238E27FC236}">
              <a16:creationId xmlns:a16="http://schemas.microsoft.com/office/drawing/2014/main" id="{00000000-0008-0000-2000-00002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4" name="264 CuadroTexto">
          <a:extLst>
            <a:ext uri="{FF2B5EF4-FFF2-40B4-BE49-F238E27FC236}">
              <a16:creationId xmlns:a16="http://schemas.microsoft.com/office/drawing/2014/main" id="{00000000-0008-0000-2000-00003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5" name="265 CuadroTexto">
          <a:extLst>
            <a:ext uri="{FF2B5EF4-FFF2-40B4-BE49-F238E27FC236}">
              <a16:creationId xmlns:a16="http://schemas.microsoft.com/office/drawing/2014/main" id="{00000000-0008-0000-2000-00003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6" name="266 CuadroTexto">
          <a:extLst>
            <a:ext uri="{FF2B5EF4-FFF2-40B4-BE49-F238E27FC236}">
              <a16:creationId xmlns:a16="http://schemas.microsoft.com/office/drawing/2014/main" id="{00000000-0008-0000-2000-00003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7" name="267 CuadroTexto">
          <a:extLst>
            <a:ext uri="{FF2B5EF4-FFF2-40B4-BE49-F238E27FC236}">
              <a16:creationId xmlns:a16="http://schemas.microsoft.com/office/drawing/2014/main" id="{00000000-0008-0000-2000-00003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8" name="285 CuadroTexto">
          <a:extLst>
            <a:ext uri="{FF2B5EF4-FFF2-40B4-BE49-F238E27FC236}">
              <a16:creationId xmlns:a16="http://schemas.microsoft.com/office/drawing/2014/main" id="{00000000-0008-0000-2000-00003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9" name="286 CuadroTexto">
          <a:extLst>
            <a:ext uri="{FF2B5EF4-FFF2-40B4-BE49-F238E27FC236}">
              <a16:creationId xmlns:a16="http://schemas.microsoft.com/office/drawing/2014/main" id="{00000000-0008-0000-2000-00003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0" name="287 CuadroTexto">
          <a:extLst>
            <a:ext uri="{FF2B5EF4-FFF2-40B4-BE49-F238E27FC236}">
              <a16:creationId xmlns:a16="http://schemas.microsoft.com/office/drawing/2014/main" id="{00000000-0008-0000-2000-00003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1" name="288 CuadroTexto">
          <a:extLst>
            <a:ext uri="{FF2B5EF4-FFF2-40B4-BE49-F238E27FC236}">
              <a16:creationId xmlns:a16="http://schemas.microsoft.com/office/drawing/2014/main" id="{00000000-0008-0000-2000-00003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2" name="289 CuadroTexto">
          <a:extLst>
            <a:ext uri="{FF2B5EF4-FFF2-40B4-BE49-F238E27FC236}">
              <a16:creationId xmlns:a16="http://schemas.microsoft.com/office/drawing/2014/main" id="{00000000-0008-0000-2000-00003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3" name="290 CuadroTexto">
          <a:extLst>
            <a:ext uri="{FF2B5EF4-FFF2-40B4-BE49-F238E27FC236}">
              <a16:creationId xmlns:a16="http://schemas.microsoft.com/office/drawing/2014/main" id="{00000000-0008-0000-2000-00003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4" name="291 CuadroTexto">
          <a:extLst>
            <a:ext uri="{FF2B5EF4-FFF2-40B4-BE49-F238E27FC236}">
              <a16:creationId xmlns:a16="http://schemas.microsoft.com/office/drawing/2014/main" id="{00000000-0008-0000-2000-00003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5" name="292 CuadroTexto">
          <a:extLst>
            <a:ext uri="{FF2B5EF4-FFF2-40B4-BE49-F238E27FC236}">
              <a16:creationId xmlns:a16="http://schemas.microsoft.com/office/drawing/2014/main" id="{00000000-0008-0000-2000-00003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6" name="293 CuadroTexto">
          <a:extLst>
            <a:ext uri="{FF2B5EF4-FFF2-40B4-BE49-F238E27FC236}">
              <a16:creationId xmlns:a16="http://schemas.microsoft.com/office/drawing/2014/main" id="{00000000-0008-0000-2000-00003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7" name="294 CuadroTexto">
          <a:extLst>
            <a:ext uri="{FF2B5EF4-FFF2-40B4-BE49-F238E27FC236}">
              <a16:creationId xmlns:a16="http://schemas.microsoft.com/office/drawing/2014/main" id="{00000000-0008-0000-2000-00003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8" name="295 CuadroTexto">
          <a:extLst>
            <a:ext uri="{FF2B5EF4-FFF2-40B4-BE49-F238E27FC236}">
              <a16:creationId xmlns:a16="http://schemas.microsoft.com/office/drawing/2014/main" id="{00000000-0008-0000-2000-00003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9" name="296 CuadroTexto">
          <a:extLst>
            <a:ext uri="{FF2B5EF4-FFF2-40B4-BE49-F238E27FC236}">
              <a16:creationId xmlns:a16="http://schemas.microsoft.com/office/drawing/2014/main" id="{00000000-0008-0000-2000-00003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0" name="298 CuadroTexto">
          <a:extLst>
            <a:ext uri="{FF2B5EF4-FFF2-40B4-BE49-F238E27FC236}">
              <a16:creationId xmlns:a16="http://schemas.microsoft.com/office/drawing/2014/main" id="{00000000-0008-0000-2000-000040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1" name="299 CuadroTexto">
          <a:extLst>
            <a:ext uri="{FF2B5EF4-FFF2-40B4-BE49-F238E27FC236}">
              <a16:creationId xmlns:a16="http://schemas.microsoft.com/office/drawing/2014/main" id="{00000000-0008-0000-2000-000041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2" name="300 CuadroTexto">
          <a:extLst>
            <a:ext uri="{FF2B5EF4-FFF2-40B4-BE49-F238E27FC236}">
              <a16:creationId xmlns:a16="http://schemas.microsoft.com/office/drawing/2014/main" id="{00000000-0008-0000-2000-000042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3" name="301 CuadroTexto">
          <a:extLst>
            <a:ext uri="{FF2B5EF4-FFF2-40B4-BE49-F238E27FC236}">
              <a16:creationId xmlns:a16="http://schemas.microsoft.com/office/drawing/2014/main" id="{00000000-0008-0000-2000-000043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4" name="302 CuadroTexto">
          <a:extLst>
            <a:ext uri="{FF2B5EF4-FFF2-40B4-BE49-F238E27FC236}">
              <a16:creationId xmlns:a16="http://schemas.microsoft.com/office/drawing/2014/main" id="{00000000-0008-0000-2000-000044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5" name="303 CuadroTexto">
          <a:extLst>
            <a:ext uri="{FF2B5EF4-FFF2-40B4-BE49-F238E27FC236}">
              <a16:creationId xmlns:a16="http://schemas.microsoft.com/office/drawing/2014/main" id="{00000000-0008-0000-2000-000045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6" name="304 CuadroTexto">
          <a:extLst>
            <a:ext uri="{FF2B5EF4-FFF2-40B4-BE49-F238E27FC236}">
              <a16:creationId xmlns:a16="http://schemas.microsoft.com/office/drawing/2014/main" id="{00000000-0008-0000-2000-000046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7" name="305 CuadroTexto">
          <a:extLst>
            <a:ext uri="{FF2B5EF4-FFF2-40B4-BE49-F238E27FC236}">
              <a16:creationId xmlns:a16="http://schemas.microsoft.com/office/drawing/2014/main" id="{00000000-0008-0000-2000-000047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8" name="452 CuadroTexto">
          <a:extLst>
            <a:ext uri="{FF2B5EF4-FFF2-40B4-BE49-F238E27FC236}">
              <a16:creationId xmlns:a16="http://schemas.microsoft.com/office/drawing/2014/main" id="{00000000-0008-0000-2000-000048150000}"/>
            </a:ext>
          </a:extLst>
        </xdr:cNvPr>
        <xdr:cNvSpPr txBox="1"/>
      </xdr:nvSpPr>
      <xdr:spPr>
        <a:xfrm>
          <a:off x="1079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9" name="17 CuadroTexto">
          <a:extLst>
            <a:ext uri="{FF2B5EF4-FFF2-40B4-BE49-F238E27FC236}">
              <a16:creationId xmlns:a16="http://schemas.microsoft.com/office/drawing/2014/main" id="{00000000-0008-0000-2000-00004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450" name="90 CuadroTexto">
          <a:extLst>
            <a:ext uri="{FF2B5EF4-FFF2-40B4-BE49-F238E27FC236}">
              <a16:creationId xmlns:a16="http://schemas.microsoft.com/office/drawing/2014/main" id="{00000000-0008-0000-2000-00004A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1" name="91 CuadroTexto">
          <a:extLst>
            <a:ext uri="{FF2B5EF4-FFF2-40B4-BE49-F238E27FC236}">
              <a16:creationId xmlns:a16="http://schemas.microsoft.com/office/drawing/2014/main" id="{00000000-0008-0000-2000-00004B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2" name="92 CuadroTexto">
          <a:extLst>
            <a:ext uri="{FF2B5EF4-FFF2-40B4-BE49-F238E27FC236}">
              <a16:creationId xmlns:a16="http://schemas.microsoft.com/office/drawing/2014/main" id="{00000000-0008-0000-2000-00004C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3" name="93 CuadroTexto">
          <a:extLst>
            <a:ext uri="{FF2B5EF4-FFF2-40B4-BE49-F238E27FC236}">
              <a16:creationId xmlns:a16="http://schemas.microsoft.com/office/drawing/2014/main" id="{00000000-0008-0000-2000-00004D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4" name="94 CuadroTexto">
          <a:extLst>
            <a:ext uri="{FF2B5EF4-FFF2-40B4-BE49-F238E27FC236}">
              <a16:creationId xmlns:a16="http://schemas.microsoft.com/office/drawing/2014/main" id="{00000000-0008-0000-2000-00004E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5" name="95 CuadroTexto">
          <a:extLst>
            <a:ext uri="{FF2B5EF4-FFF2-40B4-BE49-F238E27FC236}">
              <a16:creationId xmlns:a16="http://schemas.microsoft.com/office/drawing/2014/main" id="{00000000-0008-0000-2000-00004F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6" name="96 CuadroTexto">
          <a:extLst>
            <a:ext uri="{FF2B5EF4-FFF2-40B4-BE49-F238E27FC236}">
              <a16:creationId xmlns:a16="http://schemas.microsoft.com/office/drawing/2014/main" id="{00000000-0008-0000-2000-000050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7" name="97 CuadroTexto">
          <a:extLst>
            <a:ext uri="{FF2B5EF4-FFF2-40B4-BE49-F238E27FC236}">
              <a16:creationId xmlns:a16="http://schemas.microsoft.com/office/drawing/2014/main" id="{00000000-0008-0000-2000-000051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8" name="98 CuadroTexto">
          <a:extLst>
            <a:ext uri="{FF2B5EF4-FFF2-40B4-BE49-F238E27FC236}">
              <a16:creationId xmlns:a16="http://schemas.microsoft.com/office/drawing/2014/main" id="{00000000-0008-0000-2000-000052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9" name="99 CuadroTexto">
          <a:extLst>
            <a:ext uri="{FF2B5EF4-FFF2-40B4-BE49-F238E27FC236}">
              <a16:creationId xmlns:a16="http://schemas.microsoft.com/office/drawing/2014/main" id="{00000000-0008-0000-2000-000053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0" name="100 CuadroTexto">
          <a:extLst>
            <a:ext uri="{FF2B5EF4-FFF2-40B4-BE49-F238E27FC236}">
              <a16:creationId xmlns:a16="http://schemas.microsoft.com/office/drawing/2014/main" id="{00000000-0008-0000-2000-000054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1" name="101 CuadroTexto">
          <a:extLst>
            <a:ext uri="{FF2B5EF4-FFF2-40B4-BE49-F238E27FC236}">
              <a16:creationId xmlns:a16="http://schemas.microsoft.com/office/drawing/2014/main" id="{00000000-0008-0000-2000-000055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462" name="118 CuadroTexto">
          <a:extLst>
            <a:ext uri="{FF2B5EF4-FFF2-40B4-BE49-F238E27FC236}">
              <a16:creationId xmlns:a16="http://schemas.microsoft.com/office/drawing/2014/main" id="{00000000-0008-0000-2000-00005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3" name="119 CuadroTexto">
          <a:extLst>
            <a:ext uri="{FF2B5EF4-FFF2-40B4-BE49-F238E27FC236}">
              <a16:creationId xmlns:a16="http://schemas.microsoft.com/office/drawing/2014/main" id="{00000000-0008-0000-2000-00005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4" name="120 CuadroTexto">
          <a:extLst>
            <a:ext uri="{FF2B5EF4-FFF2-40B4-BE49-F238E27FC236}">
              <a16:creationId xmlns:a16="http://schemas.microsoft.com/office/drawing/2014/main" id="{00000000-0008-0000-2000-00005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5" name="121 CuadroTexto">
          <a:extLst>
            <a:ext uri="{FF2B5EF4-FFF2-40B4-BE49-F238E27FC236}">
              <a16:creationId xmlns:a16="http://schemas.microsoft.com/office/drawing/2014/main" id="{00000000-0008-0000-2000-00005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6" name="122 CuadroTexto">
          <a:extLst>
            <a:ext uri="{FF2B5EF4-FFF2-40B4-BE49-F238E27FC236}">
              <a16:creationId xmlns:a16="http://schemas.microsoft.com/office/drawing/2014/main" id="{00000000-0008-0000-2000-00005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7" name="123 CuadroTexto">
          <a:extLst>
            <a:ext uri="{FF2B5EF4-FFF2-40B4-BE49-F238E27FC236}">
              <a16:creationId xmlns:a16="http://schemas.microsoft.com/office/drawing/2014/main" id="{00000000-0008-0000-2000-00005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8" name="124 CuadroTexto">
          <a:extLst>
            <a:ext uri="{FF2B5EF4-FFF2-40B4-BE49-F238E27FC236}">
              <a16:creationId xmlns:a16="http://schemas.microsoft.com/office/drawing/2014/main" id="{00000000-0008-0000-2000-00005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9" name="125 CuadroTexto">
          <a:extLst>
            <a:ext uri="{FF2B5EF4-FFF2-40B4-BE49-F238E27FC236}">
              <a16:creationId xmlns:a16="http://schemas.microsoft.com/office/drawing/2014/main" id="{00000000-0008-0000-2000-00005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0" name="143 CuadroTexto">
          <a:extLst>
            <a:ext uri="{FF2B5EF4-FFF2-40B4-BE49-F238E27FC236}">
              <a16:creationId xmlns:a16="http://schemas.microsoft.com/office/drawing/2014/main" id="{00000000-0008-0000-2000-00005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1" name="144 CuadroTexto">
          <a:extLst>
            <a:ext uri="{FF2B5EF4-FFF2-40B4-BE49-F238E27FC236}">
              <a16:creationId xmlns:a16="http://schemas.microsoft.com/office/drawing/2014/main" id="{00000000-0008-0000-2000-00005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2" name="145 CuadroTexto">
          <a:extLst>
            <a:ext uri="{FF2B5EF4-FFF2-40B4-BE49-F238E27FC236}">
              <a16:creationId xmlns:a16="http://schemas.microsoft.com/office/drawing/2014/main" id="{00000000-0008-0000-2000-00006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3" name="146 CuadroTexto">
          <a:extLst>
            <a:ext uri="{FF2B5EF4-FFF2-40B4-BE49-F238E27FC236}">
              <a16:creationId xmlns:a16="http://schemas.microsoft.com/office/drawing/2014/main" id="{00000000-0008-0000-2000-00006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4" name="147 CuadroTexto">
          <a:extLst>
            <a:ext uri="{FF2B5EF4-FFF2-40B4-BE49-F238E27FC236}">
              <a16:creationId xmlns:a16="http://schemas.microsoft.com/office/drawing/2014/main" id="{00000000-0008-0000-2000-00006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5" name="148 CuadroTexto">
          <a:extLst>
            <a:ext uri="{FF2B5EF4-FFF2-40B4-BE49-F238E27FC236}">
              <a16:creationId xmlns:a16="http://schemas.microsoft.com/office/drawing/2014/main" id="{00000000-0008-0000-2000-00006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6" name="149 CuadroTexto">
          <a:extLst>
            <a:ext uri="{FF2B5EF4-FFF2-40B4-BE49-F238E27FC236}">
              <a16:creationId xmlns:a16="http://schemas.microsoft.com/office/drawing/2014/main" id="{00000000-0008-0000-2000-00006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7" name="150 CuadroTexto">
          <a:extLst>
            <a:ext uri="{FF2B5EF4-FFF2-40B4-BE49-F238E27FC236}">
              <a16:creationId xmlns:a16="http://schemas.microsoft.com/office/drawing/2014/main" id="{00000000-0008-0000-2000-00006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8" name="151 CuadroTexto">
          <a:extLst>
            <a:ext uri="{FF2B5EF4-FFF2-40B4-BE49-F238E27FC236}">
              <a16:creationId xmlns:a16="http://schemas.microsoft.com/office/drawing/2014/main" id="{00000000-0008-0000-2000-00006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9" name="152 CuadroTexto">
          <a:extLst>
            <a:ext uri="{FF2B5EF4-FFF2-40B4-BE49-F238E27FC236}">
              <a16:creationId xmlns:a16="http://schemas.microsoft.com/office/drawing/2014/main" id="{00000000-0008-0000-2000-00006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0" name="153 CuadroTexto">
          <a:extLst>
            <a:ext uri="{FF2B5EF4-FFF2-40B4-BE49-F238E27FC236}">
              <a16:creationId xmlns:a16="http://schemas.microsoft.com/office/drawing/2014/main" id="{00000000-0008-0000-2000-00006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1" name="154 CuadroTexto">
          <a:extLst>
            <a:ext uri="{FF2B5EF4-FFF2-40B4-BE49-F238E27FC236}">
              <a16:creationId xmlns:a16="http://schemas.microsoft.com/office/drawing/2014/main" id="{00000000-0008-0000-2000-00006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2" name="155 CuadroTexto">
          <a:extLst>
            <a:ext uri="{FF2B5EF4-FFF2-40B4-BE49-F238E27FC236}">
              <a16:creationId xmlns:a16="http://schemas.microsoft.com/office/drawing/2014/main" id="{00000000-0008-0000-2000-00006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3" name="156 CuadroTexto">
          <a:extLst>
            <a:ext uri="{FF2B5EF4-FFF2-40B4-BE49-F238E27FC236}">
              <a16:creationId xmlns:a16="http://schemas.microsoft.com/office/drawing/2014/main" id="{00000000-0008-0000-2000-00006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4" name="157 CuadroTexto">
          <a:extLst>
            <a:ext uri="{FF2B5EF4-FFF2-40B4-BE49-F238E27FC236}">
              <a16:creationId xmlns:a16="http://schemas.microsoft.com/office/drawing/2014/main" id="{00000000-0008-0000-2000-00006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5" name="158 CuadroTexto">
          <a:extLst>
            <a:ext uri="{FF2B5EF4-FFF2-40B4-BE49-F238E27FC236}">
              <a16:creationId xmlns:a16="http://schemas.microsoft.com/office/drawing/2014/main" id="{00000000-0008-0000-2000-00006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6" name="159 CuadroTexto">
          <a:extLst>
            <a:ext uri="{FF2B5EF4-FFF2-40B4-BE49-F238E27FC236}">
              <a16:creationId xmlns:a16="http://schemas.microsoft.com/office/drawing/2014/main" id="{00000000-0008-0000-2000-00006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7" name="160 CuadroTexto">
          <a:extLst>
            <a:ext uri="{FF2B5EF4-FFF2-40B4-BE49-F238E27FC236}">
              <a16:creationId xmlns:a16="http://schemas.microsoft.com/office/drawing/2014/main" id="{00000000-0008-0000-2000-00006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8" name="161 CuadroTexto">
          <a:extLst>
            <a:ext uri="{FF2B5EF4-FFF2-40B4-BE49-F238E27FC236}">
              <a16:creationId xmlns:a16="http://schemas.microsoft.com/office/drawing/2014/main" id="{00000000-0008-0000-2000-00007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9" name="162 CuadroTexto">
          <a:extLst>
            <a:ext uri="{FF2B5EF4-FFF2-40B4-BE49-F238E27FC236}">
              <a16:creationId xmlns:a16="http://schemas.microsoft.com/office/drawing/2014/main" id="{00000000-0008-0000-2000-00007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0" name="163 CuadroTexto">
          <a:extLst>
            <a:ext uri="{FF2B5EF4-FFF2-40B4-BE49-F238E27FC236}">
              <a16:creationId xmlns:a16="http://schemas.microsoft.com/office/drawing/2014/main" id="{00000000-0008-0000-2000-00007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1" name="164 CuadroTexto">
          <a:extLst>
            <a:ext uri="{FF2B5EF4-FFF2-40B4-BE49-F238E27FC236}">
              <a16:creationId xmlns:a16="http://schemas.microsoft.com/office/drawing/2014/main" id="{00000000-0008-0000-2000-00007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2" name="165 CuadroTexto">
          <a:extLst>
            <a:ext uri="{FF2B5EF4-FFF2-40B4-BE49-F238E27FC236}">
              <a16:creationId xmlns:a16="http://schemas.microsoft.com/office/drawing/2014/main" id="{00000000-0008-0000-2000-00007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3" name="166 CuadroTexto">
          <a:extLst>
            <a:ext uri="{FF2B5EF4-FFF2-40B4-BE49-F238E27FC236}">
              <a16:creationId xmlns:a16="http://schemas.microsoft.com/office/drawing/2014/main" id="{00000000-0008-0000-2000-00007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4" name="167 CuadroTexto">
          <a:extLst>
            <a:ext uri="{FF2B5EF4-FFF2-40B4-BE49-F238E27FC236}">
              <a16:creationId xmlns:a16="http://schemas.microsoft.com/office/drawing/2014/main" id="{00000000-0008-0000-2000-00007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5" name="168 CuadroTexto">
          <a:extLst>
            <a:ext uri="{FF2B5EF4-FFF2-40B4-BE49-F238E27FC236}">
              <a16:creationId xmlns:a16="http://schemas.microsoft.com/office/drawing/2014/main" id="{00000000-0008-0000-2000-00007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6" name="169 CuadroTexto">
          <a:extLst>
            <a:ext uri="{FF2B5EF4-FFF2-40B4-BE49-F238E27FC236}">
              <a16:creationId xmlns:a16="http://schemas.microsoft.com/office/drawing/2014/main" id="{00000000-0008-0000-2000-00007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7" name="170 CuadroTexto">
          <a:extLst>
            <a:ext uri="{FF2B5EF4-FFF2-40B4-BE49-F238E27FC236}">
              <a16:creationId xmlns:a16="http://schemas.microsoft.com/office/drawing/2014/main" id="{00000000-0008-0000-2000-00007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8" name="171 CuadroTexto">
          <a:extLst>
            <a:ext uri="{FF2B5EF4-FFF2-40B4-BE49-F238E27FC236}">
              <a16:creationId xmlns:a16="http://schemas.microsoft.com/office/drawing/2014/main" id="{00000000-0008-0000-2000-00007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9" name="172 CuadroTexto">
          <a:extLst>
            <a:ext uri="{FF2B5EF4-FFF2-40B4-BE49-F238E27FC236}">
              <a16:creationId xmlns:a16="http://schemas.microsoft.com/office/drawing/2014/main" id="{00000000-0008-0000-2000-00007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0" name="173 CuadroTexto">
          <a:extLst>
            <a:ext uri="{FF2B5EF4-FFF2-40B4-BE49-F238E27FC236}">
              <a16:creationId xmlns:a16="http://schemas.microsoft.com/office/drawing/2014/main" id="{00000000-0008-0000-2000-00007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1" name="174 CuadroTexto">
          <a:extLst>
            <a:ext uri="{FF2B5EF4-FFF2-40B4-BE49-F238E27FC236}">
              <a16:creationId xmlns:a16="http://schemas.microsoft.com/office/drawing/2014/main" id="{00000000-0008-0000-2000-00007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2" name="175 CuadroTexto">
          <a:extLst>
            <a:ext uri="{FF2B5EF4-FFF2-40B4-BE49-F238E27FC236}">
              <a16:creationId xmlns:a16="http://schemas.microsoft.com/office/drawing/2014/main" id="{00000000-0008-0000-2000-00007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3" name="176 CuadroTexto">
          <a:extLst>
            <a:ext uri="{FF2B5EF4-FFF2-40B4-BE49-F238E27FC236}">
              <a16:creationId xmlns:a16="http://schemas.microsoft.com/office/drawing/2014/main" id="{00000000-0008-0000-2000-00007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4" name="177 CuadroTexto">
          <a:extLst>
            <a:ext uri="{FF2B5EF4-FFF2-40B4-BE49-F238E27FC236}">
              <a16:creationId xmlns:a16="http://schemas.microsoft.com/office/drawing/2014/main" id="{00000000-0008-0000-2000-00008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5" name="178 CuadroTexto">
          <a:extLst>
            <a:ext uri="{FF2B5EF4-FFF2-40B4-BE49-F238E27FC236}">
              <a16:creationId xmlns:a16="http://schemas.microsoft.com/office/drawing/2014/main" id="{00000000-0008-0000-2000-00008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6" name="179 CuadroTexto">
          <a:extLst>
            <a:ext uri="{FF2B5EF4-FFF2-40B4-BE49-F238E27FC236}">
              <a16:creationId xmlns:a16="http://schemas.microsoft.com/office/drawing/2014/main" id="{00000000-0008-0000-2000-00008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7" name="180 CuadroTexto">
          <a:extLst>
            <a:ext uri="{FF2B5EF4-FFF2-40B4-BE49-F238E27FC236}">
              <a16:creationId xmlns:a16="http://schemas.microsoft.com/office/drawing/2014/main" id="{00000000-0008-0000-2000-00008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8" name="181 CuadroTexto">
          <a:extLst>
            <a:ext uri="{FF2B5EF4-FFF2-40B4-BE49-F238E27FC236}">
              <a16:creationId xmlns:a16="http://schemas.microsoft.com/office/drawing/2014/main" id="{00000000-0008-0000-2000-00008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9" name="182 CuadroTexto">
          <a:extLst>
            <a:ext uri="{FF2B5EF4-FFF2-40B4-BE49-F238E27FC236}">
              <a16:creationId xmlns:a16="http://schemas.microsoft.com/office/drawing/2014/main" id="{00000000-0008-0000-2000-00008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0" name="183 CuadroTexto">
          <a:extLst>
            <a:ext uri="{FF2B5EF4-FFF2-40B4-BE49-F238E27FC236}">
              <a16:creationId xmlns:a16="http://schemas.microsoft.com/office/drawing/2014/main" id="{00000000-0008-0000-2000-00008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1" name="184 CuadroTexto">
          <a:extLst>
            <a:ext uri="{FF2B5EF4-FFF2-40B4-BE49-F238E27FC236}">
              <a16:creationId xmlns:a16="http://schemas.microsoft.com/office/drawing/2014/main" id="{00000000-0008-0000-2000-00008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2" name="185 CuadroTexto">
          <a:extLst>
            <a:ext uri="{FF2B5EF4-FFF2-40B4-BE49-F238E27FC236}">
              <a16:creationId xmlns:a16="http://schemas.microsoft.com/office/drawing/2014/main" id="{00000000-0008-0000-2000-00008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3" name="186 CuadroTexto">
          <a:extLst>
            <a:ext uri="{FF2B5EF4-FFF2-40B4-BE49-F238E27FC236}">
              <a16:creationId xmlns:a16="http://schemas.microsoft.com/office/drawing/2014/main" id="{00000000-0008-0000-2000-00008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4" name="187 CuadroTexto">
          <a:extLst>
            <a:ext uri="{FF2B5EF4-FFF2-40B4-BE49-F238E27FC236}">
              <a16:creationId xmlns:a16="http://schemas.microsoft.com/office/drawing/2014/main" id="{00000000-0008-0000-2000-00008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5" name="188 CuadroTexto">
          <a:extLst>
            <a:ext uri="{FF2B5EF4-FFF2-40B4-BE49-F238E27FC236}">
              <a16:creationId xmlns:a16="http://schemas.microsoft.com/office/drawing/2014/main" id="{00000000-0008-0000-2000-00008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6" name="189 CuadroTexto">
          <a:extLst>
            <a:ext uri="{FF2B5EF4-FFF2-40B4-BE49-F238E27FC236}">
              <a16:creationId xmlns:a16="http://schemas.microsoft.com/office/drawing/2014/main" id="{00000000-0008-0000-2000-00008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7" name="190 CuadroTexto">
          <a:extLst>
            <a:ext uri="{FF2B5EF4-FFF2-40B4-BE49-F238E27FC236}">
              <a16:creationId xmlns:a16="http://schemas.microsoft.com/office/drawing/2014/main" id="{00000000-0008-0000-2000-00008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8" name="191 CuadroTexto">
          <a:extLst>
            <a:ext uri="{FF2B5EF4-FFF2-40B4-BE49-F238E27FC236}">
              <a16:creationId xmlns:a16="http://schemas.microsoft.com/office/drawing/2014/main" id="{00000000-0008-0000-2000-00008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9" name="192 CuadroTexto">
          <a:extLst>
            <a:ext uri="{FF2B5EF4-FFF2-40B4-BE49-F238E27FC236}">
              <a16:creationId xmlns:a16="http://schemas.microsoft.com/office/drawing/2014/main" id="{00000000-0008-0000-2000-00008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0" name="193 CuadroTexto">
          <a:extLst>
            <a:ext uri="{FF2B5EF4-FFF2-40B4-BE49-F238E27FC236}">
              <a16:creationId xmlns:a16="http://schemas.microsoft.com/office/drawing/2014/main" id="{00000000-0008-0000-2000-00009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1" name="194 CuadroTexto">
          <a:extLst>
            <a:ext uri="{FF2B5EF4-FFF2-40B4-BE49-F238E27FC236}">
              <a16:creationId xmlns:a16="http://schemas.microsoft.com/office/drawing/2014/main" id="{00000000-0008-0000-2000-00009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2" name="195 CuadroTexto">
          <a:extLst>
            <a:ext uri="{FF2B5EF4-FFF2-40B4-BE49-F238E27FC236}">
              <a16:creationId xmlns:a16="http://schemas.microsoft.com/office/drawing/2014/main" id="{00000000-0008-0000-2000-00009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3" name="196 CuadroTexto">
          <a:extLst>
            <a:ext uri="{FF2B5EF4-FFF2-40B4-BE49-F238E27FC236}">
              <a16:creationId xmlns:a16="http://schemas.microsoft.com/office/drawing/2014/main" id="{00000000-0008-0000-2000-00009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4" name="197 CuadroTexto">
          <a:extLst>
            <a:ext uri="{FF2B5EF4-FFF2-40B4-BE49-F238E27FC236}">
              <a16:creationId xmlns:a16="http://schemas.microsoft.com/office/drawing/2014/main" id="{00000000-0008-0000-2000-00009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5" name="198 CuadroTexto">
          <a:extLst>
            <a:ext uri="{FF2B5EF4-FFF2-40B4-BE49-F238E27FC236}">
              <a16:creationId xmlns:a16="http://schemas.microsoft.com/office/drawing/2014/main" id="{00000000-0008-0000-2000-00009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6" name="199 CuadroTexto">
          <a:extLst>
            <a:ext uri="{FF2B5EF4-FFF2-40B4-BE49-F238E27FC236}">
              <a16:creationId xmlns:a16="http://schemas.microsoft.com/office/drawing/2014/main" id="{00000000-0008-0000-2000-00009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7" name="200 CuadroTexto">
          <a:extLst>
            <a:ext uri="{FF2B5EF4-FFF2-40B4-BE49-F238E27FC236}">
              <a16:creationId xmlns:a16="http://schemas.microsoft.com/office/drawing/2014/main" id="{00000000-0008-0000-2000-00009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8" name="201 CuadroTexto">
          <a:extLst>
            <a:ext uri="{FF2B5EF4-FFF2-40B4-BE49-F238E27FC236}">
              <a16:creationId xmlns:a16="http://schemas.microsoft.com/office/drawing/2014/main" id="{00000000-0008-0000-2000-00009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9" name="202 CuadroTexto">
          <a:extLst>
            <a:ext uri="{FF2B5EF4-FFF2-40B4-BE49-F238E27FC236}">
              <a16:creationId xmlns:a16="http://schemas.microsoft.com/office/drawing/2014/main" id="{00000000-0008-0000-2000-00009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0" name="203 CuadroTexto">
          <a:extLst>
            <a:ext uri="{FF2B5EF4-FFF2-40B4-BE49-F238E27FC236}">
              <a16:creationId xmlns:a16="http://schemas.microsoft.com/office/drawing/2014/main" id="{00000000-0008-0000-2000-00009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1" name="204 CuadroTexto">
          <a:extLst>
            <a:ext uri="{FF2B5EF4-FFF2-40B4-BE49-F238E27FC236}">
              <a16:creationId xmlns:a16="http://schemas.microsoft.com/office/drawing/2014/main" id="{00000000-0008-0000-2000-00009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2" name="205 CuadroTexto">
          <a:extLst>
            <a:ext uri="{FF2B5EF4-FFF2-40B4-BE49-F238E27FC236}">
              <a16:creationId xmlns:a16="http://schemas.microsoft.com/office/drawing/2014/main" id="{00000000-0008-0000-2000-00009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3" name="206 CuadroTexto">
          <a:extLst>
            <a:ext uri="{FF2B5EF4-FFF2-40B4-BE49-F238E27FC236}">
              <a16:creationId xmlns:a16="http://schemas.microsoft.com/office/drawing/2014/main" id="{00000000-0008-0000-2000-00009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4" name="207 CuadroTexto">
          <a:extLst>
            <a:ext uri="{FF2B5EF4-FFF2-40B4-BE49-F238E27FC236}">
              <a16:creationId xmlns:a16="http://schemas.microsoft.com/office/drawing/2014/main" id="{00000000-0008-0000-2000-00009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5" name="208 CuadroTexto">
          <a:extLst>
            <a:ext uri="{FF2B5EF4-FFF2-40B4-BE49-F238E27FC236}">
              <a16:creationId xmlns:a16="http://schemas.microsoft.com/office/drawing/2014/main" id="{00000000-0008-0000-2000-00009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6" name="209 CuadroTexto">
          <a:extLst>
            <a:ext uri="{FF2B5EF4-FFF2-40B4-BE49-F238E27FC236}">
              <a16:creationId xmlns:a16="http://schemas.microsoft.com/office/drawing/2014/main" id="{00000000-0008-0000-2000-0000A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7" name="210 CuadroTexto">
          <a:extLst>
            <a:ext uri="{FF2B5EF4-FFF2-40B4-BE49-F238E27FC236}">
              <a16:creationId xmlns:a16="http://schemas.microsoft.com/office/drawing/2014/main" id="{00000000-0008-0000-2000-0000A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8" name="211 CuadroTexto">
          <a:extLst>
            <a:ext uri="{FF2B5EF4-FFF2-40B4-BE49-F238E27FC236}">
              <a16:creationId xmlns:a16="http://schemas.microsoft.com/office/drawing/2014/main" id="{00000000-0008-0000-2000-0000A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9" name="212 CuadroTexto">
          <a:extLst>
            <a:ext uri="{FF2B5EF4-FFF2-40B4-BE49-F238E27FC236}">
              <a16:creationId xmlns:a16="http://schemas.microsoft.com/office/drawing/2014/main" id="{00000000-0008-0000-2000-0000A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0" name="213 CuadroTexto">
          <a:extLst>
            <a:ext uri="{FF2B5EF4-FFF2-40B4-BE49-F238E27FC236}">
              <a16:creationId xmlns:a16="http://schemas.microsoft.com/office/drawing/2014/main" id="{00000000-0008-0000-2000-0000A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1" name="214 CuadroTexto">
          <a:extLst>
            <a:ext uri="{FF2B5EF4-FFF2-40B4-BE49-F238E27FC236}">
              <a16:creationId xmlns:a16="http://schemas.microsoft.com/office/drawing/2014/main" id="{00000000-0008-0000-2000-0000A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2" name="215 CuadroTexto">
          <a:extLst>
            <a:ext uri="{FF2B5EF4-FFF2-40B4-BE49-F238E27FC236}">
              <a16:creationId xmlns:a16="http://schemas.microsoft.com/office/drawing/2014/main" id="{00000000-0008-0000-2000-0000A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3" name="216 CuadroTexto">
          <a:extLst>
            <a:ext uri="{FF2B5EF4-FFF2-40B4-BE49-F238E27FC236}">
              <a16:creationId xmlns:a16="http://schemas.microsoft.com/office/drawing/2014/main" id="{00000000-0008-0000-2000-0000A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4" name="217 CuadroTexto">
          <a:extLst>
            <a:ext uri="{FF2B5EF4-FFF2-40B4-BE49-F238E27FC236}">
              <a16:creationId xmlns:a16="http://schemas.microsoft.com/office/drawing/2014/main" id="{00000000-0008-0000-2000-0000A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5" name="218 CuadroTexto">
          <a:extLst>
            <a:ext uri="{FF2B5EF4-FFF2-40B4-BE49-F238E27FC236}">
              <a16:creationId xmlns:a16="http://schemas.microsoft.com/office/drawing/2014/main" id="{00000000-0008-0000-2000-0000A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6" name="219 CuadroTexto">
          <a:extLst>
            <a:ext uri="{FF2B5EF4-FFF2-40B4-BE49-F238E27FC236}">
              <a16:creationId xmlns:a16="http://schemas.microsoft.com/office/drawing/2014/main" id="{00000000-0008-0000-2000-0000A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7" name="220 CuadroTexto">
          <a:extLst>
            <a:ext uri="{FF2B5EF4-FFF2-40B4-BE49-F238E27FC236}">
              <a16:creationId xmlns:a16="http://schemas.microsoft.com/office/drawing/2014/main" id="{00000000-0008-0000-2000-0000A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8" name="221 CuadroTexto">
          <a:extLst>
            <a:ext uri="{FF2B5EF4-FFF2-40B4-BE49-F238E27FC236}">
              <a16:creationId xmlns:a16="http://schemas.microsoft.com/office/drawing/2014/main" id="{00000000-0008-0000-2000-0000A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9" name="222 CuadroTexto">
          <a:extLst>
            <a:ext uri="{FF2B5EF4-FFF2-40B4-BE49-F238E27FC236}">
              <a16:creationId xmlns:a16="http://schemas.microsoft.com/office/drawing/2014/main" id="{00000000-0008-0000-2000-0000A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0" name="223 CuadroTexto">
          <a:extLst>
            <a:ext uri="{FF2B5EF4-FFF2-40B4-BE49-F238E27FC236}">
              <a16:creationId xmlns:a16="http://schemas.microsoft.com/office/drawing/2014/main" id="{00000000-0008-0000-2000-0000A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1" name="224 CuadroTexto">
          <a:extLst>
            <a:ext uri="{FF2B5EF4-FFF2-40B4-BE49-F238E27FC236}">
              <a16:creationId xmlns:a16="http://schemas.microsoft.com/office/drawing/2014/main" id="{00000000-0008-0000-2000-0000A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2" name="225 CuadroTexto">
          <a:extLst>
            <a:ext uri="{FF2B5EF4-FFF2-40B4-BE49-F238E27FC236}">
              <a16:creationId xmlns:a16="http://schemas.microsoft.com/office/drawing/2014/main" id="{00000000-0008-0000-2000-0000B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3" name="226 CuadroTexto">
          <a:extLst>
            <a:ext uri="{FF2B5EF4-FFF2-40B4-BE49-F238E27FC236}">
              <a16:creationId xmlns:a16="http://schemas.microsoft.com/office/drawing/2014/main" id="{00000000-0008-0000-2000-0000B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4" name="227 CuadroTexto">
          <a:extLst>
            <a:ext uri="{FF2B5EF4-FFF2-40B4-BE49-F238E27FC236}">
              <a16:creationId xmlns:a16="http://schemas.microsoft.com/office/drawing/2014/main" id="{00000000-0008-0000-2000-0000B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5" name="228 CuadroTexto">
          <a:extLst>
            <a:ext uri="{FF2B5EF4-FFF2-40B4-BE49-F238E27FC236}">
              <a16:creationId xmlns:a16="http://schemas.microsoft.com/office/drawing/2014/main" id="{00000000-0008-0000-2000-0000B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6" name="229 CuadroTexto">
          <a:extLst>
            <a:ext uri="{FF2B5EF4-FFF2-40B4-BE49-F238E27FC236}">
              <a16:creationId xmlns:a16="http://schemas.microsoft.com/office/drawing/2014/main" id="{00000000-0008-0000-2000-0000B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7" name="230 CuadroTexto">
          <a:extLst>
            <a:ext uri="{FF2B5EF4-FFF2-40B4-BE49-F238E27FC236}">
              <a16:creationId xmlns:a16="http://schemas.microsoft.com/office/drawing/2014/main" id="{00000000-0008-0000-2000-0000B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8" name="231 CuadroTexto">
          <a:extLst>
            <a:ext uri="{FF2B5EF4-FFF2-40B4-BE49-F238E27FC236}">
              <a16:creationId xmlns:a16="http://schemas.microsoft.com/office/drawing/2014/main" id="{00000000-0008-0000-2000-0000B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9" name="232 CuadroTexto">
          <a:extLst>
            <a:ext uri="{FF2B5EF4-FFF2-40B4-BE49-F238E27FC236}">
              <a16:creationId xmlns:a16="http://schemas.microsoft.com/office/drawing/2014/main" id="{00000000-0008-0000-2000-0000B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0" name="233 CuadroTexto">
          <a:extLst>
            <a:ext uri="{FF2B5EF4-FFF2-40B4-BE49-F238E27FC236}">
              <a16:creationId xmlns:a16="http://schemas.microsoft.com/office/drawing/2014/main" id="{00000000-0008-0000-2000-0000B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1" name="234 CuadroTexto">
          <a:extLst>
            <a:ext uri="{FF2B5EF4-FFF2-40B4-BE49-F238E27FC236}">
              <a16:creationId xmlns:a16="http://schemas.microsoft.com/office/drawing/2014/main" id="{00000000-0008-0000-2000-0000B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2" name="235 CuadroTexto">
          <a:extLst>
            <a:ext uri="{FF2B5EF4-FFF2-40B4-BE49-F238E27FC236}">
              <a16:creationId xmlns:a16="http://schemas.microsoft.com/office/drawing/2014/main" id="{00000000-0008-0000-2000-0000B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3" name="236 CuadroTexto">
          <a:extLst>
            <a:ext uri="{FF2B5EF4-FFF2-40B4-BE49-F238E27FC236}">
              <a16:creationId xmlns:a16="http://schemas.microsoft.com/office/drawing/2014/main" id="{00000000-0008-0000-2000-0000B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4" name="237 CuadroTexto">
          <a:extLst>
            <a:ext uri="{FF2B5EF4-FFF2-40B4-BE49-F238E27FC236}">
              <a16:creationId xmlns:a16="http://schemas.microsoft.com/office/drawing/2014/main" id="{00000000-0008-0000-2000-0000B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5" name="238 CuadroTexto">
          <a:extLst>
            <a:ext uri="{FF2B5EF4-FFF2-40B4-BE49-F238E27FC236}">
              <a16:creationId xmlns:a16="http://schemas.microsoft.com/office/drawing/2014/main" id="{00000000-0008-0000-2000-0000B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6" name="239 CuadroTexto">
          <a:extLst>
            <a:ext uri="{FF2B5EF4-FFF2-40B4-BE49-F238E27FC236}">
              <a16:creationId xmlns:a16="http://schemas.microsoft.com/office/drawing/2014/main" id="{00000000-0008-0000-2000-0000B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7" name="240 CuadroTexto">
          <a:extLst>
            <a:ext uri="{FF2B5EF4-FFF2-40B4-BE49-F238E27FC236}">
              <a16:creationId xmlns:a16="http://schemas.microsoft.com/office/drawing/2014/main" id="{00000000-0008-0000-2000-0000B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8" name="241 CuadroTexto">
          <a:extLst>
            <a:ext uri="{FF2B5EF4-FFF2-40B4-BE49-F238E27FC236}">
              <a16:creationId xmlns:a16="http://schemas.microsoft.com/office/drawing/2014/main" id="{00000000-0008-0000-2000-0000C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9" name="242 CuadroTexto">
          <a:extLst>
            <a:ext uri="{FF2B5EF4-FFF2-40B4-BE49-F238E27FC236}">
              <a16:creationId xmlns:a16="http://schemas.microsoft.com/office/drawing/2014/main" id="{00000000-0008-0000-2000-0000C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0" name="243 CuadroTexto">
          <a:extLst>
            <a:ext uri="{FF2B5EF4-FFF2-40B4-BE49-F238E27FC236}">
              <a16:creationId xmlns:a16="http://schemas.microsoft.com/office/drawing/2014/main" id="{00000000-0008-0000-2000-0000C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1" name="244 CuadroTexto">
          <a:extLst>
            <a:ext uri="{FF2B5EF4-FFF2-40B4-BE49-F238E27FC236}">
              <a16:creationId xmlns:a16="http://schemas.microsoft.com/office/drawing/2014/main" id="{00000000-0008-0000-2000-0000C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2" name="245 CuadroTexto">
          <a:extLst>
            <a:ext uri="{FF2B5EF4-FFF2-40B4-BE49-F238E27FC236}">
              <a16:creationId xmlns:a16="http://schemas.microsoft.com/office/drawing/2014/main" id="{00000000-0008-0000-2000-0000C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3" name="246 CuadroTexto">
          <a:extLst>
            <a:ext uri="{FF2B5EF4-FFF2-40B4-BE49-F238E27FC236}">
              <a16:creationId xmlns:a16="http://schemas.microsoft.com/office/drawing/2014/main" id="{00000000-0008-0000-2000-0000C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4" name="247 CuadroTexto">
          <a:extLst>
            <a:ext uri="{FF2B5EF4-FFF2-40B4-BE49-F238E27FC236}">
              <a16:creationId xmlns:a16="http://schemas.microsoft.com/office/drawing/2014/main" id="{00000000-0008-0000-2000-0000C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5" name="248 CuadroTexto">
          <a:extLst>
            <a:ext uri="{FF2B5EF4-FFF2-40B4-BE49-F238E27FC236}">
              <a16:creationId xmlns:a16="http://schemas.microsoft.com/office/drawing/2014/main" id="{00000000-0008-0000-2000-0000C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6" name="249 CuadroTexto">
          <a:extLst>
            <a:ext uri="{FF2B5EF4-FFF2-40B4-BE49-F238E27FC236}">
              <a16:creationId xmlns:a16="http://schemas.microsoft.com/office/drawing/2014/main" id="{00000000-0008-0000-2000-0000C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7" name="250 CuadroTexto">
          <a:extLst>
            <a:ext uri="{FF2B5EF4-FFF2-40B4-BE49-F238E27FC236}">
              <a16:creationId xmlns:a16="http://schemas.microsoft.com/office/drawing/2014/main" id="{00000000-0008-0000-2000-0000C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8" name="251 CuadroTexto">
          <a:extLst>
            <a:ext uri="{FF2B5EF4-FFF2-40B4-BE49-F238E27FC236}">
              <a16:creationId xmlns:a16="http://schemas.microsoft.com/office/drawing/2014/main" id="{00000000-0008-0000-2000-0000C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9" name="252 CuadroTexto">
          <a:extLst>
            <a:ext uri="{FF2B5EF4-FFF2-40B4-BE49-F238E27FC236}">
              <a16:creationId xmlns:a16="http://schemas.microsoft.com/office/drawing/2014/main" id="{00000000-0008-0000-2000-0000C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0" name="253 CuadroTexto">
          <a:extLst>
            <a:ext uri="{FF2B5EF4-FFF2-40B4-BE49-F238E27FC236}">
              <a16:creationId xmlns:a16="http://schemas.microsoft.com/office/drawing/2014/main" id="{00000000-0008-0000-2000-0000C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1" name="254 CuadroTexto">
          <a:extLst>
            <a:ext uri="{FF2B5EF4-FFF2-40B4-BE49-F238E27FC236}">
              <a16:creationId xmlns:a16="http://schemas.microsoft.com/office/drawing/2014/main" id="{00000000-0008-0000-2000-0000C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2" name="255 CuadroTexto">
          <a:extLst>
            <a:ext uri="{FF2B5EF4-FFF2-40B4-BE49-F238E27FC236}">
              <a16:creationId xmlns:a16="http://schemas.microsoft.com/office/drawing/2014/main" id="{00000000-0008-0000-2000-0000C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3" name="256 CuadroTexto">
          <a:extLst>
            <a:ext uri="{FF2B5EF4-FFF2-40B4-BE49-F238E27FC236}">
              <a16:creationId xmlns:a16="http://schemas.microsoft.com/office/drawing/2014/main" id="{00000000-0008-0000-2000-0000C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4" name="257 CuadroTexto">
          <a:extLst>
            <a:ext uri="{FF2B5EF4-FFF2-40B4-BE49-F238E27FC236}">
              <a16:creationId xmlns:a16="http://schemas.microsoft.com/office/drawing/2014/main" id="{00000000-0008-0000-2000-0000D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5" name="258 CuadroTexto">
          <a:extLst>
            <a:ext uri="{FF2B5EF4-FFF2-40B4-BE49-F238E27FC236}">
              <a16:creationId xmlns:a16="http://schemas.microsoft.com/office/drawing/2014/main" id="{00000000-0008-0000-2000-0000D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6" name="259 CuadroTexto">
          <a:extLst>
            <a:ext uri="{FF2B5EF4-FFF2-40B4-BE49-F238E27FC236}">
              <a16:creationId xmlns:a16="http://schemas.microsoft.com/office/drawing/2014/main" id="{00000000-0008-0000-2000-0000D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7" name="260 CuadroTexto">
          <a:extLst>
            <a:ext uri="{FF2B5EF4-FFF2-40B4-BE49-F238E27FC236}">
              <a16:creationId xmlns:a16="http://schemas.microsoft.com/office/drawing/2014/main" id="{00000000-0008-0000-2000-0000D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8" name="261 CuadroTexto">
          <a:extLst>
            <a:ext uri="{FF2B5EF4-FFF2-40B4-BE49-F238E27FC236}">
              <a16:creationId xmlns:a16="http://schemas.microsoft.com/office/drawing/2014/main" id="{00000000-0008-0000-2000-0000D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9" name="262 CuadroTexto">
          <a:extLst>
            <a:ext uri="{FF2B5EF4-FFF2-40B4-BE49-F238E27FC236}">
              <a16:creationId xmlns:a16="http://schemas.microsoft.com/office/drawing/2014/main" id="{00000000-0008-0000-2000-0000D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0" name="263 CuadroTexto">
          <a:extLst>
            <a:ext uri="{FF2B5EF4-FFF2-40B4-BE49-F238E27FC236}">
              <a16:creationId xmlns:a16="http://schemas.microsoft.com/office/drawing/2014/main" id="{00000000-0008-0000-2000-0000D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1" name="264 CuadroTexto">
          <a:extLst>
            <a:ext uri="{FF2B5EF4-FFF2-40B4-BE49-F238E27FC236}">
              <a16:creationId xmlns:a16="http://schemas.microsoft.com/office/drawing/2014/main" id="{00000000-0008-0000-2000-0000D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2" name="265 CuadroTexto">
          <a:extLst>
            <a:ext uri="{FF2B5EF4-FFF2-40B4-BE49-F238E27FC236}">
              <a16:creationId xmlns:a16="http://schemas.microsoft.com/office/drawing/2014/main" id="{00000000-0008-0000-2000-0000D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3" name="266 CuadroTexto">
          <a:extLst>
            <a:ext uri="{FF2B5EF4-FFF2-40B4-BE49-F238E27FC236}">
              <a16:creationId xmlns:a16="http://schemas.microsoft.com/office/drawing/2014/main" id="{00000000-0008-0000-2000-0000D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4" name="267 CuadroTexto">
          <a:extLst>
            <a:ext uri="{FF2B5EF4-FFF2-40B4-BE49-F238E27FC236}">
              <a16:creationId xmlns:a16="http://schemas.microsoft.com/office/drawing/2014/main" id="{00000000-0008-0000-2000-0000D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5" name="285 CuadroTexto">
          <a:extLst>
            <a:ext uri="{FF2B5EF4-FFF2-40B4-BE49-F238E27FC236}">
              <a16:creationId xmlns:a16="http://schemas.microsoft.com/office/drawing/2014/main" id="{00000000-0008-0000-2000-0000D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6" name="286 CuadroTexto">
          <a:extLst>
            <a:ext uri="{FF2B5EF4-FFF2-40B4-BE49-F238E27FC236}">
              <a16:creationId xmlns:a16="http://schemas.microsoft.com/office/drawing/2014/main" id="{00000000-0008-0000-2000-0000D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7" name="287 CuadroTexto">
          <a:extLst>
            <a:ext uri="{FF2B5EF4-FFF2-40B4-BE49-F238E27FC236}">
              <a16:creationId xmlns:a16="http://schemas.microsoft.com/office/drawing/2014/main" id="{00000000-0008-0000-2000-0000D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8" name="288 CuadroTexto">
          <a:extLst>
            <a:ext uri="{FF2B5EF4-FFF2-40B4-BE49-F238E27FC236}">
              <a16:creationId xmlns:a16="http://schemas.microsoft.com/office/drawing/2014/main" id="{00000000-0008-0000-2000-0000D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9" name="289 CuadroTexto">
          <a:extLst>
            <a:ext uri="{FF2B5EF4-FFF2-40B4-BE49-F238E27FC236}">
              <a16:creationId xmlns:a16="http://schemas.microsoft.com/office/drawing/2014/main" id="{00000000-0008-0000-2000-0000D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0" name="290 CuadroTexto">
          <a:extLst>
            <a:ext uri="{FF2B5EF4-FFF2-40B4-BE49-F238E27FC236}">
              <a16:creationId xmlns:a16="http://schemas.microsoft.com/office/drawing/2014/main" id="{00000000-0008-0000-2000-0000E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1" name="291 CuadroTexto">
          <a:extLst>
            <a:ext uri="{FF2B5EF4-FFF2-40B4-BE49-F238E27FC236}">
              <a16:creationId xmlns:a16="http://schemas.microsoft.com/office/drawing/2014/main" id="{00000000-0008-0000-2000-0000E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2" name="292 CuadroTexto">
          <a:extLst>
            <a:ext uri="{FF2B5EF4-FFF2-40B4-BE49-F238E27FC236}">
              <a16:creationId xmlns:a16="http://schemas.microsoft.com/office/drawing/2014/main" id="{00000000-0008-0000-2000-0000E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3" name="293 CuadroTexto">
          <a:extLst>
            <a:ext uri="{FF2B5EF4-FFF2-40B4-BE49-F238E27FC236}">
              <a16:creationId xmlns:a16="http://schemas.microsoft.com/office/drawing/2014/main" id="{00000000-0008-0000-2000-0000E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4" name="294 CuadroTexto">
          <a:extLst>
            <a:ext uri="{FF2B5EF4-FFF2-40B4-BE49-F238E27FC236}">
              <a16:creationId xmlns:a16="http://schemas.microsoft.com/office/drawing/2014/main" id="{00000000-0008-0000-2000-0000E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5" name="295 CuadroTexto">
          <a:extLst>
            <a:ext uri="{FF2B5EF4-FFF2-40B4-BE49-F238E27FC236}">
              <a16:creationId xmlns:a16="http://schemas.microsoft.com/office/drawing/2014/main" id="{00000000-0008-0000-2000-0000E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6" name="296 CuadroTexto">
          <a:extLst>
            <a:ext uri="{FF2B5EF4-FFF2-40B4-BE49-F238E27FC236}">
              <a16:creationId xmlns:a16="http://schemas.microsoft.com/office/drawing/2014/main" id="{00000000-0008-0000-2000-0000E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7" name="298 CuadroTexto">
          <a:extLst>
            <a:ext uri="{FF2B5EF4-FFF2-40B4-BE49-F238E27FC236}">
              <a16:creationId xmlns:a16="http://schemas.microsoft.com/office/drawing/2014/main" id="{00000000-0008-0000-2000-0000E7150000}"/>
            </a:ext>
          </a:extLst>
        </xdr:cNvPr>
        <xdr:cNvSpPr txBox="1"/>
      </xdr:nvSpPr>
      <xdr:spPr>
        <a:xfrm>
          <a:off x="1460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8" name="299 CuadroTexto">
          <a:extLst>
            <a:ext uri="{FF2B5EF4-FFF2-40B4-BE49-F238E27FC236}">
              <a16:creationId xmlns:a16="http://schemas.microsoft.com/office/drawing/2014/main" id="{00000000-0008-0000-2000-0000E8150000}"/>
            </a:ext>
          </a:extLst>
        </xdr:cNvPr>
        <xdr:cNvSpPr txBox="1"/>
      </xdr:nvSpPr>
      <xdr:spPr>
        <a:xfrm>
          <a:off x="1460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9" name="300 CuadroTexto">
          <a:extLst>
            <a:ext uri="{FF2B5EF4-FFF2-40B4-BE49-F238E27FC236}">
              <a16:creationId xmlns:a16="http://schemas.microsoft.com/office/drawing/2014/main" id="{00000000-0008-0000-2000-0000E9150000}"/>
            </a:ext>
          </a:extLst>
        </xdr:cNvPr>
        <xdr:cNvSpPr txBox="1"/>
      </xdr:nvSpPr>
      <xdr:spPr>
        <a:xfrm>
          <a:off x="1460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0" name="301 CuadroTexto">
          <a:extLst>
            <a:ext uri="{FF2B5EF4-FFF2-40B4-BE49-F238E27FC236}">
              <a16:creationId xmlns:a16="http://schemas.microsoft.com/office/drawing/2014/main" id="{00000000-0008-0000-2000-0000EA150000}"/>
            </a:ext>
          </a:extLst>
        </xdr:cNvPr>
        <xdr:cNvSpPr txBox="1"/>
      </xdr:nvSpPr>
      <xdr:spPr>
        <a:xfrm>
          <a:off x="1460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1" name="302 CuadroTexto">
          <a:extLst>
            <a:ext uri="{FF2B5EF4-FFF2-40B4-BE49-F238E27FC236}">
              <a16:creationId xmlns:a16="http://schemas.microsoft.com/office/drawing/2014/main" id="{00000000-0008-0000-2000-0000EB150000}"/>
            </a:ext>
          </a:extLst>
        </xdr:cNvPr>
        <xdr:cNvSpPr txBox="1"/>
      </xdr:nvSpPr>
      <xdr:spPr>
        <a:xfrm>
          <a:off x="1460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2" name="303 CuadroTexto">
          <a:extLst>
            <a:ext uri="{FF2B5EF4-FFF2-40B4-BE49-F238E27FC236}">
              <a16:creationId xmlns:a16="http://schemas.microsoft.com/office/drawing/2014/main" id="{00000000-0008-0000-2000-0000EC150000}"/>
            </a:ext>
          </a:extLst>
        </xdr:cNvPr>
        <xdr:cNvSpPr txBox="1"/>
      </xdr:nvSpPr>
      <xdr:spPr>
        <a:xfrm>
          <a:off x="1460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3" name="304 CuadroTexto">
          <a:extLst>
            <a:ext uri="{FF2B5EF4-FFF2-40B4-BE49-F238E27FC236}">
              <a16:creationId xmlns:a16="http://schemas.microsoft.com/office/drawing/2014/main" id="{00000000-0008-0000-2000-0000ED150000}"/>
            </a:ext>
          </a:extLst>
        </xdr:cNvPr>
        <xdr:cNvSpPr txBox="1"/>
      </xdr:nvSpPr>
      <xdr:spPr>
        <a:xfrm>
          <a:off x="1460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4" name="305 CuadroTexto">
          <a:extLst>
            <a:ext uri="{FF2B5EF4-FFF2-40B4-BE49-F238E27FC236}">
              <a16:creationId xmlns:a16="http://schemas.microsoft.com/office/drawing/2014/main" id="{00000000-0008-0000-2000-0000EE150000}"/>
            </a:ext>
          </a:extLst>
        </xdr:cNvPr>
        <xdr:cNvSpPr txBox="1"/>
      </xdr:nvSpPr>
      <xdr:spPr>
        <a:xfrm>
          <a:off x="146018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89686</xdr:colOff>
      <xdr:row>0</xdr:row>
      <xdr:rowOff>0</xdr:rowOff>
    </xdr:from>
    <xdr:ext cx="968598" cy="254557"/>
    <xdr:sp macro="" textlink="">
      <xdr:nvSpPr>
        <xdr:cNvPr id="4" name="2 CuadroTexto">
          <a:extLst>
            <a:ext uri="{FF2B5EF4-FFF2-40B4-BE49-F238E27FC236}">
              <a16:creationId xmlns:a16="http://schemas.microsoft.com/office/drawing/2014/main" id="{00000000-0008-0000-2200-000004000000}"/>
            </a:ext>
          </a:extLst>
        </xdr:cNvPr>
        <xdr:cNvSpPr txBox="1"/>
      </xdr:nvSpPr>
      <xdr:spPr>
        <a:xfrm>
          <a:off x="5204611" y="0"/>
          <a:ext cx="968598"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ETCA-IV-01</a:t>
          </a:r>
        </a:p>
      </xdr:txBody>
    </xdr:sp>
    <xdr:clientData/>
  </xdr:oneCellAnchor>
  <xdr:oneCellAnchor>
    <xdr:from>
      <xdr:col>3</xdr:col>
      <xdr:colOff>0</xdr:colOff>
      <xdr:row>3</xdr:row>
      <xdr:rowOff>142875</xdr:rowOff>
    </xdr:from>
    <xdr:ext cx="184731" cy="264560"/>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29</xdr:row>
      <xdr:rowOff>0</xdr:rowOff>
    </xdr:from>
    <xdr:ext cx="2905125" cy="662517"/>
    <xdr:sp macro="" textlink="">
      <xdr:nvSpPr>
        <xdr:cNvPr id="6" name="CuadroTexto 5">
          <a:extLst>
            <a:ext uri="{FF2B5EF4-FFF2-40B4-BE49-F238E27FC236}">
              <a16:creationId xmlns:a16="http://schemas.microsoft.com/office/drawing/2014/main" id="{00000000-0008-0000-2200-000006000000}"/>
            </a:ext>
          </a:extLst>
        </xdr:cNvPr>
        <xdr:cNvSpPr txBox="1"/>
      </xdr:nvSpPr>
      <xdr:spPr>
        <a:xfrm>
          <a:off x="0" y="6638925"/>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1</xdr:col>
      <xdr:colOff>2647950</xdr:colOff>
      <xdr:row>29</xdr:row>
      <xdr:rowOff>0</xdr:rowOff>
    </xdr:from>
    <xdr:ext cx="3200399" cy="662517"/>
    <xdr:sp macro="" textlink="">
      <xdr:nvSpPr>
        <xdr:cNvPr id="8" name="CuadroTexto 5">
          <a:extLst>
            <a:ext uri="{FF2B5EF4-FFF2-40B4-BE49-F238E27FC236}">
              <a16:creationId xmlns:a16="http://schemas.microsoft.com/office/drawing/2014/main" id="{00000000-0008-0000-2200-000008000000}"/>
            </a:ext>
          </a:extLst>
        </xdr:cNvPr>
        <xdr:cNvSpPr txBox="1"/>
      </xdr:nvSpPr>
      <xdr:spPr>
        <a:xfrm>
          <a:off x="2933700" y="6638925"/>
          <a:ext cx="3200399"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2</xdr:col>
      <xdr:colOff>314325</xdr:colOff>
      <xdr:row>4</xdr:row>
      <xdr:rowOff>9525</xdr:rowOff>
    </xdr:from>
    <xdr:ext cx="2790824" cy="254557"/>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3333750" y="8477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baseline="0">
              <a:latin typeface="Arial" pitchFamily="34" charset="0"/>
              <a:cs typeface="Arial" pitchFamily="34" charset="0"/>
            </a:rPr>
            <a:t> </a:t>
          </a:r>
          <a:r>
            <a:rPr lang="es-MX" sz="1100" b="1" u="sng">
              <a:latin typeface="Arial" pitchFamily="34" charset="0"/>
              <a:cs typeface="Arial" pitchFamily="34" charset="0"/>
            </a:rPr>
            <a:t>CUARTO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304800</xdr:colOff>
      <xdr:row>0</xdr:row>
      <xdr:rowOff>0</xdr:rowOff>
    </xdr:from>
    <xdr:ext cx="1477951" cy="254557"/>
    <xdr:sp macro="" textlink="">
      <xdr:nvSpPr>
        <xdr:cNvPr id="2" name="3 CuadroTexto">
          <a:extLst>
            <a:ext uri="{FF2B5EF4-FFF2-40B4-BE49-F238E27FC236}">
              <a16:creationId xmlns:a16="http://schemas.microsoft.com/office/drawing/2014/main" id="{00000000-0008-0000-2300-000002000000}"/>
            </a:ext>
          </a:extLst>
        </xdr:cNvPr>
        <xdr:cNvSpPr txBox="1"/>
      </xdr:nvSpPr>
      <xdr:spPr>
        <a:xfrm>
          <a:off x="5286375" y="0"/>
          <a:ext cx="14779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ETCA-IV-02</a:t>
          </a:r>
        </a:p>
      </xdr:txBody>
    </xdr:sp>
    <xdr:clientData/>
  </xdr:oneCellAnchor>
  <xdr:oneCellAnchor>
    <xdr:from>
      <xdr:col>1</xdr:col>
      <xdr:colOff>0</xdr:colOff>
      <xdr:row>90</xdr:row>
      <xdr:rowOff>0</xdr:rowOff>
    </xdr:from>
    <xdr:ext cx="3200400" cy="662517"/>
    <xdr:sp macro="" textlink="">
      <xdr:nvSpPr>
        <xdr:cNvPr id="5" name="CuadroTexto 5">
          <a:extLst>
            <a:ext uri="{FF2B5EF4-FFF2-40B4-BE49-F238E27FC236}">
              <a16:creationId xmlns:a16="http://schemas.microsoft.com/office/drawing/2014/main" id="{00000000-0008-0000-2300-000005000000}"/>
            </a:ext>
          </a:extLst>
        </xdr:cNvPr>
        <xdr:cNvSpPr txBox="1"/>
      </xdr:nvSpPr>
      <xdr:spPr>
        <a:xfrm>
          <a:off x="85725" y="17173575"/>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1</xdr:col>
      <xdr:colOff>3581401</xdr:colOff>
      <xdr:row>90</xdr:row>
      <xdr:rowOff>0</xdr:rowOff>
    </xdr:from>
    <xdr:ext cx="3248024" cy="662517"/>
    <xdr:sp macro="" textlink="">
      <xdr:nvSpPr>
        <xdr:cNvPr id="7" name="CuadroTexto 5">
          <a:extLst>
            <a:ext uri="{FF2B5EF4-FFF2-40B4-BE49-F238E27FC236}">
              <a16:creationId xmlns:a16="http://schemas.microsoft.com/office/drawing/2014/main" id="{00000000-0008-0000-2300-000007000000}"/>
            </a:ext>
          </a:extLst>
        </xdr:cNvPr>
        <xdr:cNvSpPr txBox="1"/>
      </xdr:nvSpPr>
      <xdr:spPr>
        <a:xfrm>
          <a:off x="3667126" y="16487775"/>
          <a:ext cx="3248024"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1</xdr:col>
      <xdr:colOff>4010025</xdr:colOff>
      <xdr:row>4</xdr:row>
      <xdr:rowOff>38100</xdr:rowOff>
    </xdr:from>
    <xdr:ext cx="2790824" cy="254557"/>
    <xdr:sp macro="" textlink="">
      <xdr:nvSpPr>
        <xdr:cNvPr id="6" name="5 CuadroTexto">
          <a:extLst>
            <a:ext uri="{FF2B5EF4-FFF2-40B4-BE49-F238E27FC236}">
              <a16:creationId xmlns:a16="http://schemas.microsoft.com/office/drawing/2014/main" id="{00000000-0008-0000-2300-000006000000}"/>
            </a:ext>
          </a:extLst>
        </xdr:cNvPr>
        <xdr:cNvSpPr txBox="1"/>
      </xdr:nvSpPr>
      <xdr:spPr>
        <a:xfrm>
          <a:off x="4095750" y="8477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:_CUARTO</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219075</xdr:colOff>
      <xdr:row>0</xdr:row>
      <xdr:rowOff>0</xdr:rowOff>
    </xdr:from>
    <xdr:ext cx="1222708" cy="257174"/>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52006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ETCA-IV-03</a:t>
          </a:r>
        </a:p>
      </xdr:txBody>
    </xdr:sp>
    <xdr:clientData/>
  </xdr:oneCellAnchor>
  <xdr:oneCellAnchor>
    <xdr:from>
      <xdr:col>3</xdr:col>
      <xdr:colOff>0</xdr:colOff>
      <xdr:row>3</xdr:row>
      <xdr:rowOff>142875</xdr:rowOff>
    </xdr:from>
    <xdr:ext cx="184731" cy="264560"/>
    <xdr:sp macro="" textlink="">
      <xdr:nvSpPr>
        <xdr:cNvPr id="4" name="4 CuadroTexto">
          <a:extLst>
            <a:ext uri="{FF2B5EF4-FFF2-40B4-BE49-F238E27FC236}">
              <a16:creationId xmlns:a16="http://schemas.microsoft.com/office/drawing/2014/main" id="{00000000-0008-0000-2400-000004000000}"/>
            </a:ext>
          </a:extLst>
        </xdr:cNvPr>
        <xdr:cNvSpPr txBox="1"/>
      </xdr:nvSpPr>
      <xdr:spPr>
        <a:xfrm>
          <a:off x="47720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2905125" cy="662517"/>
    <xdr:sp macro="" textlink="">
      <xdr:nvSpPr>
        <xdr:cNvPr id="5" name="CuadroTexto 5">
          <a:extLst>
            <a:ext uri="{FF2B5EF4-FFF2-40B4-BE49-F238E27FC236}">
              <a16:creationId xmlns:a16="http://schemas.microsoft.com/office/drawing/2014/main" id="{00000000-0008-0000-2400-000005000000}"/>
            </a:ext>
          </a:extLst>
        </xdr:cNvPr>
        <xdr:cNvSpPr txBox="1"/>
      </xdr:nvSpPr>
      <xdr:spPr>
        <a:xfrm>
          <a:off x="190500" y="8985250"/>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2</xdr:col>
      <xdr:colOff>0</xdr:colOff>
      <xdr:row>40</xdr:row>
      <xdr:rowOff>0</xdr:rowOff>
    </xdr:from>
    <xdr:ext cx="3725334" cy="662517"/>
    <xdr:sp macro="" textlink="">
      <xdr:nvSpPr>
        <xdr:cNvPr id="7" name="CuadroTexto 5">
          <a:extLst>
            <a:ext uri="{FF2B5EF4-FFF2-40B4-BE49-F238E27FC236}">
              <a16:creationId xmlns:a16="http://schemas.microsoft.com/office/drawing/2014/main" id="{00000000-0008-0000-2400-000007000000}"/>
            </a:ext>
          </a:extLst>
        </xdr:cNvPr>
        <xdr:cNvSpPr txBox="1"/>
      </xdr:nvSpPr>
      <xdr:spPr>
        <a:xfrm>
          <a:off x="2963333" y="8826500"/>
          <a:ext cx="3725334"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2</xdr:col>
      <xdr:colOff>793749</xdr:colOff>
      <xdr:row>3</xdr:row>
      <xdr:rowOff>201084</xdr:rowOff>
    </xdr:from>
    <xdr:ext cx="2790824" cy="254557"/>
    <xdr:sp macro="" textlink="">
      <xdr:nvSpPr>
        <xdr:cNvPr id="8" name="7 CuadroTexto">
          <a:extLst>
            <a:ext uri="{FF2B5EF4-FFF2-40B4-BE49-F238E27FC236}">
              <a16:creationId xmlns:a16="http://schemas.microsoft.com/office/drawing/2014/main" id="{00000000-0008-0000-2400-000008000000}"/>
            </a:ext>
          </a:extLst>
        </xdr:cNvPr>
        <xdr:cNvSpPr txBox="1"/>
      </xdr:nvSpPr>
      <xdr:spPr>
        <a:xfrm>
          <a:off x="3672416" y="836084"/>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CUARTO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3</xdr:row>
      <xdr:rowOff>142875</xdr:rowOff>
    </xdr:from>
    <xdr:ext cx="184731" cy="264560"/>
    <xdr:sp macro="" textlink="">
      <xdr:nvSpPr>
        <xdr:cNvPr id="3" name="4 CuadroTexto">
          <a:extLst>
            <a:ext uri="{FF2B5EF4-FFF2-40B4-BE49-F238E27FC236}">
              <a16:creationId xmlns:a16="http://schemas.microsoft.com/office/drawing/2014/main" id="{00000000-0008-0000-2500-000003000000}"/>
            </a:ext>
          </a:extLst>
        </xdr:cNvPr>
        <xdr:cNvSpPr txBox="1"/>
      </xdr:nvSpPr>
      <xdr:spPr>
        <a:xfrm>
          <a:off x="57721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47625</xdr:colOff>
      <xdr:row>37</xdr:row>
      <xdr:rowOff>9525</xdr:rowOff>
    </xdr:from>
    <xdr:ext cx="3048000" cy="662517"/>
    <xdr:sp macro="" textlink="">
      <xdr:nvSpPr>
        <xdr:cNvPr id="6" name="CuadroTexto 5">
          <a:extLst>
            <a:ext uri="{FF2B5EF4-FFF2-40B4-BE49-F238E27FC236}">
              <a16:creationId xmlns:a16="http://schemas.microsoft.com/office/drawing/2014/main" id="{00000000-0008-0000-2500-000006000000}"/>
            </a:ext>
          </a:extLst>
        </xdr:cNvPr>
        <xdr:cNvSpPr txBox="1"/>
      </xdr:nvSpPr>
      <xdr:spPr>
        <a:xfrm>
          <a:off x="47625" y="851677875"/>
          <a:ext cx="30480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algn="ctr"/>
          <a:endParaRPr lang="es-MX" sz="1100"/>
        </a:p>
      </xdr:txBody>
    </xdr:sp>
    <xdr:clientData/>
  </xdr:oneCellAnchor>
  <xdr:oneCellAnchor>
    <xdr:from>
      <xdr:col>2</xdr:col>
      <xdr:colOff>485775</xdr:colOff>
      <xdr:row>37</xdr:row>
      <xdr:rowOff>19050</xdr:rowOff>
    </xdr:from>
    <xdr:ext cx="3209925" cy="662517"/>
    <xdr:sp macro="" textlink="">
      <xdr:nvSpPr>
        <xdr:cNvPr id="7" name="CuadroTexto 5">
          <a:extLst>
            <a:ext uri="{FF2B5EF4-FFF2-40B4-BE49-F238E27FC236}">
              <a16:creationId xmlns:a16="http://schemas.microsoft.com/office/drawing/2014/main" id="{00000000-0008-0000-2500-000007000000}"/>
            </a:ext>
          </a:extLst>
        </xdr:cNvPr>
        <xdr:cNvSpPr txBox="1"/>
      </xdr:nvSpPr>
      <xdr:spPr>
        <a:xfrm>
          <a:off x="3371850" y="851715975"/>
          <a:ext cx="32099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2</xdr:col>
      <xdr:colOff>1552575</xdr:colOff>
      <xdr:row>4</xdr:row>
      <xdr:rowOff>12143</xdr:rowOff>
    </xdr:from>
    <xdr:ext cx="2667000" cy="254557"/>
    <xdr:sp macro="" textlink="">
      <xdr:nvSpPr>
        <xdr:cNvPr id="21" name="6 CuadroTexto">
          <a:extLst>
            <a:ext uri="{FF2B5EF4-FFF2-40B4-BE49-F238E27FC236}">
              <a16:creationId xmlns:a16="http://schemas.microsoft.com/office/drawing/2014/main" id="{00000000-0008-0000-2500-000015000000}"/>
            </a:ext>
          </a:extLst>
        </xdr:cNvPr>
        <xdr:cNvSpPr txBox="1"/>
      </xdr:nvSpPr>
      <xdr:spPr>
        <a:xfrm>
          <a:off x="4438650" y="850343"/>
          <a:ext cx="26670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:_CUARTO </a:t>
          </a:r>
        </a:p>
      </xdr:txBody>
    </xdr:sp>
    <xdr:clientData/>
  </xdr:oneCellAnchor>
  <xdr:oneCellAnchor>
    <xdr:from>
      <xdr:col>3</xdr:col>
      <xdr:colOff>190500</xdr:colOff>
      <xdr:row>0</xdr:row>
      <xdr:rowOff>0</xdr:rowOff>
    </xdr:from>
    <xdr:ext cx="1222708" cy="257174"/>
    <xdr:sp macro="" textlink="">
      <xdr:nvSpPr>
        <xdr:cNvPr id="20" name="2 CuadroTexto">
          <a:extLst>
            <a:ext uri="{FF2B5EF4-FFF2-40B4-BE49-F238E27FC236}">
              <a16:creationId xmlns:a16="http://schemas.microsoft.com/office/drawing/2014/main" id="{00000000-0008-0000-2500-000014000000}"/>
            </a:ext>
          </a:extLst>
        </xdr:cNvPr>
        <xdr:cNvSpPr txBox="1"/>
      </xdr:nvSpPr>
      <xdr:spPr>
        <a:xfrm>
          <a:off x="59626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ETCA-IV-04</a:t>
          </a:r>
        </a:p>
      </xdr:txBody>
    </xdr:sp>
    <xdr:clientData/>
  </xdr:oneCellAnchor>
  <xdr:twoCellAnchor>
    <xdr:from>
      <xdr:col>0</xdr:col>
      <xdr:colOff>85725</xdr:colOff>
      <xdr:row>10</xdr:row>
      <xdr:rowOff>114300</xdr:rowOff>
    </xdr:from>
    <xdr:to>
      <xdr:col>4</xdr:col>
      <xdr:colOff>0</xdr:colOff>
      <xdr:row>15</xdr:row>
      <xdr:rowOff>38100</xdr:rowOff>
    </xdr:to>
    <xdr:sp macro="" textlink="">
      <xdr:nvSpPr>
        <xdr:cNvPr id="5" name="CuadroTexto 4">
          <a:extLst>
            <a:ext uri="{FF2B5EF4-FFF2-40B4-BE49-F238E27FC236}">
              <a16:creationId xmlns:a16="http://schemas.microsoft.com/office/drawing/2014/main" id="{00000000-0008-0000-2500-000005000000}"/>
            </a:ext>
          </a:extLst>
        </xdr:cNvPr>
        <xdr:cNvSpPr txBox="1"/>
      </xdr:nvSpPr>
      <xdr:spPr>
        <a:xfrm>
          <a:off x="85725" y="2019300"/>
          <a:ext cx="710565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SE PRESENTA</a:t>
          </a:r>
          <a:r>
            <a:rPr lang="es-MX" sz="1600" b="1" baseline="0"/>
            <a:t> LA INFORMACION CORRESPONDIENTE EN CUENTA PUBLICA ANUAL</a:t>
          </a:r>
          <a:endParaRPr lang="es-MX" sz="16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1630509</xdr:colOff>
      <xdr:row>37</xdr:row>
      <xdr:rowOff>0</xdr:rowOff>
    </xdr:to>
    <xdr:pic>
      <xdr:nvPicPr>
        <xdr:cNvPr id="2" name="Imagen 1">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40509"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197909</xdr:colOff>
      <xdr:row>0</xdr:row>
      <xdr:rowOff>0</xdr:rowOff>
    </xdr:from>
    <xdr:ext cx="1222708" cy="257174"/>
    <xdr:sp macro="" textlink="">
      <xdr:nvSpPr>
        <xdr:cNvPr id="2" name="1 CuadroTexto">
          <a:extLst>
            <a:ext uri="{FF2B5EF4-FFF2-40B4-BE49-F238E27FC236}">
              <a16:creationId xmlns:a16="http://schemas.microsoft.com/office/drawing/2014/main" id="{00000000-0008-0000-2700-000002000000}"/>
            </a:ext>
          </a:extLst>
        </xdr:cNvPr>
        <xdr:cNvSpPr txBox="1"/>
      </xdr:nvSpPr>
      <xdr:spPr>
        <a:xfrm>
          <a:off x="5489576"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Anexo B</a:t>
          </a:r>
        </a:p>
      </xdr:txBody>
    </xdr:sp>
    <xdr:clientData/>
  </xdr:oneCellAnchor>
  <xdr:oneCellAnchor>
    <xdr:from>
      <xdr:col>4</xdr:col>
      <xdr:colOff>0</xdr:colOff>
      <xdr:row>3</xdr:row>
      <xdr:rowOff>142875</xdr:rowOff>
    </xdr:from>
    <xdr:ext cx="184731" cy="264560"/>
    <xdr:sp macro="" textlink="">
      <xdr:nvSpPr>
        <xdr:cNvPr id="3" name="4 CuadroTexto">
          <a:extLst>
            <a:ext uri="{FF2B5EF4-FFF2-40B4-BE49-F238E27FC236}">
              <a16:creationId xmlns:a16="http://schemas.microsoft.com/office/drawing/2014/main" id="{00000000-0008-0000-2700-000003000000}"/>
            </a:ext>
          </a:extLst>
        </xdr:cNvPr>
        <xdr:cNvSpPr txBox="1"/>
      </xdr:nvSpPr>
      <xdr:spPr>
        <a:xfrm>
          <a:off x="30099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116</xdr:row>
      <xdr:rowOff>127001</xdr:rowOff>
    </xdr:from>
    <xdr:ext cx="2905125" cy="662517"/>
    <xdr:sp macro="" textlink="">
      <xdr:nvSpPr>
        <xdr:cNvPr id="4" name="CuadroTexto 5">
          <a:extLst>
            <a:ext uri="{FF2B5EF4-FFF2-40B4-BE49-F238E27FC236}">
              <a16:creationId xmlns:a16="http://schemas.microsoft.com/office/drawing/2014/main" id="{00000000-0008-0000-2700-000004000000}"/>
            </a:ext>
          </a:extLst>
        </xdr:cNvPr>
        <xdr:cNvSpPr txBox="1"/>
      </xdr:nvSpPr>
      <xdr:spPr>
        <a:xfrm>
          <a:off x="0" y="21875751"/>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2</xdr:col>
      <xdr:colOff>1090083</xdr:colOff>
      <xdr:row>116</xdr:row>
      <xdr:rowOff>127001</xdr:rowOff>
    </xdr:from>
    <xdr:ext cx="3550709" cy="662517"/>
    <xdr:sp macro="" textlink="">
      <xdr:nvSpPr>
        <xdr:cNvPr id="5" name="CuadroTexto 5">
          <a:extLst>
            <a:ext uri="{FF2B5EF4-FFF2-40B4-BE49-F238E27FC236}">
              <a16:creationId xmlns:a16="http://schemas.microsoft.com/office/drawing/2014/main" id="{00000000-0008-0000-2700-000005000000}"/>
            </a:ext>
          </a:extLst>
        </xdr:cNvPr>
        <xdr:cNvSpPr txBox="1"/>
      </xdr:nvSpPr>
      <xdr:spPr>
        <a:xfrm>
          <a:off x="3249083" y="30363584"/>
          <a:ext cx="3550709"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xdr:col>
      <xdr:colOff>783166</xdr:colOff>
      <xdr:row>4</xdr:row>
      <xdr:rowOff>179915</xdr:rowOff>
    </xdr:from>
    <xdr:ext cx="2106084" cy="243417"/>
    <xdr:sp macro="" textlink="">
      <xdr:nvSpPr>
        <xdr:cNvPr id="6" name="5 CuadroTexto">
          <a:extLst>
            <a:ext uri="{FF2B5EF4-FFF2-40B4-BE49-F238E27FC236}">
              <a16:creationId xmlns:a16="http://schemas.microsoft.com/office/drawing/2014/main" id="{00000000-0008-0000-2700-000006000000}"/>
            </a:ext>
          </a:extLst>
        </xdr:cNvPr>
        <xdr:cNvSpPr txBox="1"/>
      </xdr:nvSpPr>
      <xdr:spPr>
        <a:xfrm>
          <a:off x="4519083" y="1026582"/>
          <a:ext cx="2106084" cy="2434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CUARTO  </a:t>
          </a:r>
        </a:p>
      </xdr:txBody>
    </xdr:sp>
    <xdr:clientData/>
  </xdr:oneCellAnchor>
  <xdr:oneCellAnchor>
    <xdr:from>
      <xdr:col>4</xdr:col>
      <xdr:colOff>219075</xdr:colOff>
      <xdr:row>114</xdr:row>
      <xdr:rowOff>0</xdr:rowOff>
    </xdr:from>
    <xdr:ext cx="1222708" cy="257174"/>
    <xdr:sp macro="" textlink="">
      <xdr:nvSpPr>
        <xdr:cNvPr id="7" name="6 CuadroTexto">
          <a:extLst>
            <a:ext uri="{FF2B5EF4-FFF2-40B4-BE49-F238E27FC236}">
              <a16:creationId xmlns:a16="http://schemas.microsoft.com/office/drawing/2014/main" id="{00000000-0008-0000-2700-000007000000}"/>
            </a:ext>
          </a:extLst>
        </xdr:cNvPr>
        <xdr:cNvSpPr txBox="1"/>
      </xdr:nvSpPr>
      <xdr:spPr>
        <a:xfrm>
          <a:off x="3228975" y="1466850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4</xdr:col>
      <xdr:colOff>0</xdr:colOff>
      <xdr:row>88</xdr:row>
      <xdr:rowOff>0</xdr:rowOff>
    </xdr:from>
    <xdr:ext cx="184731" cy="264560"/>
    <xdr:sp macro="" textlink="">
      <xdr:nvSpPr>
        <xdr:cNvPr id="8" name="4 CuadroTexto">
          <a:extLst>
            <a:ext uri="{FF2B5EF4-FFF2-40B4-BE49-F238E27FC236}">
              <a16:creationId xmlns:a16="http://schemas.microsoft.com/office/drawing/2014/main" id="{00000000-0008-0000-2700-000008000000}"/>
            </a:ext>
          </a:extLst>
        </xdr:cNvPr>
        <xdr:cNvSpPr txBox="1"/>
      </xdr:nvSpPr>
      <xdr:spPr>
        <a:xfrm>
          <a:off x="300990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98</xdr:row>
      <xdr:rowOff>0</xdr:rowOff>
    </xdr:from>
    <xdr:ext cx="184731" cy="264560"/>
    <xdr:sp macro="" textlink="">
      <xdr:nvSpPr>
        <xdr:cNvPr id="9" name="4 CuadroTexto">
          <a:extLst>
            <a:ext uri="{FF2B5EF4-FFF2-40B4-BE49-F238E27FC236}">
              <a16:creationId xmlns:a16="http://schemas.microsoft.com/office/drawing/2014/main" id="{00000000-0008-0000-2700-000009000000}"/>
            </a:ext>
          </a:extLst>
        </xdr:cNvPr>
        <xdr:cNvSpPr txBox="1"/>
      </xdr:nvSpPr>
      <xdr:spPr>
        <a:xfrm>
          <a:off x="3009900" y="91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106</xdr:row>
      <xdr:rowOff>0</xdr:rowOff>
    </xdr:from>
    <xdr:ext cx="184731" cy="264560"/>
    <xdr:sp macro="" textlink="">
      <xdr:nvSpPr>
        <xdr:cNvPr id="10" name="4 CuadroTexto">
          <a:extLst>
            <a:ext uri="{FF2B5EF4-FFF2-40B4-BE49-F238E27FC236}">
              <a16:creationId xmlns:a16="http://schemas.microsoft.com/office/drawing/2014/main" id="{00000000-0008-0000-2700-00000A000000}"/>
            </a:ext>
          </a:extLst>
        </xdr:cNvPr>
        <xdr:cNvSpPr txBox="1"/>
      </xdr:nvSpPr>
      <xdr:spPr>
        <a:xfrm>
          <a:off x="3009900"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85</xdr:row>
      <xdr:rowOff>0</xdr:rowOff>
    </xdr:from>
    <xdr:ext cx="1222708" cy="257174"/>
    <xdr:sp macro="" textlink="">
      <xdr:nvSpPr>
        <xdr:cNvPr id="11" name="6 CuadroTexto">
          <a:extLst>
            <a:ext uri="{FF2B5EF4-FFF2-40B4-BE49-F238E27FC236}">
              <a16:creationId xmlns:a16="http://schemas.microsoft.com/office/drawing/2014/main" id="{00000000-0008-0000-2700-00000B000000}"/>
            </a:ext>
          </a:extLst>
        </xdr:cNvPr>
        <xdr:cNvSpPr txBox="1"/>
      </xdr:nvSpPr>
      <xdr:spPr>
        <a:xfrm>
          <a:off x="5510742" y="21452417"/>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acienda.sonora.gob.mx/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YLOR/2018/CAJONES%20FINANCIEROS%202018/CPCA-2018/Cuenta%20Publica%20Presentada%20CEA%202018/FORMATOS%20CPCA%202018%20%20CE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valeria.lugo\Desktop\Cuenta%20publica\CEA\2019\2019\2019\4T\CTA%20CONTABLE%204T19.xlsx" TargetMode="External"/><Relationship Id="rId1" Type="http://schemas.openxmlformats.org/officeDocument/2006/relationships/externalLinkPath" Target="CTA%20CONTABLE%204T1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valeria.lugo\Desktop\Cuenta%20publica\CEA\2019\2019\2019\4T\CTA%20PRESUPUESTAL%204T19.xlsx" TargetMode="External"/><Relationship Id="rId1" Type="http://schemas.openxmlformats.org/officeDocument/2006/relationships/externalLinkPath" Target="CTA%20PRESUPUESTAL%204T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CPCA-I-01"/>
      <sheetName val="CPCA-I-02"/>
      <sheetName val="CPCA-I-03"/>
      <sheetName val="CPCA-I-04"/>
      <sheetName val="CPCA-I-05"/>
      <sheetName val="CPCA-I-06"/>
      <sheetName val="CPCA-I-07"/>
      <sheetName val="CPCA-I-08"/>
      <sheetName val="CPCA-I-09"/>
      <sheetName val="CPCA-I-10"/>
      <sheetName val="CPCA-I-11"/>
      <sheetName val="CPCA-I-12 (NOTAS)"/>
      <sheetName val="CPCA-II-01"/>
      <sheetName val="CPCA-II-02"/>
      <sheetName val="CPCA-II-03"/>
      <sheetName val="CPCA-II-04 "/>
      <sheetName val="Hoja1"/>
      <sheetName val="CPCA-II-05 "/>
      <sheetName val="CPCA-II-06 "/>
      <sheetName val="CPCA-II-07"/>
      <sheetName val="CPCA-II-08"/>
      <sheetName val="CPCA-II-09"/>
      <sheetName val="CPCA-II-10"/>
      <sheetName val="CPCA-II-11"/>
      <sheetName val="CPCA-II-12 "/>
      <sheetName val="CPCA-II-13 "/>
      <sheetName val="CPCA-II-14"/>
      <sheetName val="CPCA-II-15"/>
      <sheetName val="CPCA-II-16"/>
      <sheetName val="CPCA-II-17"/>
      <sheetName val="CPCA-III-01 "/>
      <sheetName val="CPCA-III-03"/>
      <sheetName val="CPCA-III-04"/>
      <sheetName val="CPCA-III-05"/>
      <sheetName val="CPCA-IV-01"/>
      <sheetName val="CPCA-IV-01 (2)"/>
      <sheetName val="CPCA-IV-02 "/>
      <sheetName val="CPCA-IV-02  (2)"/>
      <sheetName val="CPCA-IV-03"/>
      <sheetName val="CPCA-IV-04"/>
      <sheetName val="CPCP-IV-05"/>
      <sheetName val="ANEXO"/>
    </sheetNames>
    <sheetDataSet>
      <sheetData sheetId="0" refreshError="1"/>
      <sheetData sheetId="1" refreshError="1">
        <row r="3">
          <cell r="A3" t="str">
            <v xml:space="preserve">Comision Estatal del Agua </v>
          </cell>
          <cell r="B3">
            <v>0</v>
          </cell>
          <cell r="C3">
            <v>0</v>
          </cell>
          <cell r="D3">
            <v>0</v>
          </cell>
          <cell r="E3">
            <v>0</v>
          </cell>
          <cell r="F3">
            <v>0</v>
          </cell>
          <cell r="G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TCA-I-01"/>
      <sheetName val="ETCA-I-02"/>
      <sheetName val="ETCA-I-03"/>
      <sheetName val="ETCA-I-04"/>
      <sheetName val="ETCA-I-05"/>
      <sheetName val="ETCA-I-06"/>
      <sheetName val="ETCA-I-07"/>
      <sheetName val="ETCA-I-08"/>
      <sheetName val="ETCA-I-09"/>
      <sheetName val="ETCA-I-10"/>
      <sheetName val="ETCA-I-11"/>
      <sheetName val="ETCA-I-12 (NOTAS)"/>
    </sheetNames>
    <sheetDataSet>
      <sheetData sheetId="0">
        <row r="3">
          <cell r="A3" t="str">
            <v>Comision Estatal del Agua</v>
          </cell>
        </row>
        <row r="4">
          <cell r="A4" t="str">
            <v>Al 31 de Diciembre de 2019</v>
          </cell>
        </row>
      </sheetData>
      <sheetData sheetId="1">
        <row r="11">
          <cell r="B11">
            <v>92790522.239999995</v>
          </cell>
        </row>
        <row r="13">
          <cell r="B13">
            <v>27849569.350000001</v>
          </cell>
        </row>
        <row r="18">
          <cell r="B18">
            <v>0</v>
          </cell>
        </row>
        <row r="48">
          <cell r="B48">
            <v>0</v>
          </cell>
        </row>
      </sheetData>
      <sheetData sheetId="2">
        <row r="4">
          <cell r="A4" t="str">
            <v>Del 01 de Enero al 31 de Diciembre de 2019</v>
          </cell>
        </row>
        <row r="46">
          <cell r="C46">
            <v>30827493.890000001</v>
          </cell>
        </row>
      </sheetData>
      <sheetData sheetId="3"/>
      <sheetData sheetId="4" refreshError="1"/>
      <sheetData sheetId="5"/>
      <sheetData sheetId="6"/>
      <sheetData sheetId="7"/>
      <sheetData sheetId="8"/>
      <sheetData sheetId="9">
        <row r="4">
          <cell r="A4" t="str">
            <v>Del 01 de Enero al 31 de Diciembre de 2019</v>
          </cell>
        </row>
      </sheetData>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 -II- 13"/>
      <sheetName val="ETCA-II-14"/>
      <sheetName val="ETCA-II-15"/>
      <sheetName val="ETCA-II-16"/>
      <sheetName val="ETCA-II-17"/>
    </sheetNames>
    <sheetDataSet>
      <sheetData sheetId="0">
        <row r="45">
          <cell r="C45">
            <v>578850855.79999995</v>
          </cell>
        </row>
      </sheetData>
      <sheetData sheetId="1"/>
      <sheetData sheetId="2"/>
      <sheetData sheetId="3">
        <row r="81">
          <cell r="B81">
            <v>578850855.75</v>
          </cell>
          <cell r="C81">
            <v>370631441.71000004</v>
          </cell>
          <cell r="D81">
            <v>949482297.46000004</v>
          </cell>
          <cell r="E81">
            <v>693922767.47000003</v>
          </cell>
          <cell r="F81">
            <v>646587490.44000006</v>
          </cell>
          <cell r="G81">
            <v>255559529.99000001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45"/>
  <sheetViews>
    <sheetView tabSelected="1" view="pageBreakPreview" topLeftCell="A25" zoomScaleNormal="100" zoomScaleSheetLayoutView="100" workbookViewId="0">
      <selection activeCell="G42" sqref="G42"/>
    </sheetView>
  </sheetViews>
  <sheetFormatPr baseColWidth="10" defaultColWidth="11.28515625" defaultRowHeight="15" x14ac:dyDescent="0.25"/>
  <cols>
    <col min="1" max="1" width="47.7109375" style="39" bestFit="1" customWidth="1"/>
    <col min="2" max="2" width="11.28515625" style="15"/>
    <col min="3" max="3" width="12.28515625" style="15" customWidth="1"/>
    <col min="4" max="16384" width="11.28515625" style="15"/>
  </cols>
  <sheetData>
    <row r="1" spans="1:7" ht="16.5" customHeight="1" x14ac:dyDescent="0.25">
      <c r="A1" s="322" t="s">
        <v>1</v>
      </c>
      <c r="B1" s="322"/>
      <c r="C1" s="322"/>
      <c r="D1" s="322"/>
      <c r="E1" s="322"/>
      <c r="F1" s="322"/>
      <c r="G1" s="322"/>
    </row>
    <row r="2" spans="1:7" ht="16.5" customHeight="1" x14ac:dyDescent="0.25">
      <c r="A2" s="322" t="s">
        <v>27</v>
      </c>
      <c r="B2" s="322"/>
      <c r="C2" s="322"/>
      <c r="D2" s="322"/>
      <c r="E2" s="322"/>
      <c r="F2" s="322"/>
      <c r="G2" s="322"/>
    </row>
    <row r="3" spans="1:7" ht="15.75" x14ac:dyDescent="0.25">
      <c r="A3" s="324" t="str">
        <f>'[4]ETCA-I-01'!A3:G3</f>
        <v>Comision Estatal del Agua</v>
      </c>
      <c r="B3" s="324"/>
      <c r="C3" s="324"/>
      <c r="D3" s="324"/>
      <c r="E3" s="324"/>
      <c r="F3" s="324"/>
      <c r="G3" s="324"/>
    </row>
    <row r="4" spans="1:7" ht="16.5" x14ac:dyDescent="0.25">
      <c r="A4" s="323" t="str">
        <f>'[4]ETCA-I-03'!A4:D4</f>
        <v>Del 01 de Enero al 31 de Diciembre de 2019</v>
      </c>
      <c r="B4" s="323"/>
      <c r="C4" s="323"/>
      <c r="D4" s="323"/>
      <c r="E4" s="323"/>
      <c r="F4" s="323"/>
      <c r="G4" s="323"/>
    </row>
    <row r="5" spans="1:7" ht="17.25" thickBot="1" x14ac:dyDescent="0.3">
      <c r="A5" s="31"/>
      <c r="B5" s="325" t="s">
        <v>28</v>
      </c>
      <c r="C5" s="325"/>
      <c r="D5" s="325"/>
      <c r="E5" s="16"/>
      <c r="F5" s="14"/>
      <c r="G5" s="71"/>
    </row>
    <row r="6" spans="1:7" ht="38.25" x14ac:dyDescent="0.25">
      <c r="A6" s="314" t="s">
        <v>8</v>
      </c>
      <c r="B6" s="17" t="s">
        <v>16</v>
      </c>
      <c r="C6" s="17" t="s">
        <v>14</v>
      </c>
      <c r="D6" s="17" t="s">
        <v>17</v>
      </c>
      <c r="E6" s="18" t="s">
        <v>29</v>
      </c>
      <c r="F6" s="18" t="s">
        <v>30</v>
      </c>
      <c r="G6" s="17" t="s">
        <v>18</v>
      </c>
    </row>
    <row r="7" spans="1:7" ht="15.75" thickBot="1" x14ac:dyDescent="0.3">
      <c r="A7" s="315"/>
      <c r="B7" s="20" t="s">
        <v>10</v>
      </c>
      <c r="C7" s="20" t="s">
        <v>11</v>
      </c>
      <c r="D7" s="20" t="s">
        <v>19</v>
      </c>
      <c r="E7" s="32" t="s">
        <v>12</v>
      </c>
      <c r="F7" s="32" t="s">
        <v>13</v>
      </c>
      <c r="G7" s="20" t="s">
        <v>20</v>
      </c>
    </row>
    <row r="8" spans="1:7" ht="16.5" x14ac:dyDescent="0.25">
      <c r="A8" s="22"/>
      <c r="B8" s="33"/>
      <c r="C8" s="33"/>
      <c r="D8" s="33"/>
      <c r="E8" s="33"/>
      <c r="F8" s="33"/>
      <c r="G8" s="33"/>
    </row>
    <row r="9" spans="1:7" s="36" customFormat="1" x14ac:dyDescent="0.25">
      <c r="A9" s="34" t="s">
        <v>31</v>
      </c>
      <c r="B9" s="35"/>
      <c r="C9" s="35"/>
      <c r="D9" s="35"/>
      <c r="E9" s="35"/>
      <c r="F9" s="35"/>
      <c r="G9" s="35"/>
    </row>
    <row r="10" spans="1:7" s="38" customFormat="1" x14ac:dyDescent="0.25">
      <c r="A10" s="37" t="s">
        <v>184</v>
      </c>
      <c r="B10" s="62">
        <f>B12+B13</f>
        <v>0</v>
      </c>
      <c r="C10" s="62">
        <f>C12+C13</f>
        <v>0</v>
      </c>
      <c r="D10" s="62">
        <f>SUM(B10+C10)</f>
        <v>0</v>
      </c>
      <c r="E10" s="62">
        <f>E12+E13</f>
        <v>0</v>
      </c>
      <c r="F10" s="62">
        <f>F12+F13</f>
        <v>0</v>
      </c>
      <c r="G10" s="62">
        <f>SUM(D10-E10)</f>
        <v>0</v>
      </c>
    </row>
    <row r="11" spans="1:7" x14ac:dyDescent="0.25">
      <c r="A11" s="40"/>
      <c r="B11" s="63"/>
      <c r="C11" s="63"/>
      <c r="D11" s="63"/>
      <c r="E11" s="63"/>
      <c r="F11" s="63"/>
      <c r="G11" s="64"/>
    </row>
    <row r="12" spans="1:7" x14ac:dyDescent="0.25">
      <c r="A12" s="40" t="s">
        <v>32</v>
      </c>
      <c r="B12" s="63"/>
      <c r="C12" s="63"/>
      <c r="D12" s="64">
        <f>B12+C12</f>
        <v>0</v>
      </c>
      <c r="E12" s="63"/>
      <c r="F12" s="63"/>
      <c r="G12" s="64">
        <f>D12-E12</f>
        <v>0</v>
      </c>
    </row>
    <row r="13" spans="1:7" x14ac:dyDescent="0.25">
      <c r="A13" s="40" t="s">
        <v>33</v>
      </c>
      <c r="B13" s="63"/>
      <c r="C13" s="63"/>
      <c r="D13" s="64">
        <f>B13+C13</f>
        <v>0</v>
      </c>
      <c r="E13" s="63"/>
      <c r="F13" s="63"/>
      <c r="G13" s="64">
        <f>D13-E13</f>
        <v>0</v>
      </c>
    </row>
    <row r="14" spans="1:7" s="38" customFormat="1" x14ac:dyDescent="0.25">
      <c r="A14" s="37" t="s">
        <v>34</v>
      </c>
      <c r="B14" s="62">
        <f t="shared" ref="B14:G14" si="0">SUM(B15:B22)</f>
        <v>117900000</v>
      </c>
      <c r="C14" s="62">
        <f t="shared" si="0"/>
        <v>196696718.15000004</v>
      </c>
      <c r="D14" s="62">
        <f t="shared" si="0"/>
        <v>314596718.15000004</v>
      </c>
      <c r="E14" s="62">
        <f t="shared" si="0"/>
        <v>185697020.53</v>
      </c>
      <c r="F14" s="62">
        <f t="shared" si="0"/>
        <v>184488454.38000003</v>
      </c>
      <c r="G14" s="62">
        <f t="shared" si="0"/>
        <v>128899697.62000003</v>
      </c>
    </row>
    <row r="15" spans="1:7" x14ac:dyDescent="0.25">
      <c r="A15" s="40" t="s">
        <v>35</v>
      </c>
      <c r="B15" s="63"/>
      <c r="C15" s="63"/>
      <c r="D15" s="64">
        <f t="shared" ref="D15:D22" si="1">B15+C15</f>
        <v>0</v>
      </c>
      <c r="E15" s="63"/>
      <c r="F15" s="63"/>
      <c r="G15" s="64">
        <f>D15-E15</f>
        <v>0</v>
      </c>
    </row>
    <row r="16" spans="1:7" x14ac:dyDescent="0.25">
      <c r="A16" s="40" t="s">
        <v>36</v>
      </c>
      <c r="B16" s="63"/>
      <c r="C16" s="63"/>
      <c r="D16" s="64">
        <f t="shared" si="1"/>
        <v>0</v>
      </c>
      <c r="E16" s="63"/>
      <c r="F16" s="63"/>
      <c r="G16" s="64">
        <f t="shared" ref="G16:G39" si="2">D16-E16</f>
        <v>0</v>
      </c>
    </row>
    <row r="17" spans="1:7" x14ac:dyDescent="0.25">
      <c r="A17" s="40" t="s">
        <v>37</v>
      </c>
      <c r="B17" s="63"/>
      <c r="C17" s="63"/>
      <c r="D17" s="64">
        <f t="shared" si="1"/>
        <v>0</v>
      </c>
      <c r="E17" s="63"/>
      <c r="F17" s="63"/>
      <c r="G17" s="64">
        <f t="shared" si="2"/>
        <v>0</v>
      </c>
    </row>
    <row r="18" spans="1:7" x14ac:dyDescent="0.25">
      <c r="A18" s="40" t="s">
        <v>38</v>
      </c>
      <c r="B18" s="63"/>
      <c r="C18" s="63"/>
      <c r="D18" s="64">
        <f t="shared" si="1"/>
        <v>0</v>
      </c>
      <c r="E18" s="63"/>
      <c r="F18" s="63"/>
      <c r="G18" s="64">
        <f t="shared" si="2"/>
        <v>0</v>
      </c>
    </row>
    <row r="19" spans="1:7" x14ac:dyDescent="0.25">
      <c r="A19" s="40" t="s">
        <v>39</v>
      </c>
      <c r="B19" s="63"/>
      <c r="C19" s="63"/>
      <c r="D19" s="64">
        <f t="shared" si="1"/>
        <v>0</v>
      </c>
      <c r="E19" s="63"/>
      <c r="F19" s="63"/>
      <c r="G19" s="64">
        <f t="shared" si="2"/>
        <v>0</v>
      </c>
    </row>
    <row r="20" spans="1:7" ht="27" x14ac:dyDescent="0.25">
      <c r="A20" s="40" t="s">
        <v>40</v>
      </c>
      <c r="B20" s="63"/>
      <c r="C20" s="63"/>
      <c r="D20" s="64">
        <f t="shared" si="1"/>
        <v>0</v>
      </c>
      <c r="E20" s="63"/>
      <c r="F20" s="63"/>
      <c r="G20" s="64">
        <f t="shared" si="2"/>
        <v>0</v>
      </c>
    </row>
    <row r="21" spans="1:7" x14ac:dyDescent="0.25">
      <c r="A21" s="40" t="s">
        <v>41</v>
      </c>
      <c r="B21" s="63"/>
      <c r="C21" s="63"/>
      <c r="D21" s="64">
        <f t="shared" si="1"/>
        <v>0</v>
      </c>
      <c r="E21" s="63"/>
      <c r="F21" s="63"/>
      <c r="G21" s="64">
        <f t="shared" si="2"/>
        <v>0</v>
      </c>
    </row>
    <row r="22" spans="1:7" x14ac:dyDescent="0.25">
      <c r="A22" s="40" t="s">
        <v>42</v>
      </c>
      <c r="B22" s="63">
        <v>117900000</v>
      </c>
      <c r="C22" s="63">
        <v>196696718.15000004</v>
      </c>
      <c r="D22" s="64">
        <f t="shared" si="1"/>
        <v>314596718.15000004</v>
      </c>
      <c r="E22" s="63">
        <v>185697020.53</v>
      </c>
      <c r="F22" s="63">
        <v>184488454.38000003</v>
      </c>
      <c r="G22" s="64">
        <f t="shared" si="2"/>
        <v>128899697.62000003</v>
      </c>
    </row>
    <row r="23" spans="1:7" s="38" customFormat="1" x14ac:dyDescent="0.25">
      <c r="A23" s="37" t="s">
        <v>43</v>
      </c>
      <c r="B23" s="62">
        <f t="shared" ref="B23:G23" si="3">SUM(B24:B26)</f>
        <v>460950855.75</v>
      </c>
      <c r="C23" s="62">
        <f t="shared" si="3"/>
        <v>173934723.56</v>
      </c>
      <c r="D23" s="62">
        <f t="shared" si="3"/>
        <v>634885579.30999994</v>
      </c>
      <c r="E23" s="62">
        <f t="shared" si="3"/>
        <v>508225746.94000006</v>
      </c>
      <c r="F23" s="62">
        <f t="shared" si="3"/>
        <v>462099036.06000006</v>
      </c>
      <c r="G23" s="62">
        <f t="shared" si="3"/>
        <v>126659832.36999989</v>
      </c>
    </row>
    <row r="24" spans="1:7" ht="27" x14ac:dyDescent="0.25">
      <c r="A24" s="40" t="s">
        <v>44</v>
      </c>
      <c r="B24" s="63">
        <v>460950855.75</v>
      </c>
      <c r="C24" s="63">
        <v>173934723.56</v>
      </c>
      <c r="D24" s="64">
        <f>B24+C24</f>
        <v>634885579.30999994</v>
      </c>
      <c r="E24" s="63">
        <v>508225746.94000006</v>
      </c>
      <c r="F24" s="63">
        <v>462099036.06000006</v>
      </c>
      <c r="G24" s="64">
        <f t="shared" si="2"/>
        <v>126659832.36999989</v>
      </c>
    </row>
    <row r="25" spans="1:7" x14ac:dyDescent="0.25">
      <c r="A25" s="40" t="s">
        <v>45</v>
      </c>
      <c r="B25" s="63"/>
      <c r="C25" s="63"/>
      <c r="D25" s="64">
        <f>B25+C25</f>
        <v>0</v>
      </c>
      <c r="E25" s="63"/>
      <c r="F25" s="63"/>
      <c r="G25" s="64">
        <f t="shared" si="2"/>
        <v>0</v>
      </c>
    </row>
    <row r="26" spans="1:7" x14ac:dyDescent="0.25">
      <c r="A26" s="40" t="s">
        <v>46</v>
      </c>
      <c r="B26" s="63"/>
      <c r="C26" s="63"/>
      <c r="D26" s="64">
        <f>B26+C26</f>
        <v>0</v>
      </c>
      <c r="E26" s="63"/>
      <c r="F26" s="63"/>
      <c r="G26" s="64">
        <f t="shared" si="2"/>
        <v>0</v>
      </c>
    </row>
    <row r="27" spans="1:7" s="38" customFormat="1" x14ac:dyDescent="0.25">
      <c r="A27" s="37" t="s">
        <v>47</v>
      </c>
      <c r="B27" s="62">
        <f>B28+B29</f>
        <v>0</v>
      </c>
      <c r="C27" s="62">
        <f>C28+C29</f>
        <v>0</v>
      </c>
      <c r="D27" s="62">
        <f>SUM(D28:D29)</f>
        <v>0</v>
      </c>
      <c r="E27" s="62">
        <f>E28+E29</f>
        <v>0</v>
      </c>
      <c r="F27" s="62">
        <f>F28+F29</f>
        <v>0</v>
      </c>
      <c r="G27" s="62">
        <f>SUM(G28:G29)</f>
        <v>0</v>
      </c>
    </row>
    <row r="28" spans="1:7" x14ac:dyDescent="0.25">
      <c r="A28" s="40" t="s">
        <v>48</v>
      </c>
      <c r="B28" s="63"/>
      <c r="C28" s="63"/>
      <c r="D28" s="64">
        <f>B28+C28</f>
        <v>0</v>
      </c>
      <c r="E28" s="63"/>
      <c r="F28" s="63"/>
      <c r="G28" s="64">
        <f t="shared" si="2"/>
        <v>0</v>
      </c>
    </row>
    <row r="29" spans="1:7" x14ac:dyDescent="0.25">
      <c r="A29" s="40" t="s">
        <v>49</v>
      </c>
      <c r="B29" s="63"/>
      <c r="C29" s="63"/>
      <c r="D29" s="64">
        <f>B29+C29</f>
        <v>0</v>
      </c>
      <c r="E29" s="63"/>
      <c r="F29" s="63"/>
      <c r="G29" s="64">
        <f t="shared" si="2"/>
        <v>0</v>
      </c>
    </row>
    <row r="30" spans="1:7" s="38" customFormat="1" x14ac:dyDescent="0.25">
      <c r="A30" s="37" t="s">
        <v>50</v>
      </c>
      <c r="B30" s="62">
        <f>B31+B32+B33+B34</f>
        <v>0</v>
      </c>
      <c r="C30" s="62">
        <f>C31+C32+C33+C34</f>
        <v>0</v>
      </c>
      <c r="D30" s="62">
        <f>SUM(D31:D34)</f>
        <v>0</v>
      </c>
      <c r="E30" s="62">
        <f>E31+E32+E33+E34</f>
        <v>0</v>
      </c>
      <c r="F30" s="62">
        <f>F31+F32+F33+F34</f>
        <v>0</v>
      </c>
      <c r="G30" s="62">
        <f>SUM(G31:G34)</f>
        <v>0</v>
      </c>
    </row>
    <row r="31" spans="1:7" x14ac:dyDescent="0.25">
      <c r="A31" s="40" t="s">
        <v>5</v>
      </c>
      <c r="B31" s="63"/>
      <c r="C31" s="63"/>
      <c r="D31" s="64">
        <f>B31+C31</f>
        <v>0</v>
      </c>
      <c r="E31" s="63"/>
      <c r="F31" s="63"/>
      <c r="G31" s="64">
        <f t="shared" si="2"/>
        <v>0</v>
      </c>
    </row>
    <row r="32" spans="1:7" x14ac:dyDescent="0.25">
      <c r="A32" s="40" t="s">
        <v>51</v>
      </c>
      <c r="B32" s="63"/>
      <c r="C32" s="63"/>
      <c r="D32" s="64">
        <f>B32+C32</f>
        <v>0</v>
      </c>
      <c r="E32" s="63"/>
      <c r="F32" s="63"/>
      <c r="G32" s="64">
        <f t="shared" si="2"/>
        <v>0</v>
      </c>
    </row>
    <row r="33" spans="1:8" x14ac:dyDescent="0.25">
      <c r="A33" s="40" t="s">
        <v>52</v>
      </c>
      <c r="B33" s="63"/>
      <c r="C33" s="63"/>
      <c r="D33" s="64">
        <f>B33+C33</f>
        <v>0</v>
      </c>
      <c r="E33" s="63"/>
      <c r="F33" s="63"/>
      <c r="G33" s="64">
        <f t="shared" si="2"/>
        <v>0</v>
      </c>
    </row>
    <row r="34" spans="1:8" x14ac:dyDescent="0.25">
      <c r="A34" s="40" t="s">
        <v>53</v>
      </c>
      <c r="B34" s="63"/>
      <c r="C34" s="63"/>
      <c r="D34" s="64">
        <f>B34+C34</f>
        <v>0</v>
      </c>
      <c r="E34" s="63"/>
      <c r="F34" s="63"/>
      <c r="G34" s="64">
        <f t="shared" si="2"/>
        <v>0</v>
      </c>
    </row>
    <row r="35" spans="1:8" s="38" customFormat="1" x14ac:dyDescent="0.25">
      <c r="A35" s="37" t="s">
        <v>54</v>
      </c>
      <c r="B35" s="62">
        <f t="shared" ref="B35:G35" si="4">B36</f>
        <v>0</v>
      </c>
      <c r="C35" s="62">
        <f t="shared" si="4"/>
        <v>0</v>
      </c>
      <c r="D35" s="62">
        <f t="shared" si="4"/>
        <v>0</v>
      </c>
      <c r="E35" s="62">
        <f t="shared" si="4"/>
        <v>0</v>
      </c>
      <c r="F35" s="62">
        <f t="shared" si="4"/>
        <v>0</v>
      </c>
      <c r="G35" s="62">
        <f t="shared" si="4"/>
        <v>0</v>
      </c>
    </row>
    <row r="36" spans="1:8" x14ac:dyDescent="0.25">
      <c r="A36" s="40" t="s">
        <v>55</v>
      </c>
      <c r="B36" s="63"/>
      <c r="C36" s="63"/>
      <c r="D36" s="64">
        <f>B36+C36</f>
        <v>0</v>
      </c>
      <c r="E36" s="63"/>
      <c r="F36" s="63"/>
      <c r="G36" s="64">
        <f t="shared" si="2"/>
        <v>0</v>
      </c>
    </row>
    <row r="37" spans="1:8" s="38" customFormat="1" x14ac:dyDescent="0.25">
      <c r="A37" s="37" t="s">
        <v>56</v>
      </c>
      <c r="B37" s="65"/>
      <c r="C37" s="65"/>
      <c r="D37" s="62">
        <f>B37+C37</f>
        <v>0</v>
      </c>
      <c r="E37" s="65"/>
      <c r="F37" s="65"/>
      <c r="G37" s="62">
        <f t="shared" si="2"/>
        <v>0</v>
      </c>
    </row>
    <row r="38" spans="1:8" s="38" customFormat="1" ht="27" x14ac:dyDescent="0.25">
      <c r="A38" s="37" t="s">
        <v>57</v>
      </c>
      <c r="B38" s="65"/>
      <c r="C38" s="65"/>
      <c r="D38" s="62">
        <f>B38+C38</f>
        <v>0</v>
      </c>
      <c r="E38" s="65"/>
      <c r="F38" s="65"/>
      <c r="G38" s="62">
        <f t="shared" si="2"/>
        <v>0</v>
      </c>
    </row>
    <row r="39" spans="1:8" s="38" customFormat="1" ht="15.75" thickBot="1" x14ac:dyDescent="0.3">
      <c r="A39" s="37" t="s">
        <v>58</v>
      </c>
      <c r="B39" s="65"/>
      <c r="C39" s="65"/>
      <c r="D39" s="62">
        <f>B39+C39</f>
        <v>0</v>
      </c>
      <c r="E39" s="65"/>
      <c r="F39" s="65"/>
      <c r="G39" s="62">
        <f t="shared" si="2"/>
        <v>0</v>
      </c>
    </row>
    <row r="40" spans="1:8" ht="32.25" customHeight="1" thickBot="1" x14ac:dyDescent="0.3">
      <c r="A40" s="21" t="s">
        <v>21</v>
      </c>
      <c r="B40" s="66">
        <f t="shared" ref="B40:G40" si="5">SUM(B$10,B$14,B$23,B$27,B$30,B$35,B$37,B$38,B$39)</f>
        <v>578850855.75</v>
      </c>
      <c r="C40" s="66">
        <f t="shared" si="5"/>
        <v>370631441.71000004</v>
      </c>
      <c r="D40" s="66">
        <f t="shared" si="5"/>
        <v>949482297.46000004</v>
      </c>
      <c r="E40" s="66">
        <f t="shared" si="5"/>
        <v>693922767.47000003</v>
      </c>
      <c r="F40" s="66">
        <f t="shared" si="5"/>
        <v>646587490.44000006</v>
      </c>
      <c r="G40" s="66">
        <f t="shared" si="5"/>
        <v>255559529.98999992</v>
      </c>
      <c r="H40" s="69" t="str">
        <f>IF((B40-'[5]ETCA II-04'!B81)&gt;0.9,"ERROR!!!!! EL MONTO NO COINCIDE CON LO REPORTADO EN EL FORMATO ETCA-II-04 EN EL TOTAL APROBADO ANUAL DEL ANALÍTICO DE EGRESOS","")</f>
        <v/>
      </c>
    </row>
    <row r="41" spans="1:8" ht="18" customHeight="1" x14ac:dyDescent="0.25">
      <c r="A41" s="67"/>
      <c r="B41" s="70"/>
      <c r="C41" s="70"/>
      <c r="D41" s="70"/>
      <c r="E41" s="70"/>
      <c r="F41" s="70"/>
      <c r="G41" s="70"/>
      <c r="H41" s="69" t="str">
        <f>IF((C40-'[5]ETCA II-04'!C81)&gt;0.9,"ERROR!!!!! EL MONTO NO COINCIDE CON LO REPORTADO EN EL FORMATO ETCA-II-04 EN EL TOTAL DE AMPLIACIONES/REDUCCIONES PRESENTADO EN EL ANALÍTICO DE EGRESOS","")</f>
        <v/>
      </c>
    </row>
    <row r="42" spans="1:8" ht="18" customHeight="1" x14ac:dyDescent="0.25">
      <c r="A42" s="67"/>
      <c r="B42" s="70"/>
      <c r="C42" s="70"/>
      <c r="D42" s="70"/>
      <c r="E42" s="70"/>
      <c r="F42" s="70"/>
      <c r="G42" s="70"/>
      <c r="H42" s="69" t="str">
        <f>IF((D40-'[5]ETCA II-04'!D81)&gt;0.9,"ERROR!!!!! EL MONTO NO COINCIDE CON LO REPORTADO EN EL FORMATO ETCA-II-04 EN EL TOTAL MODIFICADO ANUAL PRESENTADO EN EL ANALÍTICO DE EGRESOS","")</f>
        <v/>
      </c>
    </row>
    <row r="43" spans="1:8" ht="18" customHeight="1" x14ac:dyDescent="0.25">
      <c r="A43" s="67"/>
      <c r="B43" s="70"/>
      <c r="C43" s="70"/>
      <c r="D43" s="70"/>
      <c r="E43" s="70"/>
      <c r="F43" s="70"/>
      <c r="G43" s="70"/>
      <c r="H43" s="69" t="str">
        <f>IF((E40-'[5]ETCA II-04'!E81)&gt;0.9,"ERROR!!!!! EL MONTO NO COINCIDE CON LO REPORTADO EN EL FORMATO ETCA-II-04 EN EL TOTAL DEVENGADO ANUAL PRESENTADO EN EL ANALÍTICO DE EGRESOS","")</f>
        <v/>
      </c>
    </row>
    <row r="44" spans="1:8" ht="18" customHeight="1" x14ac:dyDescent="0.25">
      <c r="A44" s="67"/>
      <c r="B44" s="70"/>
      <c r="C44" s="70"/>
      <c r="D44" s="70"/>
      <c r="E44" s="70"/>
      <c r="F44" s="70"/>
      <c r="G44" s="70"/>
      <c r="H44" s="69" t="str">
        <f>IF((F40-'[5]ETCA II-04'!F81)&gt;0.9,"ERROR!!!!! EL MONTO NO COINCIDE CON LO REPORTADO EN EL FORMATO ETCA-II-04 EN EL TOTAL PAGADO ANUAL PRESENTADO EN EL ANALÍTICO DE EGRESOS","")</f>
        <v/>
      </c>
    </row>
    <row r="45" spans="1:8" ht="18" customHeight="1" x14ac:dyDescent="0.25">
      <c r="H45" s="69" t="str">
        <f>IF((G40-'[5]ETCA II-04'!G81)&gt;0.9,"ERROR!!!!! EL MONTO NO COINCIDE CON LO REPORTADO EN EL FORMATO ETCA-II-04 EN EL TOTAL SUBEJERCICIO PRESENTADO EN EL ANALÍTICO DE EGRESOS","")</f>
        <v/>
      </c>
    </row>
  </sheetData>
  <sheetProtection password="C115" sheet="1" scenarios="1" formatColumns="0" formatRows="0" insertHyperlinks="0"/>
  <mergeCells count="6">
    <mergeCell ref="A1:G1"/>
    <mergeCell ref="A2:G2"/>
    <mergeCell ref="A4:G4"/>
    <mergeCell ref="A3:G3"/>
    <mergeCell ref="A6:A7"/>
    <mergeCell ref="B5:D5"/>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76"/>
  <sheetViews>
    <sheetView view="pageBreakPreview" topLeftCell="A67" zoomScale="90" zoomScaleNormal="100" zoomScaleSheetLayoutView="90" workbookViewId="0">
      <selection activeCell="D65" sqref="D65"/>
    </sheetView>
  </sheetViews>
  <sheetFormatPr baseColWidth="10" defaultColWidth="11.28515625" defaultRowHeight="16.5" x14ac:dyDescent="0.3"/>
  <cols>
    <col min="1" max="1" width="1.85546875" style="1" customWidth="1"/>
    <col min="2" max="2" width="34.7109375" style="1" customWidth="1"/>
    <col min="3" max="3" width="20.85546875" style="1" customWidth="1"/>
    <col min="4" max="4" width="25.7109375" style="1" customWidth="1"/>
    <col min="5" max="5" width="19.85546875" style="1" customWidth="1"/>
    <col min="6" max="16384" width="11.28515625" style="1"/>
  </cols>
  <sheetData>
    <row r="1" spans="1:7" ht="16.5" customHeight="1" x14ac:dyDescent="0.3">
      <c r="A1" s="316" t="s">
        <v>59</v>
      </c>
      <c r="B1" s="316"/>
      <c r="C1" s="316"/>
      <c r="D1" s="316"/>
      <c r="E1" s="316"/>
    </row>
    <row r="2" spans="1:7" x14ac:dyDescent="0.3">
      <c r="A2" s="328" t="s">
        <v>60</v>
      </c>
      <c r="B2" s="328"/>
      <c r="C2" s="328"/>
      <c r="D2" s="328"/>
      <c r="E2" s="328"/>
    </row>
    <row r="3" spans="1:7" x14ac:dyDescent="0.3">
      <c r="A3" s="311" t="str">
        <f>'[4]ETCA-I-01'!A3:G3</f>
        <v>Comision Estatal del Agua</v>
      </c>
      <c r="B3" s="311"/>
      <c r="C3" s="311"/>
      <c r="D3" s="311"/>
      <c r="E3" s="311"/>
      <c r="G3" s="41"/>
    </row>
    <row r="4" spans="1:7" x14ac:dyDescent="0.3">
      <c r="A4" s="328" t="str">
        <f>'[4]ETCA-I-03'!A4:D4</f>
        <v>Del 01 de Enero al 31 de Diciembre de 2019</v>
      </c>
      <c r="B4" s="328"/>
      <c r="C4" s="328"/>
      <c r="D4" s="328"/>
      <c r="E4" s="328"/>
    </row>
    <row r="5" spans="1:7" x14ac:dyDescent="0.3">
      <c r="A5" s="42"/>
      <c r="B5" s="42"/>
      <c r="C5" s="42" t="s">
        <v>61</v>
      </c>
      <c r="D5" s="2"/>
      <c r="E5" s="42"/>
    </row>
    <row r="6" spans="1:7" ht="6.75" customHeight="1" thickBot="1" x14ac:dyDescent="0.35"/>
    <row r="7" spans="1:7" s="4" customFormat="1" x14ac:dyDescent="0.25">
      <c r="A7" s="329"/>
      <c r="B7" s="330"/>
      <c r="C7" s="176"/>
      <c r="D7" s="176"/>
      <c r="E7" s="50"/>
    </row>
    <row r="8" spans="1:7" s="4" customFormat="1" ht="14.25" customHeight="1" x14ac:dyDescent="0.25">
      <c r="A8" s="44"/>
      <c r="B8" s="49" t="s">
        <v>62</v>
      </c>
      <c r="C8" s="43"/>
      <c r="D8" s="43"/>
      <c r="E8" s="7"/>
    </row>
    <row r="9" spans="1:7" s="4" customFormat="1" x14ac:dyDescent="0.25">
      <c r="A9" s="5"/>
      <c r="C9" s="43"/>
      <c r="D9" s="43"/>
      <c r="E9" s="7"/>
    </row>
    <row r="10" spans="1:7" s="4" customFormat="1" ht="18.75" thickBot="1" x14ac:dyDescent="0.3">
      <c r="A10" s="74"/>
      <c r="B10" s="77" t="s">
        <v>63</v>
      </c>
      <c r="C10" s="76"/>
      <c r="D10" s="73" t="s">
        <v>64</v>
      </c>
      <c r="E10" s="75" t="s">
        <v>65</v>
      </c>
    </row>
    <row r="11" spans="1:7" s="4" customFormat="1" ht="108.75" customHeight="1" x14ac:dyDescent="0.25">
      <c r="A11" s="44"/>
      <c r="B11" s="333" t="s">
        <v>577</v>
      </c>
      <c r="C11" s="334"/>
      <c r="D11" s="277">
        <v>1710985.84</v>
      </c>
      <c r="E11" s="232" t="s">
        <v>519</v>
      </c>
    </row>
    <row r="12" spans="1:7" s="4" customFormat="1" ht="67.5" customHeight="1" x14ac:dyDescent="0.25">
      <c r="A12" s="44"/>
      <c r="B12" s="331" t="s">
        <v>520</v>
      </c>
      <c r="C12" s="332"/>
      <c r="D12" s="278">
        <v>742538.99</v>
      </c>
      <c r="E12" s="233" t="s">
        <v>519</v>
      </c>
    </row>
    <row r="13" spans="1:7" s="4" customFormat="1" ht="66" customHeight="1" x14ac:dyDescent="0.25">
      <c r="A13" s="44"/>
      <c r="B13" s="331" t="s">
        <v>521</v>
      </c>
      <c r="C13" s="332"/>
      <c r="D13" s="278">
        <v>411500.27</v>
      </c>
      <c r="E13" s="233" t="s">
        <v>519</v>
      </c>
    </row>
    <row r="14" spans="1:7" s="4" customFormat="1" ht="72" customHeight="1" x14ac:dyDescent="0.25">
      <c r="A14" s="44"/>
      <c r="B14" s="331" t="s">
        <v>522</v>
      </c>
      <c r="C14" s="332"/>
      <c r="D14" s="278">
        <v>670754.64</v>
      </c>
      <c r="E14" s="233" t="s">
        <v>519</v>
      </c>
    </row>
    <row r="15" spans="1:7" s="4" customFormat="1" ht="90" customHeight="1" x14ac:dyDescent="0.25">
      <c r="A15" s="44"/>
      <c r="B15" s="331" t="s">
        <v>523</v>
      </c>
      <c r="C15" s="332"/>
      <c r="D15" s="278">
        <v>13542682.140000001</v>
      </c>
      <c r="E15" s="233" t="s">
        <v>519</v>
      </c>
    </row>
    <row r="16" spans="1:7" s="4" customFormat="1" ht="67.5" customHeight="1" x14ac:dyDescent="0.25">
      <c r="A16" s="44"/>
      <c r="B16" s="331" t="s">
        <v>524</v>
      </c>
      <c r="C16" s="332"/>
      <c r="D16" s="278">
        <v>577986.61</v>
      </c>
      <c r="E16" s="233" t="s">
        <v>519</v>
      </c>
    </row>
    <row r="17" spans="1:5" s="4" customFormat="1" ht="62.25" customHeight="1" x14ac:dyDescent="0.25">
      <c r="A17" s="44"/>
      <c r="B17" s="331" t="s">
        <v>525</v>
      </c>
      <c r="C17" s="332"/>
      <c r="D17" s="278">
        <v>3065222.22</v>
      </c>
      <c r="E17" s="233" t="s">
        <v>519</v>
      </c>
    </row>
    <row r="18" spans="1:5" s="4" customFormat="1" ht="63.75" customHeight="1" x14ac:dyDescent="0.25">
      <c r="A18" s="44"/>
      <c r="B18" s="331" t="s">
        <v>526</v>
      </c>
      <c r="C18" s="332"/>
      <c r="D18" s="278">
        <v>1681269.94</v>
      </c>
      <c r="E18" s="233" t="s">
        <v>519</v>
      </c>
    </row>
    <row r="19" spans="1:5" s="4" customFormat="1" ht="55.5" customHeight="1" x14ac:dyDescent="0.25">
      <c r="A19" s="44"/>
      <c r="B19" s="331" t="s">
        <v>527</v>
      </c>
      <c r="C19" s="332"/>
      <c r="D19" s="278">
        <v>795555.94</v>
      </c>
      <c r="E19" s="233" t="s">
        <v>519</v>
      </c>
    </row>
    <row r="20" spans="1:5" s="4" customFormat="1" ht="61.5" customHeight="1" x14ac:dyDescent="0.25">
      <c r="A20" s="44"/>
      <c r="B20" s="331" t="s">
        <v>528</v>
      </c>
      <c r="C20" s="332"/>
      <c r="D20" s="278">
        <v>2859759.75</v>
      </c>
      <c r="E20" s="233" t="s">
        <v>519</v>
      </c>
    </row>
    <row r="21" spans="1:5" s="4" customFormat="1" ht="65.25" customHeight="1" x14ac:dyDescent="0.25">
      <c r="A21" s="44"/>
      <c r="B21" s="331" t="s">
        <v>529</v>
      </c>
      <c r="C21" s="332"/>
      <c r="D21" s="278">
        <v>1487495.81</v>
      </c>
      <c r="E21" s="233" t="s">
        <v>519</v>
      </c>
    </row>
    <row r="22" spans="1:5" s="4" customFormat="1" ht="72.75" customHeight="1" x14ac:dyDescent="0.25">
      <c r="A22" s="44"/>
      <c r="B22" s="331" t="s">
        <v>530</v>
      </c>
      <c r="C22" s="332"/>
      <c r="D22" s="278">
        <v>822042.62</v>
      </c>
      <c r="E22" s="233" t="s">
        <v>519</v>
      </c>
    </row>
    <row r="23" spans="1:5" s="4" customFormat="1" ht="66" customHeight="1" x14ac:dyDescent="0.25">
      <c r="A23" s="223"/>
      <c r="B23" s="331" t="s">
        <v>531</v>
      </c>
      <c r="C23" s="332"/>
      <c r="D23" s="278">
        <v>484992.2</v>
      </c>
      <c r="E23" s="233" t="s">
        <v>519</v>
      </c>
    </row>
    <row r="24" spans="1:5" s="4" customFormat="1" ht="57" customHeight="1" x14ac:dyDescent="0.25">
      <c r="A24" s="44"/>
      <c r="B24" s="331" t="s">
        <v>532</v>
      </c>
      <c r="C24" s="332"/>
      <c r="D24" s="278">
        <v>585135.75</v>
      </c>
      <c r="E24" s="233" t="s">
        <v>519</v>
      </c>
    </row>
    <row r="25" spans="1:5" s="4" customFormat="1" ht="106.5" customHeight="1" x14ac:dyDescent="0.25">
      <c r="A25" s="44"/>
      <c r="B25" s="331" t="s">
        <v>547</v>
      </c>
      <c r="C25" s="332"/>
      <c r="D25" s="278">
        <v>6175806.2199999997</v>
      </c>
      <c r="E25" s="233" t="s">
        <v>519</v>
      </c>
    </row>
    <row r="26" spans="1:5" s="4" customFormat="1" ht="75" customHeight="1" x14ac:dyDescent="0.25">
      <c r="A26" s="44"/>
      <c r="B26" s="331" t="s">
        <v>548</v>
      </c>
      <c r="C26" s="332"/>
      <c r="D26" s="278">
        <v>6201521.5599999996</v>
      </c>
      <c r="E26" s="233" t="s">
        <v>519</v>
      </c>
    </row>
    <row r="27" spans="1:5" s="4" customFormat="1" ht="64.5" customHeight="1" x14ac:dyDescent="0.25">
      <c r="A27" s="44"/>
      <c r="B27" s="331" t="s">
        <v>533</v>
      </c>
      <c r="C27" s="332"/>
      <c r="D27" s="278">
        <v>3592211.68</v>
      </c>
      <c r="E27" s="233" t="s">
        <v>519</v>
      </c>
    </row>
    <row r="28" spans="1:5" s="4" customFormat="1" ht="66.75" customHeight="1" x14ac:dyDescent="0.25">
      <c r="A28" s="44"/>
      <c r="B28" s="331" t="s">
        <v>534</v>
      </c>
      <c r="C28" s="332"/>
      <c r="D28" s="278">
        <v>9452734.9800000004</v>
      </c>
      <c r="E28" s="233" t="s">
        <v>519</v>
      </c>
    </row>
    <row r="29" spans="1:5" s="4" customFormat="1" ht="62.25" customHeight="1" x14ac:dyDescent="0.25">
      <c r="A29" s="44"/>
      <c r="B29" s="331" t="s">
        <v>535</v>
      </c>
      <c r="C29" s="332"/>
      <c r="D29" s="278">
        <v>8299798.1100000003</v>
      </c>
      <c r="E29" s="233" t="s">
        <v>519</v>
      </c>
    </row>
    <row r="30" spans="1:5" s="4" customFormat="1" ht="62.25" customHeight="1" x14ac:dyDescent="0.25">
      <c r="A30" s="44"/>
      <c r="B30" s="331" t="s">
        <v>549</v>
      </c>
      <c r="C30" s="332"/>
      <c r="D30" s="278">
        <v>14474088.09</v>
      </c>
      <c r="E30" s="233" t="s">
        <v>519</v>
      </c>
    </row>
    <row r="31" spans="1:5" s="4" customFormat="1" ht="62.25" customHeight="1" x14ac:dyDescent="0.25">
      <c r="A31" s="44"/>
      <c r="B31" s="331" t="s">
        <v>550</v>
      </c>
      <c r="C31" s="332"/>
      <c r="D31" s="278">
        <v>1000000</v>
      </c>
      <c r="E31" s="233" t="s">
        <v>519</v>
      </c>
    </row>
    <row r="32" spans="1:5" s="4" customFormat="1" ht="72.75" customHeight="1" x14ac:dyDescent="0.25">
      <c r="A32" s="44"/>
      <c r="B32" s="331" t="s">
        <v>551</v>
      </c>
      <c r="C32" s="332"/>
      <c r="D32" s="278">
        <v>3074950.78</v>
      </c>
      <c r="E32" s="233" t="s">
        <v>519</v>
      </c>
    </row>
    <row r="33" spans="1:5" s="4" customFormat="1" ht="93.75" customHeight="1" x14ac:dyDescent="0.25">
      <c r="A33" s="44"/>
      <c r="B33" s="331" t="s">
        <v>552</v>
      </c>
      <c r="C33" s="332"/>
      <c r="D33" s="278">
        <v>5852589.7699999996</v>
      </c>
      <c r="E33" s="233" t="s">
        <v>519</v>
      </c>
    </row>
    <row r="34" spans="1:5" s="4" customFormat="1" ht="69" customHeight="1" x14ac:dyDescent="0.25">
      <c r="A34" s="44"/>
      <c r="B34" s="331" t="s">
        <v>553</v>
      </c>
      <c r="C34" s="332"/>
      <c r="D34" s="278">
        <v>1148596.73</v>
      </c>
      <c r="E34" s="233" t="s">
        <v>519</v>
      </c>
    </row>
    <row r="35" spans="1:5" s="4" customFormat="1" ht="72" customHeight="1" x14ac:dyDescent="0.25">
      <c r="A35" s="44"/>
      <c r="B35" s="331" t="s">
        <v>554</v>
      </c>
      <c r="C35" s="332"/>
      <c r="D35" s="278">
        <v>1404756.86</v>
      </c>
      <c r="E35" s="233" t="s">
        <v>519</v>
      </c>
    </row>
    <row r="36" spans="1:5" s="4" customFormat="1" ht="56.25" customHeight="1" x14ac:dyDescent="0.25">
      <c r="A36" s="44"/>
      <c r="B36" s="331" t="s">
        <v>555</v>
      </c>
      <c r="C36" s="332"/>
      <c r="D36" s="278">
        <v>741240</v>
      </c>
      <c r="E36" s="233" t="s">
        <v>519</v>
      </c>
    </row>
    <row r="37" spans="1:5" s="4" customFormat="1" ht="51.75" customHeight="1" x14ac:dyDescent="0.25">
      <c r="A37" s="44"/>
      <c r="B37" s="331" t="s">
        <v>556</v>
      </c>
      <c r="C37" s="332"/>
      <c r="D37" s="278">
        <v>1230298.8600000001</v>
      </c>
      <c r="E37" s="233" t="s">
        <v>519</v>
      </c>
    </row>
    <row r="38" spans="1:5" s="4" customFormat="1" ht="48.75" customHeight="1" x14ac:dyDescent="0.25">
      <c r="A38" s="44"/>
      <c r="B38" s="331" t="s">
        <v>557</v>
      </c>
      <c r="C38" s="332"/>
      <c r="D38" s="278">
        <v>187854</v>
      </c>
      <c r="E38" s="233" t="s">
        <v>265</v>
      </c>
    </row>
    <row r="39" spans="1:5" s="4" customFormat="1" ht="57.75" customHeight="1" x14ac:dyDescent="0.25">
      <c r="A39" s="44"/>
      <c r="B39" s="331" t="s">
        <v>536</v>
      </c>
      <c r="C39" s="332"/>
      <c r="D39" s="278">
        <v>88600</v>
      </c>
      <c r="E39" s="233" t="s">
        <v>265</v>
      </c>
    </row>
    <row r="40" spans="1:5" s="4" customFormat="1" ht="56.25" customHeight="1" x14ac:dyDescent="0.25">
      <c r="A40" s="44"/>
      <c r="B40" s="331" t="s">
        <v>558</v>
      </c>
      <c r="C40" s="332"/>
      <c r="D40" s="279">
        <v>765600</v>
      </c>
      <c r="E40" s="234" t="s">
        <v>265</v>
      </c>
    </row>
    <row r="41" spans="1:5" s="4" customFormat="1" ht="77.25" customHeight="1" x14ac:dyDescent="0.25">
      <c r="A41" s="44"/>
      <c r="B41" s="331" t="s">
        <v>559</v>
      </c>
      <c r="C41" s="332"/>
      <c r="D41" s="279">
        <v>461508.91</v>
      </c>
      <c r="E41" s="234" t="s">
        <v>265</v>
      </c>
    </row>
    <row r="42" spans="1:5" s="4" customFormat="1" ht="69" customHeight="1" x14ac:dyDescent="0.25">
      <c r="A42" s="44"/>
      <c r="B42" s="331" t="s">
        <v>560</v>
      </c>
      <c r="C42" s="332"/>
      <c r="D42" s="279">
        <v>284234.55</v>
      </c>
      <c r="E42" s="234" t="s">
        <v>265</v>
      </c>
    </row>
    <row r="43" spans="1:5" s="4" customFormat="1" ht="72" customHeight="1" x14ac:dyDescent="0.25">
      <c r="A43" s="44"/>
      <c r="B43" s="331" t="s">
        <v>561</v>
      </c>
      <c r="C43" s="332"/>
      <c r="D43" s="279">
        <v>299595.89</v>
      </c>
      <c r="E43" s="234" t="s">
        <v>265</v>
      </c>
    </row>
    <row r="44" spans="1:5" s="4" customFormat="1" ht="80.25" customHeight="1" x14ac:dyDescent="0.25">
      <c r="A44" s="44"/>
      <c r="B44" s="326" t="s">
        <v>562</v>
      </c>
      <c r="C44" s="327"/>
      <c r="D44" s="279">
        <v>570611.14</v>
      </c>
      <c r="E44" s="234" t="s">
        <v>265</v>
      </c>
    </row>
    <row r="45" spans="1:5" s="4" customFormat="1" ht="51.75" customHeight="1" x14ac:dyDescent="0.25">
      <c r="A45" s="44"/>
      <c r="B45" s="326" t="s">
        <v>537</v>
      </c>
      <c r="C45" s="327"/>
      <c r="D45" s="279">
        <v>358433.63</v>
      </c>
      <c r="E45" s="234" t="s">
        <v>519</v>
      </c>
    </row>
    <row r="46" spans="1:5" s="4" customFormat="1" ht="54.75" customHeight="1" x14ac:dyDescent="0.25">
      <c r="A46" s="44"/>
      <c r="B46" s="326" t="s">
        <v>563</v>
      </c>
      <c r="C46" s="327"/>
      <c r="D46" s="279">
        <v>712560.28</v>
      </c>
      <c r="E46" s="234" t="s">
        <v>519</v>
      </c>
    </row>
    <row r="47" spans="1:5" s="4" customFormat="1" ht="62.25" customHeight="1" x14ac:dyDescent="0.25">
      <c r="A47" s="44"/>
      <c r="B47" s="326" t="s">
        <v>538</v>
      </c>
      <c r="C47" s="327"/>
      <c r="D47" s="279">
        <v>1497865.6</v>
      </c>
      <c r="E47" s="234" t="s">
        <v>519</v>
      </c>
    </row>
    <row r="48" spans="1:5" s="4" customFormat="1" ht="62.25" customHeight="1" x14ac:dyDescent="0.25">
      <c r="A48" s="44"/>
      <c r="B48" s="326" t="s">
        <v>539</v>
      </c>
      <c r="C48" s="327"/>
      <c r="D48" s="279">
        <v>1280247.83</v>
      </c>
      <c r="E48" s="234" t="s">
        <v>519</v>
      </c>
    </row>
    <row r="49" spans="1:5" s="4" customFormat="1" ht="62.25" customHeight="1" x14ac:dyDescent="0.25">
      <c r="A49" s="44"/>
      <c r="B49" s="326" t="s">
        <v>564</v>
      </c>
      <c r="C49" s="327"/>
      <c r="D49" s="279">
        <v>814723.83</v>
      </c>
      <c r="E49" s="234" t="s">
        <v>519</v>
      </c>
    </row>
    <row r="50" spans="1:5" s="4" customFormat="1" ht="62.25" customHeight="1" x14ac:dyDescent="0.25">
      <c r="A50" s="44"/>
      <c r="B50" s="326" t="s">
        <v>540</v>
      </c>
      <c r="C50" s="327"/>
      <c r="D50" s="279">
        <v>4413039.6500000004</v>
      </c>
      <c r="E50" s="234" t="s">
        <v>519</v>
      </c>
    </row>
    <row r="51" spans="1:5" s="4" customFormat="1" ht="62.25" customHeight="1" x14ac:dyDescent="0.25">
      <c r="A51" s="44"/>
      <c r="B51" s="326" t="s">
        <v>541</v>
      </c>
      <c r="C51" s="327"/>
      <c r="D51" s="279">
        <v>1594137.14</v>
      </c>
      <c r="E51" s="234" t="s">
        <v>519</v>
      </c>
    </row>
    <row r="52" spans="1:5" s="4" customFormat="1" ht="45" customHeight="1" x14ac:dyDescent="0.25">
      <c r="A52" s="44"/>
      <c r="B52" s="326" t="s">
        <v>565</v>
      </c>
      <c r="C52" s="327"/>
      <c r="D52" s="279">
        <v>826350.9</v>
      </c>
      <c r="E52" s="234" t="s">
        <v>519</v>
      </c>
    </row>
    <row r="53" spans="1:5" s="4" customFormat="1" ht="62.25" customHeight="1" x14ac:dyDescent="0.25">
      <c r="A53" s="44"/>
      <c r="B53" s="326" t="s">
        <v>566</v>
      </c>
      <c r="C53" s="327"/>
      <c r="D53" s="279">
        <v>1275602.21</v>
      </c>
      <c r="E53" s="234" t="s">
        <v>519</v>
      </c>
    </row>
    <row r="54" spans="1:5" s="4" customFormat="1" ht="62.25" customHeight="1" x14ac:dyDescent="0.25">
      <c r="A54" s="44"/>
      <c r="B54" s="326" t="s">
        <v>567</v>
      </c>
      <c r="C54" s="327"/>
      <c r="D54" s="279">
        <v>2619900.83</v>
      </c>
      <c r="E54" s="234" t="s">
        <v>519</v>
      </c>
    </row>
    <row r="55" spans="1:5" s="4" customFormat="1" ht="62.25" customHeight="1" x14ac:dyDescent="0.25">
      <c r="A55" s="44"/>
      <c r="B55" s="326" t="s">
        <v>568</v>
      </c>
      <c r="C55" s="327"/>
      <c r="D55" s="279">
        <v>45705436.159999996</v>
      </c>
      <c r="E55" s="234" t="s">
        <v>266</v>
      </c>
    </row>
    <row r="56" spans="1:5" s="4" customFormat="1" ht="62.25" customHeight="1" x14ac:dyDescent="0.25">
      <c r="A56" s="44"/>
      <c r="B56" s="326" t="s">
        <v>569</v>
      </c>
      <c r="C56" s="327"/>
      <c r="D56" s="279">
        <v>2608653.65</v>
      </c>
      <c r="E56" s="234" t="s">
        <v>266</v>
      </c>
    </row>
    <row r="57" spans="1:5" s="4" customFormat="1" ht="56.25" customHeight="1" x14ac:dyDescent="0.25">
      <c r="A57" s="44"/>
      <c r="B57" s="326" t="s">
        <v>542</v>
      </c>
      <c r="C57" s="327"/>
      <c r="D57" s="279">
        <v>2369728.59</v>
      </c>
      <c r="E57" s="234" t="s">
        <v>266</v>
      </c>
    </row>
    <row r="58" spans="1:5" s="4" customFormat="1" ht="53.25" customHeight="1" x14ac:dyDescent="0.25">
      <c r="A58" s="44"/>
      <c r="B58" s="326" t="s">
        <v>570</v>
      </c>
      <c r="C58" s="327"/>
      <c r="D58" s="279">
        <v>3471782.85</v>
      </c>
      <c r="E58" s="234" t="s">
        <v>266</v>
      </c>
    </row>
    <row r="59" spans="1:5" s="4" customFormat="1" ht="62.25" customHeight="1" x14ac:dyDescent="0.25">
      <c r="A59" s="44"/>
      <c r="B59" s="326" t="s">
        <v>571</v>
      </c>
      <c r="C59" s="327"/>
      <c r="D59" s="279">
        <v>2518618.9</v>
      </c>
      <c r="E59" s="234" t="s">
        <v>519</v>
      </c>
    </row>
    <row r="60" spans="1:5" s="4" customFormat="1" ht="62.25" customHeight="1" x14ac:dyDescent="0.25">
      <c r="A60" s="44"/>
      <c r="B60" s="326" t="s">
        <v>543</v>
      </c>
      <c r="C60" s="327"/>
      <c r="D60" s="279">
        <v>3191675.76</v>
      </c>
      <c r="E60" s="234" t="s">
        <v>266</v>
      </c>
    </row>
    <row r="61" spans="1:5" s="4" customFormat="1" ht="62.25" customHeight="1" x14ac:dyDescent="0.25">
      <c r="A61" s="44"/>
      <c r="B61" s="326" t="s">
        <v>572</v>
      </c>
      <c r="C61" s="327"/>
      <c r="D61" s="279">
        <v>148525.24</v>
      </c>
      <c r="E61" s="234" t="s">
        <v>519</v>
      </c>
    </row>
    <row r="62" spans="1:5" s="4" customFormat="1" ht="62.25" customHeight="1" x14ac:dyDescent="0.25">
      <c r="A62" s="44"/>
      <c r="B62" s="326" t="s">
        <v>573</v>
      </c>
      <c r="C62" s="327"/>
      <c r="D62" s="279">
        <v>600452.86</v>
      </c>
      <c r="E62" s="234" t="s">
        <v>519</v>
      </c>
    </row>
    <row r="63" spans="1:5" s="4" customFormat="1" ht="46.5" customHeight="1" x14ac:dyDescent="0.25">
      <c r="A63" s="44"/>
      <c r="B63" s="326" t="s">
        <v>544</v>
      </c>
      <c r="C63" s="327"/>
      <c r="D63" s="279">
        <v>533633.05000000005</v>
      </c>
      <c r="E63" s="234" t="s">
        <v>519</v>
      </c>
    </row>
    <row r="64" spans="1:5" s="4" customFormat="1" ht="30.75" customHeight="1" x14ac:dyDescent="0.25">
      <c r="A64" s="44"/>
      <c r="B64" s="326" t="s">
        <v>574</v>
      </c>
      <c r="C64" s="327"/>
      <c r="D64" s="279">
        <v>395199.18</v>
      </c>
      <c r="E64" s="234" t="s">
        <v>519</v>
      </c>
    </row>
    <row r="65" spans="1:5" s="4" customFormat="1" ht="53.25" customHeight="1" x14ac:dyDescent="0.25">
      <c r="A65" s="44"/>
      <c r="B65" s="326" t="s">
        <v>575</v>
      </c>
      <c r="C65" s="327"/>
      <c r="D65" s="279">
        <v>721664.42</v>
      </c>
      <c r="E65" s="234" t="s">
        <v>519</v>
      </c>
    </row>
    <row r="66" spans="1:5" s="4" customFormat="1" ht="48" customHeight="1" x14ac:dyDescent="0.25">
      <c r="A66" s="44"/>
      <c r="B66" s="326" t="s">
        <v>576</v>
      </c>
      <c r="C66" s="327"/>
      <c r="D66" s="279">
        <v>569470.38</v>
      </c>
      <c r="E66" s="234" t="s">
        <v>519</v>
      </c>
    </row>
    <row r="67" spans="1:5" s="4" customFormat="1" ht="47.25" customHeight="1" x14ac:dyDescent="0.25">
      <c r="A67" s="44"/>
      <c r="B67" s="326" t="s">
        <v>545</v>
      </c>
      <c r="C67" s="327"/>
      <c r="D67" s="279">
        <v>486167.88</v>
      </c>
      <c r="E67" s="234" t="s">
        <v>519</v>
      </c>
    </row>
    <row r="68" spans="1:5" s="4" customFormat="1" ht="52.5" customHeight="1" x14ac:dyDescent="0.25">
      <c r="A68" s="44"/>
      <c r="B68" s="326" t="s">
        <v>546</v>
      </c>
      <c r="C68" s="327"/>
      <c r="D68" s="279">
        <v>525638.63</v>
      </c>
      <c r="E68" s="234" t="s">
        <v>519</v>
      </c>
    </row>
    <row r="69" spans="1:5" ht="12" customHeight="1" thickBot="1" x14ac:dyDescent="0.35">
      <c r="A69" s="45"/>
      <c r="B69" s="46"/>
      <c r="C69" s="220"/>
      <c r="D69" s="221"/>
      <c r="E69" s="222"/>
    </row>
    <row r="70" spans="1:5" ht="25.5" x14ac:dyDescent="0.35">
      <c r="A70" s="47" t="s">
        <v>66</v>
      </c>
      <c r="B70" s="1" t="s">
        <v>67</v>
      </c>
      <c r="C70" s="78"/>
      <c r="D70" s="78"/>
      <c r="E70" s="78"/>
    </row>
    <row r="71" spans="1:5" x14ac:dyDescent="0.3">
      <c r="B71" s="1" t="s">
        <v>68</v>
      </c>
    </row>
    <row r="72" spans="1:5" x14ac:dyDescent="0.3">
      <c r="A72" s="61" t="s">
        <v>2</v>
      </c>
      <c r="C72" s="48"/>
      <c r="D72" s="48"/>
    </row>
    <row r="73" spans="1:5" ht="10.5" customHeight="1" x14ac:dyDescent="0.3">
      <c r="B73" s="48"/>
      <c r="C73" s="48"/>
      <c r="D73" s="48"/>
    </row>
    <row r="75" spans="1:5" x14ac:dyDescent="0.3">
      <c r="A75" s="61"/>
    </row>
    <row r="76" spans="1:5" x14ac:dyDescent="0.3">
      <c r="A76" s="61"/>
    </row>
  </sheetData>
  <mergeCells count="63">
    <mergeCell ref="B44:C44"/>
    <mergeCell ref="B45:C45"/>
    <mergeCell ref="B46:C46"/>
    <mergeCell ref="B47:C47"/>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21:C21"/>
    <mergeCell ref="B22:C22"/>
    <mergeCell ref="B23:C23"/>
    <mergeCell ref="B16:C16"/>
    <mergeCell ref="B17:C17"/>
    <mergeCell ref="B18:C18"/>
    <mergeCell ref="B19:C19"/>
    <mergeCell ref="B20:C20"/>
    <mergeCell ref="B12:C12"/>
    <mergeCell ref="B11:C11"/>
    <mergeCell ref="B13:C13"/>
    <mergeCell ref="B14:C14"/>
    <mergeCell ref="B15:C15"/>
    <mergeCell ref="A1:E1"/>
    <mergeCell ref="A2:E2"/>
    <mergeCell ref="A3:E3"/>
    <mergeCell ref="A4:E4"/>
    <mergeCell ref="A7:B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8:C68"/>
    <mergeCell ref="B63:C63"/>
    <mergeCell ref="B64:C64"/>
    <mergeCell ref="B65:C65"/>
    <mergeCell ref="B66:C66"/>
    <mergeCell ref="B67:C67"/>
  </mergeCells>
  <printOptions horizontalCentered="1"/>
  <pageMargins left="0.39370078740157483" right="0.39370078740157483" top="0.74803149606299213" bottom="0.74803149606299213" header="0.31496062992125984" footer="0.31496062992125984"/>
  <pageSetup scale="94"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15"/>
  <sheetViews>
    <sheetView view="pageLayout" topLeftCell="A7" zoomScale="80" zoomScaleNormal="100" zoomScalePageLayoutView="80" workbookViewId="0">
      <selection activeCell="E20" sqref="E20"/>
    </sheetView>
  </sheetViews>
  <sheetFormatPr baseColWidth="10" defaultColWidth="11" defaultRowHeight="15.75" x14ac:dyDescent="0.25"/>
  <cols>
    <col min="1" max="1" width="16.28515625" style="164" customWidth="1"/>
    <col min="2" max="2" width="46.140625" style="155" customWidth="1"/>
    <col min="3" max="3" width="14.42578125" style="163" customWidth="1"/>
    <col min="4" max="4" width="6.7109375" style="163" customWidth="1"/>
    <col min="5" max="5" width="6" style="163" customWidth="1"/>
    <col min="6" max="6" width="8.28515625" style="163" customWidth="1"/>
    <col min="7" max="20" width="10.7109375" style="155" customWidth="1"/>
    <col min="21" max="21" width="11.42578125" style="155" customWidth="1"/>
    <col min="22" max="16384" width="11" style="155"/>
  </cols>
  <sheetData>
    <row r="1" spans="1:21" s="136" customFormat="1" ht="19.5" customHeight="1" x14ac:dyDescent="0.25">
      <c r="A1" s="131" t="s">
        <v>144</v>
      </c>
      <c r="B1" s="132"/>
      <c r="C1" s="133"/>
      <c r="D1" s="133"/>
      <c r="E1" s="133"/>
      <c r="F1" s="133"/>
      <c r="G1" s="134"/>
      <c r="H1" s="134"/>
      <c r="I1" s="134"/>
      <c r="J1" s="134"/>
      <c r="K1" s="134"/>
      <c r="L1" s="134"/>
      <c r="M1" s="135"/>
      <c r="N1" s="135"/>
      <c r="O1" s="135"/>
      <c r="P1" s="135"/>
      <c r="Q1" s="135"/>
      <c r="R1" s="135"/>
      <c r="S1" s="135"/>
      <c r="T1" s="135"/>
      <c r="U1" s="135"/>
    </row>
    <row r="2" spans="1:21" s="136" customFormat="1" ht="19.5" customHeight="1" x14ac:dyDescent="0.25">
      <c r="A2" s="131" t="s">
        <v>145</v>
      </c>
      <c r="B2" s="137"/>
      <c r="C2" s="133"/>
      <c r="D2" s="133"/>
      <c r="E2" s="133"/>
      <c r="F2" s="133"/>
      <c r="G2" s="134"/>
      <c r="H2" s="134"/>
      <c r="I2" s="134"/>
      <c r="J2" s="134"/>
      <c r="K2" s="134"/>
      <c r="L2" s="134"/>
      <c r="M2" s="135"/>
      <c r="N2" s="135"/>
      <c r="O2" s="135"/>
      <c r="P2" s="135"/>
      <c r="Q2" s="135"/>
      <c r="R2" s="135"/>
      <c r="S2" s="135"/>
      <c r="T2" s="135"/>
      <c r="U2" s="135"/>
    </row>
    <row r="3" spans="1:21" s="136" customFormat="1" ht="12.75" x14ac:dyDescent="0.25">
      <c r="B3" s="137"/>
      <c r="C3" s="133"/>
      <c r="D3" s="133"/>
      <c r="E3" s="133"/>
      <c r="F3" s="133"/>
      <c r="G3" s="134"/>
      <c r="H3" s="134"/>
      <c r="I3" s="134"/>
      <c r="J3" s="134"/>
      <c r="K3" s="134"/>
      <c r="L3" s="134"/>
      <c r="M3" s="135"/>
      <c r="N3" s="135"/>
      <c r="O3" s="135"/>
      <c r="P3" s="135"/>
      <c r="Q3" s="135"/>
      <c r="R3" s="135"/>
      <c r="S3" s="135"/>
      <c r="T3" s="135"/>
      <c r="U3" s="135"/>
    </row>
    <row r="4" spans="1:21" s="136" customFormat="1" ht="26.25" customHeight="1" x14ac:dyDescent="0.2">
      <c r="A4" s="343" t="s">
        <v>146</v>
      </c>
      <c r="B4" s="344" t="s">
        <v>147</v>
      </c>
      <c r="C4" s="344" t="s">
        <v>148</v>
      </c>
      <c r="D4" s="342" t="s">
        <v>149</v>
      </c>
      <c r="E4" s="342" t="s">
        <v>150</v>
      </c>
      <c r="F4" s="342" t="s">
        <v>151</v>
      </c>
      <c r="G4" s="138" t="s">
        <v>152</v>
      </c>
      <c r="H4" s="139"/>
      <c r="I4" s="139"/>
      <c r="J4" s="139"/>
      <c r="K4" s="139"/>
      <c r="L4" s="139" t="s">
        <v>153</v>
      </c>
      <c r="M4" s="139"/>
      <c r="N4" s="139"/>
      <c r="O4" s="139"/>
      <c r="P4" s="139"/>
      <c r="Q4" s="140" t="s">
        <v>154</v>
      </c>
      <c r="R4" s="140"/>
      <c r="S4" s="141"/>
      <c r="T4" s="141"/>
      <c r="U4" s="142" t="s">
        <v>155</v>
      </c>
    </row>
    <row r="5" spans="1:21" s="136" customFormat="1" ht="51" customHeight="1" x14ac:dyDescent="0.2">
      <c r="A5" s="343"/>
      <c r="B5" s="344"/>
      <c r="C5" s="344"/>
      <c r="D5" s="342"/>
      <c r="E5" s="342"/>
      <c r="F5" s="342"/>
      <c r="G5" s="143" t="s">
        <v>156</v>
      </c>
      <c r="H5" s="143" t="s">
        <v>157</v>
      </c>
      <c r="I5" s="143" t="s">
        <v>158</v>
      </c>
      <c r="J5" s="143" t="s">
        <v>159</v>
      </c>
      <c r="K5" s="143" t="s">
        <v>160</v>
      </c>
      <c r="L5" s="143" t="s">
        <v>156</v>
      </c>
      <c r="M5" s="143" t="s">
        <v>157</v>
      </c>
      <c r="N5" s="143" t="s">
        <v>158</v>
      </c>
      <c r="O5" s="143" t="s">
        <v>159</v>
      </c>
      <c r="P5" s="144" t="s">
        <v>160</v>
      </c>
      <c r="Q5" s="143" t="s">
        <v>156</v>
      </c>
      <c r="R5" s="143" t="s">
        <v>157</v>
      </c>
      <c r="S5" s="143" t="s">
        <v>158</v>
      </c>
      <c r="T5" s="143" t="s">
        <v>159</v>
      </c>
      <c r="U5" s="145" t="s">
        <v>161</v>
      </c>
    </row>
    <row r="6" spans="1:21" s="136" customFormat="1" ht="24" customHeight="1" x14ac:dyDescent="0.25">
      <c r="A6" s="146"/>
      <c r="B6" s="147"/>
      <c r="C6" s="148"/>
      <c r="D6" s="148"/>
      <c r="E6" s="148"/>
      <c r="F6" s="148"/>
      <c r="G6" s="149"/>
      <c r="H6" s="149"/>
      <c r="I6" s="149"/>
      <c r="J6" s="149"/>
      <c r="K6" s="149"/>
      <c r="L6" s="149"/>
      <c r="M6" s="149"/>
      <c r="N6" s="149"/>
      <c r="O6" s="149"/>
      <c r="P6" s="150"/>
      <c r="Q6" s="149"/>
      <c r="R6" s="149"/>
      <c r="S6" s="149"/>
      <c r="T6" s="149"/>
      <c r="U6" s="151"/>
    </row>
    <row r="7" spans="1:21" s="136" customFormat="1" ht="24" customHeight="1" x14ac:dyDescent="0.25">
      <c r="A7" s="152"/>
      <c r="B7" s="147"/>
      <c r="C7" s="148"/>
      <c r="D7" s="148"/>
      <c r="E7" s="148"/>
      <c r="F7" s="148"/>
      <c r="G7" s="149"/>
      <c r="H7" s="149"/>
      <c r="I7" s="149"/>
      <c r="J7" s="149"/>
      <c r="K7" s="149"/>
      <c r="L7" s="149"/>
      <c r="M7" s="149"/>
      <c r="N7" s="149"/>
      <c r="O7" s="149"/>
      <c r="P7" s="150"/>
      <c r="Q7" s="149"/>
      <c r="R7" s="149"/>
      <c r="S7" s="149"/>
      <c r="T7" s="149"/>
      <c r="U7" s="151"/>
    </row>
    <row r="8" spans="1:21" ht="22.5" customHeight="1" x14ac:dyDescent="0.25">
      <c r="A8" s="337"/>
      <c r="B8" s="338"/>
      <c r="C8" s="339"/>
      <c r="D8" s="339"/>
      <c r="E8" s="338"/>
      <c r="F8" s="153" t="s">
        <v>162</v>
      </c>
      <c r="G8" s="154"/>
      <c r="H8" s="154"/>
      <c r="I8" s="154"/>
      <c r="J8" s="154"/>
      <c r="K8" s="154"/>
      <c r="L8" s="154"/>
      <c r="M8" s="154"/>
      <c r="N8" s="154"/>
      <c r="O8" s="154"/>
      <c r="P8" s="154"/>
      <c r="Q8" s="154"/>
      <c r="R8" s="154"/>
      <c r="S8" s="154"/>
      <c r="T8" s="154"/>
      <c r="U8" s="340"/>
    </row>
    <row r="9" spans="1:21" ht="22.5" customHeight="1" x14ac:dyDescent="0.25">
      <c r="A9" s="337"/>
      <c r="B9" s="338"/>
      <c r="C9" s="339"/>
      <c r="D9" s="339"/>
      <c r="E9" s="338"/>
      <c r="F9" s="156" t="s">
        <v>163</v>
      </c>
      <c r="G9" s="157"/>
      <c r="H9" s="158"/>
      <c r="I9" s="157"/>
      <c r="J9" s="158"/>
      <c r="K9" s="158"/>
      <c r="L9" s="157"/>
      <c r="M9" s="158"/>
      <c r="N9" s="157"/>
      <c r="O9" s="158"/>
      <c r="P9" s="158"/>
      <c r="Q9" s="157"/>
      <c r="R9" s="158"/>
      <c r="S9" s="157"/>
      <c r="T9" s="157"/>
      <c r="U9" s="341"/>
    </row>
    <row r="10" spans="1:21" ht="22.5" customHeight="1" x14ac:dyDescent="0.25">
      <c r="A10" s="337"/>
      <c r="B10" s="338"/>
      <c r="C10" s="339"/>
      <c r="D10" s="339"/>
      <c r="E10" s="338"/>
      <c r="F10" s="156" t="s">
        <v>164</v>
      </c>
      <c r="G10" s="157"/>
      <c r="H10" s="158"/>
      <c r="I10" s="157"/>
      <c r="J10" s="158"/>
      <c r="K10" s="158"/>
      <c r="L10" s="157"/>
      <c r="M10" s="158"/>
      <c r="N10" s="157"/>
      <c r="O10" s="158"/>
      <c r="P10" s="158"/>
      <c r="Q10" s="157"/>
      <c r="R10" s="158"/>
      <c r="S10" s="157"/>
      <c r="T10" s="157"/>
      <c r="U10" s="341"/>
    </row>
    <row r="11" spans="1:21" ht="9.75" customHeight="1" x14ac:dyDescent="0.25">
      <c r="A11" s="159"/>
      <c r="B11" s="160"/>
      <c r="C11" s="161"/>
      <c r="D11" s="161"/>
      <c r="E11" s="161"/>
      <c r="F11" s="161"/>
      <c r="G11" s="160"/>
      <c r="H11" s="160"/>
      <c r="I11" s="160"/>
      <c r="J11" s="160"/>
      <c r="K11" s="160"/>
      <c r="L11" s="160"/>
      <c r="M11" s="160"/>
      <c r="N11" s="160"/>
      <c r="O11" s="160"/>
      <c r="P11" s="160"/>
      <c r="Q11" s="160"/>
      <c r="R11" s="160"/>
      <c r="S11" s="160"/>
      <c r="T11" s="160"/>
      <c r="U11" s="160"/>
    </row>
    <row r="12" spans="1:21" ht="26.25" customHeight="1" x14ac:dyDescent="0.25">
      <c r="A12" s="335" t="s">
        <v>165</v>
      </c>
      <c r="B12" s="335"/>
      <c r="C12" s="335"/>
      <c r="D12" s="335"/>
      <c r="E12" s="335"/>
      <c r="F12" s="335"/>
      <c r="G12" s="335"/>
      <c r="H12" s="335"/>
      <c r="I12" s="335"/>
      <c r="J12" s="335"/>
      <c r="K12" s="335"/>
      <c r="L12" s="335"/>
      <c r="M12" s="335"/>
      <c r="N12" s="335"/>
      <c r="O12" s="335"/>
      <c r="P12" s="335"/>
      <c r="Q12" s="335"/>
      <c r="R12" s="335"/>
      <c r="S12" s="335"/>
      <c r="T12" s="335"/>
      <c r="U12" s="335"/>
    </row>
    <row r="13" spans="1:21" ht="56.25" customHeight="1" x14ac:dyDescent="0.25">
      <c r="A13" s="336"/>
      <c r="B13" s="336"/>
      <c r="C13" s="336"/>
      <c r="D13" s="336"/>
      <c r="E13" s="336"/>
      <c r="F13" s="336"/>
      <c r="G13" s="336"/>
      <c r="H13" s="336"/>
      <c r="I13" s="336"/>
      <c r="J13" s="336"/>
      <c r="K13" s="336"/>
      <c r="L13" s="336"/>
      <c r="M13" s="336"/>
      <c r="N13" s="336"/>
      <c r="O13" s="336"/>
      <c r="P13" s="336"/>
      <c r="Q13" s="336"/>
      <c r="R13" s="336"/>
      <c r="S13" s="336"/>
      <c r="T13" s="336"/>
      <c r="U13" s="336"/>
    </row>
    <row r="15" spans="1:21" ht="26.25" x14ac:dyDescent="0.25">
      <c r="A15" s="162" t="s">
        <v>166</v>
      </c>
    </row>
  </sheetData>
  <protectedRanges>
    <protectedRange sqref="A11:F11 A14:F199" name="Rango2"/>
    <protectedRange sqref="O1:P4 T1:T4 T10:T1048576 O10:P11 O14:P1048576" name="Rango1"/>
  </protectedRanges>
  <mergeCells count="14">
    <mergeCell ref="F4:F5"/>
    <mergeCell ref="A4:A5"/>
    <mergeCell ref="B4:B5"/>
    <mergeCell ref="C4:C5"/>
    <mergeCell ref="D4:D5"/>
    <mergeCell ref="E4:E5"/>
    <mergeCell ref="A12:U12"/>
    <mergeCell ref="A13:U13"/>
    <mergeCell ref="A8:A10"/>
    <mergeCell ref="B8:B10"/>
    <mergeCell ref="C8:C10"/>
    <mergeCell ref="D8:D10"/>
    <mergeCell ref="E8:E10"/>
    <mergeCell ref="U8:U10"/>
  </mergeCells>
  <pageMargins left="0.35433070866141736" right="0.35433070866141736" top="1.1811023622047245" bottom="0.39370078740157483" header="0.31496062992125984" footer="0.31496062992125984"/>
  <pageSetup scale="50" fitToHeight="10" orientation="landscape" r:id="rId1"/>
  <headerFooter>
    <oddHeader>&amp;L&amp;G&amp;C&amp;"-,Negrita"&amp;20
GOBIERNO DEL ESTADO DE SONORA
INFORME DE AVANCE PROGRAMÁTICO 2018&amp;R&amp;"-,Negrita"&amp;14
&amp;16ETCA III-04
TRIMESTRE:__________________</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51"/>
  <sheetViews>
    <sheetView zoomScalePageLayoutView="70" workbookViewId="0">
      <selection activeCell="B9" sqref="B9:B15"/>
    </sheetView>
  </sheetViews>
  <sheetFormatPr baseColWidth="10" defaultRowHeight="15" x14ac:dyDescent="0.25"/>
  <cols>
    <col min="1" max="1" width="16.140625" customWidth="1"/>
    <col min="2" max="2" width="39.28515625" customWidth="1"/>
    <col min="3" max="3" width="25.42578125" customWidth="1"/>
    <col min="4" max="4" width="31.85546875" customWidth="1"/>
    <col min="5" max="5" width="12.28515625" customWidth="1"/>
    <col min="6" max="6" width="12.42578125" customWidth="1"/>
    <col min="7" max="7" width="11.85546875" customWidth="1"/>
    <col min="8" max="8" width="17.28515625" customWidth="1"/>
    <col min="9" max="9" width="17" customWidth="1"/>
    <col min="10" max="10" width="20.5703125" customWidth="1"/>
    <col min="11" max="11" width="23.7109375" customWidth="1"/>
    <col min="12" max="12" width="26.42578125" bestFit="1" customWidth="1"/>
    <col min="13" max="13" width="18.85546875" bestFit="1" customWidth="1"/>
    <col min="14" max="14" width="7.28515625" customWidth="1"/>
  </cols>
  <sheetData>
    <row r="1" spans="1:13" ht="16.5" thickBot="1" x14ac:dyDescent="0.3">
      <c r="A1" s="363" t="s">
        <v>167</v>
      </c>
      <c r="B1" s="364"/>
      <c r="C1" s="365" t="s">
        <v>345</v>
      </c>
      <c r="D1" s="366"/>
      <c r="E1" s="366"/>
      <c r="F1" s="366"/>
      <c r="G1" s="366"/>
      <c r="H1" s="366"/>
      <c r="I1" s="366"/>
      <c r="J1" s="366"/>
      <c r="K1" s="367"/>
    </row>
    <row r="2" spans="1:13" ht="16.5" thickBot="1" x14ac:dyDescent="0.3">
      <c r="A2" s="363" t="s">
        <v>168</v>
      </c>
      <c r="B2" s="364"/>
      <c r="C2" s="365" t="s">
        <v>346</v>
      </c>
      <c r="D2" s="366"/>
      <c r="E2" s="366"/>
      <c r="F2" s="366"/>
      <c r="G2" s="366"/>
      <c r="H2" s="366"/>
      <c r="I2" s="366"/>
      <c r="J2" s="366"/>
      <c r="K2" s="367"/>
    </row>
    <row r="3" spans="1:13" ht="16.5" thickBot="1" x14ac:dyDescent="0.3">
      <c r="A3" s="363" t="s">
        <v>169</v>
      </c>
      <c r="B3" s="364"/>
      <c r="C3" s="365" t="s">
        <v>347</v>
      </c>
      <c r="D3" s="366"/>
      <c r="E3" s="366"/>
      <c r="F3" s="366"/>
      <c r="G3" s="366"/>
      <c r="H3" s="366"/>
      <c r="I3" s="366"/>
      <c r="J3" s="366"/>
      <c r="K3" s="367"/>
    </row>
    <row r="4" spans="1:13" ht="16.5" thickBot="1" x14ac:dyDescent="0.3">
      <c r="A4" s="363" t="s">
        <v>170</v>
      </c>
      <c r="B4" s="364"/>
      <c r="C4" s="365" t="s">
        <v>348</v>
      </c>
      <c r="D4" s="366"/>
      <c r="E4" s="366"/>
      <c r="F4" s="366"/>
      <c r="G4" s="366"/>
      <c r="H4" s="366"/>
      <c r="I4" s="366"/>
      <c r="J4" s="366"/>
      <c r="K4" s="367"/>
    </row>
    <row r="5" spans="1:13" ht="16.5" thickBot="1" x14ac:dyDescent="0.3">
      <c r="A5" s="363" t="s">
        <v>171</v>
      </c>
      <c r="B5" s="364"/>
      <c r="C5" s="365" t="s">
        <v>349</v>
      </c>
      <c r="D5" s="366"/>
      <c r="E5" s="366"/>
      <c r="F5" s="366"/>
      <c r="G5" s="366"/>
      <c r="H5" s="366"/>
      <c r="I5" s="366"/>
      <c r="J5" s="366"/>
      <c r="K5" s="367"/>
    </row>
    <row r="7" spans="1:13" ht="31.5" x14ac:dyDescent="0.25">
      <c r="A7" s="349"/>
      <c r="B7" s="242" t="s">
        <v>172</v>
      </c>
      <c r="C7" s="351" t="s">
        <v>173</v>
      </c>
      <c r="D7" s="351"/>
      <c r="E7" s="351"/>
      <c r="F7" s="351"/>
      <c r="G7" s="351"/>
      <c r="H7" s="242" t="s">
        <v>174</v>
      </c>
      <c r="I7" s="352" t="s">
        <v>506</v>
      </c>
      <c r="J7" s="243" t="s">
        <v>175</v>
      </c>
      <c r="K7" s="354" t="s">
        <v>176</v>
      </c>
      <c r="L7" s="345" t="s">
        <v>507</v>
      </c>
      <c r="M7" s="345" t="s">
        <v>508</v>
      </c>
    </row>
    <row r="8" spans="1:13" ht="31.5" x14ac:dyDescent="0.25">
      <c r="A8" s="350"/>
      <c r="B8" s="244" t="s">
        <v>177</v>
      </c>
      <c r="C8" s="244" t="s">
        <v>178</v>
      </c>
      <c r="D8" s="244" t="s">
        <v>179</v>
      </c>
      <c r="E8" s="244" t="s">
        <v>509</v>
      </c>
      <c r="F8" s="245" t="s">
        <v>510</v>
      </c>
      <c r="G8" s="245" t="s">
        <v>180</v>
      </c>
      <c r="H8" s="244" t="s">
        <v>511</v>
      </c>
      <c r="I8" s="353"/>
      <c r="J8" s="246" t="s">
        <v>181</v>
      </c>
      <c r="K8" s="355"/>
      <c r="L8" s="346"/>
      <c r="M8" s="346"/>
    </row>
    <row r="9" spans="1:13" ht="71.25" x14ac:dyDescent="0.25">
      <c r="A9" s="356" t="s">
        <v>182</v>
      </c>
      <c r="B9" s="348" t="s">
        <v>350</v>
      </c>
      <c r="C9" s="247" t="s">
        <v>351</v>
      </c>
      <c r="D9" s="247" t="s">
        <v>352</v>
      </c>
      <c r="E9" s="248" t="s">
        <v>353</v>
      </c>
      <c r="F9" s="248" t="s">
        <v>354</v>
      </c>
      <c r="G9" s="248" t="s">
        <v>355</v>
      </c>
      <c r="H9" s="249">
        <v>94</v>
      </c>
      <c r="I9" s="248">
        <v>95</v>
      </c>
      <c r="J9" s="247" t="s">
        <v>356</v>
      </c>
      <c r="K9" s="247"/>
      <c r="L9" s="248">
        <v>0</v>
      </c>
      <c r="M9" s="248">
        <v>0</v>
      </c>
    </row>
    <row r="10" spans="1:13" ht="71.25" x14ac:dyDescent="0.25">
      <c r="A10" s="357"/>
      <c r="B10" s="348"/>
      <c r="C10" s="247" t="s">
        <v>357</v>
      </c>
      <c r="D10" s="247" t="s">
        <v>358</v>
      </c>
      <c r="E10" s="248" t="s">
        <v>353</v>
      </c>
      <c r="F10" s="248" t="s">
        <v>354</v>
      </c>
      <c r="G10" s="248" t="s">
        <v>355</v>
      </c>
      <c r="H10" s="249">
        <v>84</v>
      </c>
      <c r="I10" s="248">
        <v>88</v>
      </c>
      <c r="J10" s="247" t="s">
        <v>356</v>
      </c>
      <c r="K10" s="247"/>
      <c r="L10" s="248">
        <v>0</v>
      </c>
      <c r="M10" s="248">
        <v>0</v>
      </c>
    </row>
    <row r="11" spans="1:13" ht="71.25" x14ac:dyDescent="0.25">
      <c r="A11" s="357"/>
      <c r="B11" s="348"/>
      <c r="C11" s="247" t="s">
        <v>359</v>
      </c>
      <c r="D11" s="247" t="s">
        <v>360</v>
      </c>
      <c r="E11" s="248" t="s">
        <v>353</v>
      </c>
      <c r="F11" s="248" t="s">
        <v>354</v>
      </c>
      <c r="G11" s="248" t="s">
        <v>355</v>
      </c>
      <c r="H11" s="249">
        <v>66</v>
      </c>
      <c r="I11" s="248">
        <v>72</v>
      </c>
      <c r="J11" s="247" t="s">
        <v>356</v>
      </c>
      <c r="K11" s="247"/>
      <c r="L11" s="248">
        <v>0</v>
      </c>
      <c r="M11" s="248">
        <v>0</v>
      </c>
    </row>
    <row r="12" spans="1:13" ht="57" x14ac:dyDescent="0.25">
      <c r="A12" s="357"/>
      <c r="B12" s="348"/>
      <c r="C12" s="247" t="s">
        <v>361</v>
      </c>
      <c r="D12" s="247" t="s">
        <v>362</v>
      </c>
      <c r="E12" s="248" t="s">
        <v>353</v>
      </c>
      <c r="F12" s="248" t="s">
        <v>354</v>
      </c>
      <c r="G12" s="248" t="s">
        <v>355</v>
      </c>
      <c r="H12" s="249">
        <v>10</v>
      </c>
      <c r="I12" s="248">
        <v>19</v>
      </c>
      <c r="J12" s="247" t="s">
        <v>356</v>
      </c>
      <c r="K12" s="247"/>
      <c r="L12" s="248">
        <v>0</v>
      </c>
      <c r="M12" s="248">
        <v>0</v>
      </c>
    </row>
    <row r="13" spans="1:13" ht="57" x14ac:dyDescent="0.25">
      <c r="A13" s="357"/>
      <c r="B13" s="348"/>
      <c r="C13" s="247" t="s">
        <v>363</v>
      </c>
      <c r="D13" s="247" t="s">
        <v>364</v>
      </c>
      <c r="E13" s="248" t="s">
        <v>353</v>
      </c>
      <c r="F13" s="248" t="s">
        <v>354</v>
      </c>
      <c r="G13" s="248" t="s">
        <v>355</v>
      </c>
      <c r="H13" s="249">
        <v>30</v>
      </c>
      <c r="I13" s="249">
        <v>43</v>
      </c>
      <c r="J13" s="247" t="s">
        <v>356</v>
      </c>
      <c r="K13" s="247"/>
      <c r="L13" s="248">
        <v>0</v>
      </c>
      <c r="M13" s="248">
        <v>0</v>
      </c>
    </row>
    <row r="14" spans="1:13" ht="57" x14ac:dyDescent="0.25">
      <c r="A14" s="357"/>
      <c r="B14" s="348"/>
      <c r="C14" s="247" t="s">
        <v>365</v>
      </c>
      <c r="D14" s="247" t="s">
        <v>366</v>
      </c>
      <c r="E14" s="248" t="s">
        <v>353</v>
      </c>
      <c r="F14" s="248" t="s">
        <v>367</v>
      </c>
      <c r="G14" s="248" t="s">
        <v>355</v>
      </c>
      <c r="H14" s="249">
        <v>4</v>
      </c>
      <c r="I14" s="249">
        <v>4</v>
      </c>
      <c r="J14" s="247" t="s">
        <v>356</v>
      </c>
      <c r="K14" s="247"/>
      <c r="L14" s="248">
        <v>0</v>
      </c>
      <c r="M14" s="248">
        <v>0</v>
      </c>
    </row>
    <row r="15" spans="1:13" ht="57" x14ac:dyDescent="0.25">
      <c r="A15" s="358"/>
      <c r="B15" s="348"/>
      <c r="C15" s="247" t="s">
        <v>368</v>
      </c>
      <c r="D15" s="247" t="s">
        <v>369</v>
      </c>
      <c r="E15" s="248" t="s">
        <v>353</v>
      </c>
      <c r="F15" s="248" t="s">
        <v>367</v>
      </c>
      <c r="G15" s="248" t="s">
        <v>355</v>
      </c>
      <c r="H15" s="249">
        <v>5</v>
      </c>
      <c r="I15" s="249">
        <v>5</v>
      </c>
      <c r="J15" s="247" t="s">
        <v>356</v>
      </c>
      <c r="K15" s="247"/>
      <c r="L15" s="248">
        <v>0</v>
      </c>
      <c r="M15" s="248">
        <v>0</v>
      </c>
    </row>
    <row r="16" spans="1:13" ht="85.5" x14ac:dyDescent="0.25">
      <c r="A16" s="361" t="s">
        <v>183</v>
      </c>
      <c r="B16" s="348" t="s">
        <v>370</v>
      </c>
      <c r="C16" s="247" t="s">
        <v>371</v>
      </c>
      <c r="D16" s="247" t="s">
        <v>372</v>
      </c>
      <c r="E16" s="248" t="s">
        <v>353</v>
      </c>
      <c r="F16" s="248" t="s">
        <v>373</v>
      </c>
      <c r="G16" s="248" t="s">
        <v>355</v>
      </c>
      <c r="H16" s="250">
        <v>419210</v>
      </c>
      <c r="I16" s="250">
        <v>246099</v>
      </c>
      <c r="J16" s="247" t="s">
        <v>374</v>
      </c>
      <c r="K16" s="247"/>
      <c r="L16" s="248">
        <v>0</v>
      </c>
      <c r="M16" s="248">
        <v>0</v>
      </c>
    </row>
    <row r="17" spans="1:13" ht="57" x14ac:dyDescent="0.25">
      <c r="A17" s="362"/>
      <c r="B17" s="348"/>
      <c r="C17" s="247" t="s">
        <v>375</v>
      </c>
      <c r="D17" s="247" t="s">
        <v>376</v>
      </c>
      <c r="E17" s="248" t="s">
        <v>353</v>
      </c>
      <c r="F17" s="248" t="s">
        <v>373</v>
      </c>
      <c r="G17" s="248" t="s">
        <v>355</v>
      </c>
      <c r="H17" s="250">
        <v>1850</v>
      </c>
      <c r="I17" s="250">
        <v>58950</v>
      </c>
      <c r="J17" s="247" t="s">
        <v>356</v>
      </c>
      <c r="K17" s="247"/>
      <c r="L17" s="248">
        <v>0</v>
      </c>
      <c r="M17" s="248">
        <v>0</v>
      </c>
    </row>
    <row r="18" spans="1:13" ht="57" x14ac:dyDescent="0.25">
      <c r="A18" s="362"/>
      <c r="B18" s="348"/>
      <c r="C18" s="247" t="s">
        <v>377</v>
      </c>
      <c r="D18" s="247" t="s">
        <v>378</v>
      </c>
      <c r="E18" s="248" t="s">
        <v>353</v>
      </c>
      <c r="F18" s="248" t="s">
        <v>373</v>
      </c>
      <c r="G18" s="248" t="s">
        <v>355</v>
      </c>
      <c r="H18" s="250">
        <v>898</v>
      </c>
      <c r="I18" s="250">
        <v>474783</v>
      </c>
      <c r="J18" s="251" t="s">
        <v>379</v>
      </c>
      <c r="K18" s="247"/>
      <c r="L18" s="248">
        <v>0</v>
      </c>
      <c r="M18" s="248">
        <v>0</v>
      </c>
    </row>
    <row r="19" spans="1:13" ht="71.25" x14ac:dyDescent="0.25">
      <c r="A19" s="362"/>
      <c r="B19" s="348"/>
      <c r="C19" s="247" t="s">
        <v>380</v>
      </c>
      <c r="D19" s="247" t="s">
        <v>381</v>
      </c>
      <c r="E19" s="248" t="s">
        <v>353</v>
      </c>
      <c r="F19" s="248" t="s">
        <v>373</v>
      </c>
      <c r="G19" s="248" t="s">
        <v>355</v>
      </c>
      <c r="H19" s="250">
        <v>1373792</v>
      </c>
      <c r="I19" s="250">
        <v>2373792</v>
      </c>
      <c r="J19" s="251" t="s">
        <v>356</v>
      </c>
      <c r="K19" s="247"/>
      <c r="L19" s="248">
        <v>0</v>
      </c>
      <c r="M19" s="248">
        <v>0</v>
      </c>
    </row>
    <row r="20" spans="1:13" ht="85.5" customHeight="1" x14ac:dyDescent="0.25">
      <c r="A20" s="347" t="s">
        <v>382</v>
      </c>
      <c r="B20" s="348" t="s">
        <v>383</v>
      </c>
      <c r="C20" s="247" t="s">
        <v>384</v>
      </c>
      <c r="D20" s="251" t="s">
        <v>385</v>
      </c>
      <c r="E20" s="248" t="s">
        <v>353</v>
      </c>
      <c r="F20" s="248" t="s">
        <v>386</v>
      </c>
      <c r="G20" s="252" t="s">
        <v>355</v>
      </c>
      <c r="H20" s="253">
        <v>15</v>
      </c>
      <c r="I20" s="250">
        <v>28</v>
      </c>
      <c r="J20" s="247" t="s">
        <v>374</v>
      </c>
      <c r="K20" s="254" t="s">
        <v>387</v>
      </c>
      <c r="L20" s="248">
        <v>0</v>
      </c>
      <c r="M20" s="248">
        <v>0</v>
      </c>
    </row>
    <row r="21" spans="1:13" ht="85.5" x14ac:dyDescent="0.25">
      <c r="A21" s="347"/>
      <c r="B21" s="348"/>
      <c r="C21" s="247" t="s">
        <v>388</v>
      </c>
      <c r="D21" s="251" t="s">
        <v>389</v>
      </c>
      <c r="E21" s="248" t="s">
        <v>353</v>
      </c>
      <c r="F21" s="248" t="s">
        <v>386</v>
      </c>
      <c r="G21" s="252" t="s">
        <v>355</v>
      </c>
      <c r="H21" s="253">
        <v>6</v>
      </c>
      <c r="I21" s="250">
        <v>22</v>
      </c>
      <c r="J21" s="247" t="s">
        <v>356</v>
      </c>
      <c r="K21" s="254" t="s">
        <v>390</v>
      </c>
      <c r="L21" s="248">
        <v>0</v>
      </c>
      <c r="M21" s="248">
        <v>0</v>
      </c>
    </row>
    <row r="22" spans="1:13" ht="142.5" x14ac:dyDescent="0.25">
      <c r="A22" s="347"/>
      <c r="B22" s="348" t="s">
        <v>391</v>
      </c>
      <c r="C22" s="247" t="s">
        <v>392</v>
      </c>
      <c r="D22" s="247" t="s">
        <v>393</v>
      </c>
      <c r="E22" s="248" t="s">
        <v>353</v>
      </c>
      <c r="F22" s="248" t="s">
        <v>394</v>
      </c>
      <c r="G22" s="252" t="s">
        <v>355</v>
      </c>
      <c r="H22" s="253">
        <v>312</v>
      </c>
      <c r="I22" s="255">
        <v>51</v>
      </c>
      <c r="J22" s="251" t="s">
        <v>356</v>
      </c>
      <c r="K22" s="254" t="s">
        <v>395</v>
      </c>
      <c r="L22" s="248">
        <v>0</v>
      </c>
      <c r="M22" s="248">
        <v>0</v>
      </c>
    </row>
    <row r="23" spans="1:13" ht="114" x14ac:dyDescent="0.25">
      <c r="A23" s="347"/>
      <c r="B23" s="348"/>
      <c r="C23" s="247" t="s">
        <v>396</v>
      </c>
      <c r="D23" s="251" t="s">
        <v>397</v>
      </c>
      <c r="E23" s="248" t="s">
        <v>353</v>
      </c>
      <c r="F23" s="248" t="s">
        <v>386</v>
      </c>
      <c r="G23" s="252" t="s">
        <v>355</v>
      </c>
      <c r="H23" s="253">
        <v>2</v>
      </c>
      <c r="I23" s="250">
        <v>1</v>
      </c>
      <c r="J23" s="247" t="s">
        <v>379</v>
      </c>
      <c r="K23" s="254" t="s">
        <v>398</v>
      </c>
      <c r="L23" s="248">
        <v>0</v>
      </c>
      <c r="M23" s="248">
        <v>0</v>
      </c>
    </row>
    <row r="24" spans="1:13" ht="71.25" x14ac:dyDescent="0.25">
      <c r="A24" s="347"/>
      <c r="B24" s="256" t="s">
        <v>399</v>
      </c>
      <c r="C24" s="247" t="s">
        <v>400</v>
      </c>
      <c r="D24" s="247" t="s">
        <v>401</v>
      </c>
      <c r="E24" s="248" t="s">
        <v>353</v>
      </c>
      <c r="F24" s="248" t="s">
        <v>367</v>
      </c>
      <c r="G24" s="252" t="s">
        <v>355</v>
      </c>
      <c r="H24" s="253">
        <v>6</v>
      </c>
      <c r="I24" s="250">
        <v>5</v>
      </c>
      <c r="J24" s="251" t="s">
        <v>356</v>
      </c>
      <c r="K24" s="254" t="s">
        <v>402</v>
      </c>
      <c r="L24" s="248">
        <v>0</v>
      </c>
      <c r="M24" s="248">
        <v>0</v>
      </c>
    </row>
    <row r="25" spans="1:13" ht="99.75" customHeight="1" x14ac:dyDescent="0.25">
      <c r="A25" s="347"/>
      <c r="B25" s="257" t="s">
        <v>403</v>
      </c>
      <c r="C25" s="257" t="s">
        <v>404</v>
      </c>
      <c r="D25" s="258" t="s">
        <v>405</v>
      </c>
      <c r="E25" s="259" t="s">
        <v>353</v>
      </c>
      <c r="F25" s="259" t="s">
        <v>354</v>
      </c>
      <c r="G25" s="259" t="s">
        <v>355</v>
      </c>
      <c r="H25" s="260">
        <v>0</v>
      </c>
      <c r="I25" s="261">
        <v>100</v>
      </c>
      <c r="J25" s="262" t="s">
        <v>406</v>
      </c>
      <c r="K25" s="263" t="s">
        <v>407</v>
      </c>
      <c r="L25" s="248">
        <v>29</v>
      </c>
      <c r="M25" s="248">
        <v>29</v>
      </c>
    </row>
    <row r="26" spans="1:13" ht="128.25" x14ac:dyDescent="0.25">
      <c r="A26" s="347" t="s">
        <v>408</v>
      </c>
      <c r="B26" s="247" t="s">
        <v>409</v>
      </c>
      <c r="C26" s="247" t="s">
        <v>410</v>
      </c>
      <c r="D26" s="264" t="s">
        <v>411</v>
      </c>
      <c r="E26" s="248" t="s">
        <v>353</v>
      </c>
      <c r="F26" s="248" t="s">
        <v>386</v>
      </c>
      <c r="G26" s="248" t="s">
        <v>412</v>
      </c>
      <c r="H26" s="265">
        <v>11</v>
      </c>
      <c r="I26" s="265">
        <v>15</v>
      </c>
      <c r="J26" s="251" t="s">
        <v>413</v>
      </c>
      <c r="K26" s="266" t="s">
        <v>414</v>
      </c>
      <c r="L26" s="267">
        <v>2</v>
      </c>
      <c r="M26" s="268">
        <f>L26/I26*100</f>
        <v>13.333333333333334</v>
      </c>
    </row>
    <row r="27" spans="1:13" ht="114" x14ac:dyDescent="0.25">
      <c r="A27" s="347"/>
      <c r="B27" s="247" t="s">
        <v>415</v>
      </c>
      <c r="C27" s="247" t="s">
        <v>416</v>
      </c>
      <c r="D27" s="247" t="s">
        <v>417</v>
      </c>
      <c r="E27" s="248" t="s">
        <v>353</v>
      </c>
      <c r="F27" s="269" t="s">
        <v>418</v>
      </c>
      <c r="G27" s="248" t="s">
        <v>412</v>
      </c>
      <c r="H27" s="265">
        <v>29</v>
      </c>
      <c r="I27" s="265">
        <v>14</v>
      </c>
      <c r="J27" s="251" t="s">
        <v>413</v>
      </c>
      <c r="K27" s="266" t="s">
        <v>419</v>
      </c>
      <c r="L27" s="248">
        <v>1</v>
      </c>
      <c r="M27" s="268">
        <f t="shared" ref="M27:M40" si="0">L27/I27*100</f>
        <v>7.1428571428571423</v>
      </c>
    </row>
    <row r="28" spans="1:13" ht="270.75" customHeight="1" x14ac:dyDescent="0.25">
      <c r="A28" s="347" t="s">
        <v>408</v>
      </c>
      <c r="B28" s="247" t="s">
        <v>420</v>
      </c>
      <c r="C28" s="247" t="s">
        <v>421</v>
      </c>
      <c r="D28" s="247" t="s">
        <v>422</v>
      </c>
      <c r="E28" s="248" t="s">
        <v>353</v>
      </c>
      <c r="F28" s="269" t="s">
        <v>418</v>
      </c>
      <c r="G28" s="248" t="s">
        <v>412</v>
      </c>
      <c r="H28" s="265">
        <v>21</v>
      </c>
      <c r="I28" s="265">
        <v>49</v>
      </c>
      <c r="J28" s="251" t="s">
        <v>423</v>
      </c>
      <c r="K28" s="266" t="s">
        <v>424</v>
      </c>
      <c r="L28" s="248">
        <v>0</v>
      </c>
      <c r="M28" s="268">
        <f t="shared" si="0"/>
        <v>0</v>
      </c>
    </row>
    <row r="29" spans="1:13" ht="185.25" x14ac:dyDescent="0.25">
      <c r="A29" s="347"/>
      <c r="B29" s="247" t="s">
        <v>425</v>
      </c>
      <c r="C29" s="247" t="s">
        <v>426</v>
      </c>
      <c r="D29" s="247" t="s">
        <v>427</v>
      </c>
      <c r="E29" s="248" t="s">
        <v>353</v>
      </c>
      <c r="F29" s="248" t="s">
        <v>428</v>
      </c>
      <c r="G29" s="248" t="s">
        <v>412</v>
      </c>
      <c r="H29" s="265">
        <v>21</v>
      </c>
      <c r="I29" s="265">
        <v>60</v>
      </c>
      <c r="J29" s="251" t="s">
        <v>429</v>
      </c>
      <c r="K29" s="266" t="s">
        <v>430</v>
      </c>
      <c r="L29" s="248">
        <v>0</v>
      </c>
      <c r="M29" s="268">
        <f t="shared" si="0"/>
        <v>0</v>
      </c>
    </row>
    <row r="30" spans="1:13" ht="114" x14ac:dyDescent="0.25">
      <c r="A30" s="347"/>
      <c r="B30" s="247" t="s">
        <v>431</v>
      </c>
      <c r="C30" s="247" t="s">
        <v>432</v>
      </c>
      <c r="D30" s="247" t="s">
        <v>433</v>
      </c>
      <c r="E30" s="248" t="s">
        <v>353</v>
      </c>
      <c r="F30" s="248" t="s">
        <v>434</v>
      </c>
      <c r="G30" s="248" t="s">
        <v>412</v>
      </c>
      <c r="H30" s="265">
        <v>21</v>
      </c>
      <c r="I30" s="265">
        <v>48</v>
      </c>
      <c r="J30" s="251" t="s">
        <v>413</v>
      </c>
      <c r="K30" s="266" t="s">
        <v>435</v>
      </c>
      <c r="L30" s="248">
        <v>0</v>
      </c>
      <c r="M30" s="268">
        <f t="shared" si="0"/>
        <v>0</v>
      </c>
    </row>
    <row r="31" spans="1:13" ht="114" x14ac:dyDescent="0.25">
      <c r="A31" s="347"/>
      <c r="B31" s="247" t="s">
        <v>436</v>
      </c>
      <c r="C31" s="247" t="s">
        <v>437</v>
      </c>
      <c r="D31" s="247" t="s">
        <v>438</v>
      </c>
      <c r="E31" s="248" t="s">
        <v>353</v>
      </c>
      <c r="F31" s="248" t="s">
        <v>418</v>
      </c>
      <c r="G31" s="248" t="s">
        <v>412</v>
      </c>
      <c r="H31" s="265">
        <v>37</v>
      </c>
      <c r="I31" s="265">
        <v>16</v>
      </c>
      <c r="J31" s="251" t="s">
        <v>439</v>
      </c>
      <c r="K31" s="251" t="s">
        <v>440</v>
      </c>
      <c r="L31" s="248">
        <v>12</v>
      </c>
      <c r="M31" s="268">
        <f t="shared" si="0"/>
        <v>75</v>
      </c>
    </row>
    <row r="32" spans="1:13" ht="71.25" customHeight="1" x14ac:dyDescent="0.25">
      <c r="A32" s="347"/>
      <c r="B32" s="247" t="s">
        <v>441</v>
      </c>
      <c r="C32" s="247" t="s">
        <v>442</v>
      </c>
      <c r="D32" s="251" t="s">
        <v>443</v>
      </c>
      <c r="E32" s="252" t="s">
        <v>353</v>
      </c>
      <c r="F32" s="252" t="s">
        <v>444</v>
      </c>
      <c r="G32" s="252" t="s">
        <v>412</v>
      </c>
      <c r="H32" s="265">
        <v>5</v>
      </c>
      <c r="I32" s="265">
        <v>3</v>
      </c>
      <c r="J32" s="251" t="s">
        <v>439</v>
      </c>
      <c r="K32" s="251" t="s">
        <v>445</v>
      </c>
      <c r="L32" s="248">
        <v>0</v>
      </c>
      <c r="M32" s="268">
        <f t="shared" si="0"/>
        <v>0</v>
      </c>
    </row>
    <row r="33" spans="1:13" ht="85.5" x14ac:dyDescent="0.25">
      <c r="A33" s="347"/>
      <c r="B33" s="247" t="s">
        <v>446</v>
      </c>
      <c r="C33" s="247" t="s">
        <v>447</v>
      </c>
      <c r="D33" s="251" t="s">
        <v>448</v>
      </c>
      <c r="E33" s="252" t="s">
        <v>353</v>
      </c>
      <c r="F33" s="252" t="s">
        <v>449</v>
      </c>
      <c r="G33" s="252" t="s">
        <v>412</v>
      </c>
      <c r="H33" s="265">
        <v>3</v>
      </c>
      <c r="I33" s="265">
        <v>3</v>
      </c>
      <c r="J33" s="251" t="s">
        <v>439</v>
      </c>
      <c r="K33" s="251" t="s">
        <v>450</v>
      </c>
      <c r="L33" s="248">
        <v>0</v>
      </c>
      <c r="M33" s="268">
        <f t="shared" si="0"/>
        <v>0</v>
      </c>
    </row>
    <row r="34" spans="1:13" ht="114" customHeight="1" x14ac:dyDescent="0.25">
      <c r="A34" s="347" t="s">
        <v>408</v>
      </c>
      <c r="B34" s="247" t="s">
        <v>451</v>
      </c>
      <c r="C34" s="247" t="s">
        <v>452</v>
      </c>
      <c r="D34" s="247" t="s">
        <v>422</v>
      </c>
      <c r="E34" s="248" t="s">
        <v>353</v>
      </c>
      <c r="F34" s="248" t="s">
        <v>386</v>
      </c>
      <c r="G34" s="248" t="s">
        <v>412</v>
      </c>
      <c r="H34" s="265">
        <v>1</v>
      </c>
      <c r="I34" s="265">
        <v>1</v>
      </c>
      <c r="J34" s="251" t="s">
        <v>453</v>
      </c>
      <c r="K34" s="251" t="s">
        <v>454</v>
      </c>
      <c r="L34" s="248">
        <v>0</v>
      </c>
      <c r="M34" s="268">
        <f t="shared" si="0"/>
        <v>0</v>
      </c>
    </row>
    <row r="35" spans="1:13" ht="114" customHeight="1" x14ac:dyDescent="0.25">
      <c r="A35" s="347"/>
      <c r="B35" s="247" t="s">
        <v>455</v>
      </c>
      <c r="C35" s="247" t="s">
        <v>456</v>
      </c>
      <c r="D35" s="247" t="s">
        <v>427</v>
      </c>
      <c r="E35" s="248" t="s">
        <v>353</v>
      </c>
      <c r="F35" s="248" t="s">
        <v>428</v>
      </c>
      <c r="G35" s="248" t="s">
        <v>412</v>
      </c>
      <c r="H35" s="265">
        <v>1</v>
      </c>
      <c r="I35" s="265">
        <v>4</v>
      </c>
      <c r="J35" s="251" t="s">
        <v>457</v>
      </c>
      <c r="K35" s="251" t="s">
        <v>458</v>
      </c>
      <c r="L35" s="248">
        <v>2</v>
      </c>
      <c r="M35" s="268">
        <f t="shared" si="0"/>
        <v>50</v>
      </c>
    </row>
    <row r="36" spans="1:13" ht="71.25" x14ac:dyDescent="0.25">
      <c r="A36" s="347"/>
      <c r="B36" s="247" t="s">
        <v>459</v>
      </c>
      <c r="C36" s="247" t="s">
        <v>460</v>
      </c>
      <c r="D36" s="247" t="s">
        <v>433</v>
      </c>
      <c r="E36" s="248" t="s">
        <v>353</v>
      </c>
      <c r="F36" s="248" t="s">
        <v>434</v>
      </c>
      <c r="G36" s="248" t="s">
        <v>412</v>
      </c>
      <c r="H36" s="265">
        <v>1</v>
      </c>
      <c r="I36" s="265">
        <v>1</v>
      </c>
      <c r="J36" s="251" t="s">
        <v>457</v>
      </c>
      <c r="K36" s="251" t="s">
        <v>461</v>
      </c>
      <c r="L36" s="248">
        <v>0</v>
      </c>
      <c r="M36" s="268">
        <f t="shared" si="0"/>
        <v>0</v>
      </c>
    </row>
    <row r="37" spans="1:13" ht="71.25" x14ac:dyDescent="0.25">
      <c r="A37" s="347"/>
      <c r="B37" s="247" t="s">
        <v>462</v>
      </c>
      <c r="C37" s="247" t="s">
        <v>463</v>
      </c>
      <c r="D37" s="247" t="s">
        <v>464</v>
      </c>
      <c r="E37" s="248" t="s">
        <v>353</v>
      </c>
      <c r="F37" s="248" t="s">
        <v>465</v>
      </c>
      <c r="G37" s="248" t="s">
        <v>412</v>
      </c>
      <c r="H37" s="270">
        <v>18</v>
      </c>
      <c r="I37" s="265">
        <v>18</v>
      </c>
      <c r="J37" s="247" t="s">
        <v>466</v>
      </c>
      <c r="K37" s="271" t="s">
        <v>467</v>
      </c>
      <c r="L37" s="248">
        <v>8</v>
      </c>
      <c r="M37" s="268">
        <f t="shared" si="0"/>
        <v>44.444444444444443</v>
      </c>
    </row>
    <row r="38" spans="1:13" ht="99.75" x14ac:dyDescent="0.25">
      <c r="A38" s="347"/>
      <c r="B38" s="247" t="s">
        <v>468</v>
      </c>
      <c r="C38" s="247" t="s">
        <v>469</v>
      </c>
      <c r="D38" s="247" t="s">
        <v>470</v>
      </c>
      <c r="E38" s="248" t="s">
        <v>353</v>
      </c>
      <c r="F38" s="248" t="s">
        <v>367</v>
      </c>
      <c r="G38" s="248" t="s">
        <v>412</v>
      </c>
      <c r="H38" s="270">
        <v>9</v>
      </c>
      <c r="I38" s="265">
        <v>1</v>
      </c>
      <c r="J38" s="247" t="s">
        <v>466</v>
      </c>
      <c r="K38" s="251" t="s">
        <v>471</v>
      </c>
      <c r="L38" s="248">
        <v>0</v>
      </c>
      <c r="M38" s="268">
        <f t="shared" si="0"/>
        <v>0</v>
      </c>
    </row>
    <row r="39" spans="1:13" ht="85.5" x14ac:dyDescent="0.25">
      <c r="A39" s="347"/>
      <c r="B39" s="256" t="s">
        <v>472</v>
      </c>
      <c r="C39" s="247" t="s">
        <v>473</v>
      </c>
      <c r="D39" s="247" t="s">
        <v>422</v>
      </c>
      <c r="E39" s="248" t="s">
        <v>353</v>
      </c>
      <c r="F39" s="248" t="s">
        <v>418</v>
      </c>
      <c r="G39" s="248" t="s">
        <v>412</v>
      </c>
      <c r="H39" s="270">
        <v>9</v>
      </c>
      <c r="I39" s="265">
        <v>1</v>
      </c>
      <c r="J39" s="247" t="s">
        <v>466</v>
      </c>
      <c r="K39" s="266" t="s">
        <v>474</v>
      </c>
      <c r="L39" s="248">
        <v>0</v>
      </c>
      <c r="M39" s="268">
        <f t="shared" si="0"/>
        <v>0</v>
      </c>
    </row>
    <row r="40" spans="1:13" ht="71.25" x14ac:dyDescent="0.25">
      <c r="A40" s="347"/>
      <c r="B40" s="256" t="s">
        <v>475</v>
      </c>
      <c r="C40" s="247" t="s">
        <v>476</v>
      </c>
      <c r="D40" s="247" t="s">
        <v>448</v>
      </c>
      <c r="E40" s="248" t="s">
        <v>353</v>
      </c>
      <c r="F40" s="248" t="s">
        <v>418</v>
      </c>
      <c r="G40" s="248" t="s">
        <v>412</v>
      </c>
      <c r="H40" s="270">
        <v>9</v>
      </c>
      <c r="I40" s="265">
        <v>1</v>
      </c>
      <c r="J40" s="247" t="s">
        <v>466</v>
      </c>
      <c r="K40" s="271" t="s">
        <v>477</v>
      </c>
      <c r="L40" s="248">
        <v>0</v>
      </c>
      <c r="M40" s="268">
        <f t="shared" si="0"/>
        <v>0</v>
      </c>
    </row>
    <row r="41" spans="1:13" ht="71.25" customHeight="1" x14ac:dyDescent="0.25">
      <c r="A41" s="347"/>
      <c r="B41" s="257" t="s">
        <v>478</v>
      </c>
      <c r="C41" s="257" t="s">
        <v>479</v>
      </c>
      <c r="D41" s="262" t="s">
        <v>480</v>
      </c>
      <c r="E41" s="259" t="s">
        <v>353</v>
      </c>
      <c r="F41" s="259" t="s">
        <v>354</v>
      </c>
      <c r="G41" s="259" t="s">
        <v>412</v>
      </c>
      <c r="H41" s="259">
        <v>100</v>
      </c>
      <c r="I41" s="259">
        <v>100</v>
      </c>
      <c r="J41" s="257" t="s">
        <v>481</v>
      </c>
      <c r="K41" s="262" t="s">
        <v>482</v>
      </c>
      <c r="L41" s="248">
        <v>57</v>
      </c>
      <c r="M41" s="248">
        <v>57</v>
      </c>
    </row>
    <row r="42" spans="1:13" ht="99.75" customHeight="1" x14ac:dyDescent="0.25">
      <c r="A42" s="347"/>
      <c r="B42" s="257" t="s">
        <v>483</v>
      </c>
      <c r="C42" s="257" t="s">
        <v>484</v>
      </c>
      <c r="D42" s="262" t="s">
        <v>485</v>
      </c>
      <c r="E42" s="259" t="s">
        <v>353</v>
      </c>
      <c r="F42" s="259" t="s">
        <v>354</v>
      </c>
      <c r="G42" s="259" t="s">
        <v>412</v>
      </c>
      <c r="H42" s="259">
        <v>100</v>
      </c>
      <c r="I42" s="259">
        <v>100</v>
      </c>
      <c r="J42" s="262" t="s">
        <v>486</v>
      </c>
      <c r="K42" s="262" t="s">
        <v>487</v>
      </c>
      <c r="L42" s="248">
        <v>50</v>
      </c>
      <c r="M42" s="248">
        <v>50</v>
      </c>
    </row>
    <row r="43" spans="1:13" ht="99.75" x14ac:dyDescent="0.25">
      <c r="A43" s="272" t="s">
        <v>408</v>
      </c>
      <c r="B43" s="257" t="s">
        <v>488</v>
      </c>
      <c r="C43" s="257" t="s">
        <v>489</v>
      </c>
      <c r="D43" s="262" t="s">
        <v>490</v>
      </c>
      <c r="E43" s="259" t="s">
        <v>353</v>
      </c>
      <c r="F43" s="259" t="s">
        <v>354</v>
      </c>
      <c r="G43" s="259" t="s">
        <v>412</v>
      </c>
      <c r="H43" s="259">
        <v>100</v>
      </c>
      <c r="I43" s="259">
        <v>100</v>
      </c>
      <c r="J43" s="257" t="s">
        <v>491</v>
      </c>
      <c r="K43" s="262" t="s">
        <v>492</v>
      </c>
      <c r="L43" s="248">
        <v>88</v>
      </c>
      <c r="M43" s="248">
        <v>88</v>
      </c>
    </row>
    <row r="50" spans="1:19" x14ac:dyDescent="0.25">
      <c r="A50" s="225"/>
      <c r="C50" s="360" t="s">
        <v>493</v>
      </c>
      <c r="D50" s="360"/>
      <c r="F50" s="241"/>
      <c r="G50" s="241"/>
      <c r="H50" s="360" t="s">
        <v>494</v>
      </c>
      <c r="I50" s="360"/>
      <c r="J50" s="360"/>
      <c r="K50" s="226"/>
      <c r="N50" s="224"/>
      <c r="O50" s="224"/>
      <c r="S50" s="224"/>
    </row>
    <row r="51" spans="1:19" ht="15" customHeight="1" x14ac:dyDescent="0.25">
      <c r="A51" s="225"/>
      <c r="C51" s="359" t="s">
        <v>495</v>
      </c>
      <c r="D51" s="359"/>
      <c r="E51" s="227"/>
      <c r="F51" s="241"/>
      <c r="G51" s="241"/>
      <c r="H51" s="360" t="s">
        <v>496</v>
      </c>
      <c r="I51" s="360"/>
      <c r="J51" s="360"/>
      <c r="K51" s="226"/>
      <c r="N51" s="224"/>
      <c r="O51" s="224"/>
      <c r="S51" s="224"/>
    </row>
  </sheetData>
  <mergeCells count="30">
    <mergeCell ref="C1:K1"/>
    <mergeCell ref="C2:K2"/>
    <mergeCell ref="C3:K3"/>
    <mergeCell ref="C4:K4"/>
    <mergeCell ref="C5:K5"/>
    <mergeCell ref="A1:B1"/>
    <mergeCell ref="A2:B2"/>
    <mergeCell ref="A3:B3"/>
    <mergeCell ref="A4:B4"/>
    <mergeCell ref="A5:B5"/>
    <mergeCell ref="C51:D51"/>
    <mergeCell ref="H51:J51"/>
    <mergeCell ref="C50:D50"/>
    <mergeCell ref="H50:J50"/>
    <mergeCell ref="A16:A19"/>
    <mergeCell ref="B16:B19"/>
    <mergeCell ref="B20:B21"/>
    <mergeCell ref="M7:M8"/>
    <mergeCell ref="A20:A25"/>
    <mergeCell ref="A26:A27"/>
    <mergeCell ref="A28:A33"/>
    <mergeCell ref="A34:A42"/>
    <mergeCell ref="B22:B23"/>
    <mergeCell ref="L7:L8"/>
    <mergeCell ref="A7:A8"/>
    <mergeCell ref="C7:G7"/>
    <mergeCell ref="I7:I8"/>
    <mergeCell ref="K7:K8"/>
    <mergeCell ref="A9:A15"/>
    <mergeCell ref="B9:B15"/>
  </mergeCells>
  <pageMargins left="0.27559055118110237" right="0.23622047244094491" top="0.94488188976377963" bottom="0.47244094488188981" header="0.39370078740157483" footer="0.31496062992125984"/>
  <pageSetup paperSize="5" scale="70" orientation="landscape" r:id="rId1"/>
  <headerFooter>
    <oddHeader>&amp;L&amp;8&amp;G&amp;C&amp;"-,Negrita"&amp;16&amp;14MATRIZ DE INDICADORES DE RESULTADOS&amp;R&amp;"-,Negrita"&amp;16    MIR 2017</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9"/>
  <dimension ref="A1:J38"/>
  <sheetViews>
    <sheetView view="pageBreakPreview" zoomScaleNormal="100" zoomScaleSheetLayoutView="100" workbookViewId="0">
      <selection activeCell="E9" sqref="E9"/>
    </sheetView>
  </sheetViews>
  <sheetFormatPr baseColWidth="10" defaultColWidth="11.28515625" defaultRowHeight="16.5" x14ac:dyDescent="0.3"/>
  <cols>
    <col min="1" max="1" width="4.28515625" style="13" customWidth="1"/>
    <col min="2" max="2" width="41" style="13" customWidth="1"/>
    <col min="3" max="5" width="15.7109375" style="13" customWidth="1"/>
    <col min="6" max="16384" width="11.28515625" style="13"/>
  </cols>
  <sheetData>
    <row r="1" spans="1:7" x14ac:dyDescent="0.3">
      <c r="A1" s="110"/>
      <c r="B1" s="368" t="s">
        <v>1</v>
      </c>
      <c r="C1" s="368"/>
      <c r="D1" s="368"/>
      <c r="E1" s="368"/>
    </row>
    <row r="2" spans="1:7" x14ac:dyDescent="0.3">
      <c r="A2" s="23"/>
      <c r="B2" s="321" t="s">
        <v>69</v>
      </c>
      <c r="C2" s="321"/>
      <c r="D2" s="321"/>
      <c r="E2" s="321"/>
    </row>
    <row r="3" spans="1:7" x14ac:dyDescent="0.3">
      <c r="A3" s="111"/>
      <c r="B3" s="369" t="str">
        <f>'[4]ETCA-I-01'!A3</f>
        <v>Comision Estatal del Agua</v>
      </c>
      <c r="C3" s="369"/>
      <c r="D3" s="369"/>
      <c r="E3" s="369"/>
      <c r="G3" s="51"/>
    </row>
    <row r="4" spans="1:7" x14ac:dyDescent="0.3">
      <c r="A4" s="370" t="str">
        <f>'[4]ETCA-I-03'!A4</f>
        <v>Del 01 de Enero al 31 de Diciembre de 2019</v>
      </c>
      <c r="B4" s="370"/>
      <c r="C4" s="370"/>
      <c r="D4" s="370"/>
      <c r="E4" s="370"/>
    </row>
    <row r="5" spans="1:7" x14ac:dyDescent="0.3">
      <c r="A5" s="117"/>
      <c r="B5" s="321" t="s">
        <v>70</v>
      </c>
      <c r="C5" s="321"/>
      <c r="D5" s="112"/>
      <c r="E5" s="23"/>
    </row>
    <row r="6" spans="1:7" ht="6.75" customHeight="1" thickBot="1" x14ac:dyDescent="0.35">
      <c r="A6" s="110"/>
      <c r="B6" s="110"/>
      <c r="C6" s="110"/>
      <c r="D6" s="110"/>
      <c r="E6" s="110"/>
    </row>
    <row r="7" spans="1:7" s="19" customFormat="1" x14ac:dyDescent="0.25">
      <c r="A7" s="372" t="s">
        <v>8</v>
      </c>
      <c r="B7" s="373"/>
      <c r="C7" s="376" t="s">
        <v>71</v>
      </c>
      <c r="D7" s="376" t="s">
        <v>15</v>
      </c>
      <c r="E7" s="380" t="s">
        <v>72</v>
      </c>
    </row>
    <row r="8" spans="1:7" s="19" customFormat="1" ht="17.25" thickBot="1" x14ac:dyDescent="0.3">
      <c r="A8" s="374"/>
      <c r="B8" s="375"/>
      <c r="C8" s="377"/>
      <c r="D8" s="377"/>
      <c r="E8" s="381"/>
    </row>
    <row r="9" spans="1:7" s="19" customFormat="1" ht="20.25" customHeight="1" x14ac:dyDescent="0.25">
      <c r="A9" s="52" t="s">
        <v>73</v>
      </c>
      <c r="B9" s="25"/>
      <c r="C9" s="29">
        <f>C10+C11</f>
        <v>578850855.79999995</v>
      </c>
      <c r="D9" s="29">
        <f>D10+D11</f>
        <v>703213872.22100008</v>
      </c>
      <c r="E9" s="58">
        <f>E10+E11</f>
        <v>703213872.22100008</v>
      </c>
      <c r="F9" s="60" t="str">
        <f>IF((C9-'[5]ETCA-II-01'!C45)&gt;0.9,"ERROR!!!!! EL MONTO NO COINCIDE CON LO REPORTADO EN EL FORMATO ETCA-II-01 EN EL TOTAL DEVENGADO DEL ANALÍTICO DE INGRESOS","")</f>
        <v/>
      </c>
    </row>
    <row r="10" spans="1:7" s="19" customFormat="1" ht="20.25" customHeight="1" x14ac:dyDescent="0.25">
      <c r="A10" s="24"/>
      <c r="B10" s="54" t="s">
        <v>74</v>
      </c>
      <c r="C10" s="26"/>
      <c r="D10" s="26"/>
      <c r="E10" s="53"/>
    </row>
    <row r="11" spans="1:7" s="19" customFormat="1" ht="20.25" customHeight="1" x14ac:dyDescent="0.25">
      <c r="A11" s="24"/>
      <c r="B11" s="54" t="s">
        <v>75</v>
      </c>
      <c r="C11" s="26">
        <v>578850855.79999995</v>
      </c>
      <c r="D11" s="26">
        <v>703213872.22100008</v>
      </c>
      <c r="E11" s="53">
        <v>703213872.22100008</v>
      </c>
    </row>
    <row r="12" spans="1:7" s="19" customFormat="1" ht="20.25" customHeight="1" x14ac:dyDescent="0.25">
      <c r="A12" s="52" t="s">
        <v>76</v>
      </c>
      <c r="B12" s="54"/>
      <c r="C12" s="29">
        <f>C13+C14</f>
        <v>578850855.79999995</v>
      </c>
      <c r="D12" s="29">
        <f>D13+D14</f>
        <v>676939311.55000007</v>
      </c>
      <c r="E12" s="58">
        <f>E13+E14</f>
        <v>629604034.5200001</v>
      </c>
      <c r="F12" s="60" t="str">
        <f>IF((C12-'[5]ETCA II-04'!B81)&gt;0.9,"ERROR!!!!! EL MONTO NO COINCIDE CON LO REPORTADO EN EL FORMATO ETCA-II-04 EN EL TOTAL DEVENGADO DEL ANALÍTICO DE INGRESOS","")</f>
        <v/>
      </c>
    </row>
    <row r="13" spans="1:7" s="19" customFormat="1" ht="20.25" customHeight="1" x14ac:dyDescent="0.25">
      <c r="A13" s="24"/>
      <c r="B13" s="54" t="s">
        <v>77</v>
      </c>
      <c r="C13" s="26"/>
      <c r="D13" s="26"/>
      <c r="E13" s="53"/>
    </row>
    <row r="14" spans="1:7" s="19" customFormat="1" ht="20.25" customHeight="1" x14ac:dyDescent="0.25">
      <c r="A14" s="24"/>
      <c r="B14" s="54" t="s">
        <v>78</v>
      </c>
      <c r="C14" s="26">
        <v>578850855.79999995</v>
      </c>
      <c r="D14" s="26">
        <v>676939311.55000007</v>
      </c>
      <c r="E14" s="53">
        <v>629604034.5200001</v>
      </c>
    </row>
    <row r="15" spans="1:7" s="19" customFormat="1" ht="20.25" customHeight="1" x14ac:dyDescent="0.25">
      <c r="A15" s="52" t="s">
        <v>79</v>
      </c>
      <c r="B15" s="54"/>
      <c r="C15" s="29">
        <f>C9-C12</f>
        <v>0</v>
      </c>
      <c r="D15" s="29">
        <f>D9-D12</f>
        <v>26274560.671000004</v>
      </c>
      <c r="E15" s="58">
        <f>E9-E12</f>
        <v>73609837.700999975</v>
      </c>
    </row>
    <row r="16" spans="1:7" s="19" customFormat="1" ht="20.25" customHeight="1" thickBot="1" x14ac:dyDescent="0.3">
      <c r="A16" s="24"/>
      <c r="B16" s="25"/>
      <c r="C16" s="26"/>
      <c r="D16" s="26"/>
      <c r="E16" s="27"/>
    </row>
    <row r="17" spans="1:6" s="19" customFormat="1" x14ac:dyDescent="0.25">
      <c r="A17" s="372" t="s">
        <v>8</v>
      </c>
      <c r="B17" s="373"/>
      <c r="C17" s="376" t="s">
        <v>71</v>
      </c>
      <c r="D17" s="376" t="s">
        <v>15</v>
      </c>
      <c r="E17" s="378" t="s">
        <v>72</v>
      </c>
    </row>
    <row r="18" spans="1:6" s="19" customFormat="1" ht="12" customHeight="1" thickBot="1" x14ac:dyDescent="0.3">
      <c r="A18" s="374"/>
      <c r="B18" s="375"/>
      <c r="C18" s="377"/>
      <c r="D18" s="377"/>
      <c r="E18" s="379"/>
    </row>
    <row r="19" spans="1:6" s="19" customFormat="1" ht="20.25" customHeight="1" x14ac:dyDescent="0.25">
      <c r="A19" s="52" t="s">
        <v>80</v>
      </c>
      <c r="B19" s="25"/>
      <c r="C19" s="29">
        <f>C15</f>
        <v>0</v>
      </c>
      <c r="D19" s="29">
        <f>D15</f>
        <v>26274560.671000004</v>
      </c>
      <c r="E19" s="72">
        <f>E15</f>
        <v>73609837.700999975</v>
      </c>
    </row>
    <row r="20" spans="1:6" s="19" customFormat="1" ht="20.25" customHeight="1" x14ac:dyDescent="0.25">
      <c r="A20" s="52" t="s">
        <v>81</v>
      </c>
      <c r="B20" s="25"/>
      <c r="C20" s="26"/>
      <c r="D20" s="26">
        <v>30070597.289999999</v>
      </c>
      <c r="E20" s="53">
        <v>30070597.289999999</v>
      </c>
      <c r="F20" s="60" t="str">
        <f>IF((D20-'[4]ETCA-I-03'!C46)&gt;0.9,"ERROR!!!!! EL MONTO NO COINCIDE CON LO REPORTADO EN EL FORMATO ETCA-I-03 POR CONCEPTO DE INTERESES, COMISIONES Y GASTOS DE LA DEUDA","")</f>
        <v/>
      </c>
    </row>
    <row r="21" spans="1:6" s="19" customFormat="1" ht="20.25" customHeight="1" x14ac:dyDescent="0.25">
      <c r="A21" s="52" t="s">
        <v>82</v>
      </c>
      <c r="B21" s="25"/>
      <c r="C21" s="29">
        <f>C19-C20</f>
        <v>0</v>
      </c>
      <c r="D21" s="29">
        <f>D19-D20</f>
        <v>-3796036.6189999953</v>
      </c>
      <c r="E21" s="58">
        <f>E19-E20</f>
        <v>43539240.410999976</v>
      </c>
    </row>
    <row r="22" spans="1:6" s="19" customFormat="1" ht="20.25" customHeight="1" thickBot="1" x14ac:dyDescent="0.3">
      <c r="A22" s="24"/>
      <c r="B22" s="25"/>
      <c r="C22" s="30"/>
      <c r="D22" s="30"/>
      <c r="E22" s="121"/>
    </row>
    <row r="23" spans="1:6" s="19" customFormat="1" ht="28.5" customHeight="1" x14ac:dyDescent="0.25">
      <c r="A23" s="372" t="s">
        <v>8</v>
      </c>
      <c r="B23" s="373"/>
      <c r="C23" s="376" t="s">
        <v>71</v>
      </c>
      <c r="D23" s="55" t="s">
        <v>15</v>
      </c>
      <c r="E23" s="378" t="s">
        <v>72</v>
      </c>
    </row>
    <row r="24" spans="1:6" s="19" customFormat="1" ht="0.75" customHeight="1" thickBot="1" x14ac:dyDescent="0.3">
      <c r="A24" s="374"/>
      <c r="B24" s="375"/>
      <c r="C24" s="377"/>
      <c r="D24" s="56"/>
      <c r="E24" s="379"/>
    </row>
    <row r="25" spans="1:6" s="19" customFormat="1" ht="20.25" customHeight="1" x14ac:dyDescent="0.25">
      <c r="A25" s="52" t="s">
        <v>83</v>
      </c>
      <c r="B25" s="25"/>
      <c r="C25" s="26"/>
      <c r="D25" s="26"/>
      <c r="E25" s="27"/>
    </row>
    <row r="26" spans="1:6" s="19" customFormat="1" ht="20.25" customHeight="1" x14ac:dyDescent="0.25">
      <c r="A26" s="52" t="s">
        <v>84</v>
      </c>
      <c r="B26" s="25"/>
      <c r="C26" s="26"/>
      <c r="D26" s="26">
        <v>16983455.920000002</v>
      </c>
      <c r="E26" s="27">
        <v>16983455.920000002</v>
      </c>
    </row>
    <row r="27" spans="1:6" s="19" customFormat="1" ht="20.25" customHeight="1" x14ac:dyDescent="0.25">
      <c r="A27" s="52" t="s">
        <v>85</v>
      </c>
      <c r="B27" s="25"/>
      <c r="C27" s="29">
        <f>C25-C26</f>
        <v>0</v>
      </c>
      <c r="D27" s="29">
        <f>D25-D26</f>
        <v>-16983455.920000002</v>
      </c>
      <c r="E27" s="58">
        <f>E25-E26</f>
        <v>-16983455.920000002</v>
      </c>
    </row>
    <row r="28" spans="1:6" s="19" customFormat="1" ht="20.25" customHeight="1" thickBot="1" x14ac:dyDescent="0.3">
      <c r="A28" s="118"/>
      <c r="B28" s="119"/>
      <c r="C28" s="120"/>
      <c r="D28" s="120"/>
      <c r="E28" s="57"/>
    </row>
    <row r="29" spans="1:6" s="19" customFormat="1" ht="18" customHeight="1" x14ac:dyDescent="0.25">
      <c r="A29" s="113" t="s">
        <v>2</v>
      </c>
      <c r="B29" s="111"/>
      <c r="C29" s="111"/>
      <c r="D29" s="111"/>
      <c r="E29" s="111"/>
    </row>
    <row r="30" spans="1:6" s="19" customFormat="1" ht="18" customHeight="1" x14ac:dyDescent="0.25">
      <c r="A30" s="68"/>
      <c r="B30" s="68"/>
      <c r="C30" s="68"/>
      <c r="D30" s="68"/>
      <c r="E30" s="68"/>
    </row>
    <row r="31" spans="1:6" s="19" customFormat="1" ht="18" customHeight="1" x14ac:dyDescent="0.25">
      <c r="A31" s="68"/>
      <c r="B31" s="68"/>
      <c r="C31" s="68"/>
      <c r="D31" s="68"/>
      <c r="E31" s="68"/>
    </row>
    <row r="32" spans="1:6" s="19" customFormat="1" ht="18" customHeight="1" x14ac:dyDescent="0.25">
      <c r="A32" s="68"/>
      <c r="B32" s="68"/>
      <c r="C32" s="68"/>
      <c r="D32" s="68"/>
      <c r="E32" s="68"/>
    </row>
    <row r="33" spans="1:10" ht="18" customHeight="1" x14ac:dyDescent="0.3">
      <c r="A33" s="113" t="s">
        <v>7</v>
      </c>
      <c r="B33" s="23" t="s">
        <v>86</v>
      </c>
      <c r="C33" s="111"/>
      <c r="D33" s="111"/>
      <c r="E33" s="111"/>
      <c r="J33" s="28"/>
    </row>
    <row r="34" spans="1:10" ht="49.5" customHeight="1" x14ac:dyDescent="0.3">
      <c r="A34" s="371" t="s">
        <v>87</v>
      </c>
      <c r="B34" s="371"/>
      <c r="C34" s="371"/>
      <c r="D34" s="371"/>
      <c r="E34" s="371"/>
    </row>
    <row r="35" spans="1:10" x14ac:dyDescent="0.3">
      <c r="A35" s="111"/>
      <c r="B35" s="111"/>
      <c r="C35" s="111"/>
      <c r="D35" s="111"/>
      <c r="E35" s="111"/>
    </row>
    <row r="36" spans="1:10" ht="75" customHeight="1" x14ac:dyDescent="0.3">
      <c r="A36" s="371" t="s">
        <v>88</v>
      </c>
      <c r="B36" s="371"/>
      <c r="C36" s="371"/>
      <c r="D36" s="371"/>
      <c r="E36" s="371"/>
    </row>
    <row r="37" spans="1:10" ht="5.25" customHeight="1" x14ac:dyDescent="0.3">
      <c r="A37" s="111"/>
      <c r="B37" s="111"/>
      <c r="C37" s="111"/>
      <c r="D37" s="111"/>
      <c r="E37" s="111"/>
    </row>
    <row r="38" spans="1:10" ht="13.5" customHeight="1" x14ac:dyDescent="0.3">
      <c r="A38" s="371" t="s">
        <v>89</v>
      </c>
      <c r="B38" s="371"/>
      <c r="C38" s="371"/>
      <c r="D38" s="371"/>
      <c r="E38" s="371"/>
    </row>
  </sheetData>
  <sheetProtection sheet="1" scenarios="1" insertHyperlinks="0"/>
  <mergeCells count="19">
    <mergeCell ref="A7:B8"/>
    <mergeCell ref="C7:C8"/>
    <mergeCell ref="E7:E8"/>
    <mergeCell ref="C17:C18"/>
    <mergeCell ref="E17:E18"/>
    <mergeCell ref="A17:B18"/>
    <mergeCell ref="D7:D8"/>
    <mergeCell ref="D17:D18"/>
    <mergeCell ref="A34:E34"/>
    <mergeCell ref="A36:E36"/>
    <mergeCell ref="A38:E38"/>
    <mergeCell ref="A23:B24"/>
    <mergeCell ref="C23:C24"/>
    <mergeCell ref="E23:E24"/>
    <mergeCell ref="B1:E1"/>
    <mergeCell ref="B2:E2"/>
    <mergeCell ref="B3:E3"/>
    <mergeCell ref="B5:C5"/>
    <mergeCell ref="A4:E4"/>
  </mergeCells>
  <printOptions horizontalCentered="1"/>
  <pageMargins left="0.39370078740157483" right="0.39370078740157483" top="0.74803149606299213" bottom="0.74803149606299213" header="0.31496062992125984" footer="0.31496062992125984"/>
  <pageSetup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89"/>
  <sheetViews>
    <sheetView view="pageBreakPreview" zoomScaleNormal="100" zoomScaleSheetLayoutView="100" workbookViewId="0">
      <selection activeCell="D13" sqref="D13"/>
    </sheetView>
  </sheetViews>
  <sheetFormatPr baseColWidth="10" defaultColWidth="11.42578125" defaultRowHeight="15" x14ac:dyDescent="0.25"/>
  <cols>
    <col min="1" max="1" width="1.28515625" customWidth="1"/>
    <col min="2" max="2" width="61.7109375" customWidth="1"/>
    <col min="3" max="3" width="14.28515625" customWidth="1"/>
    <col min="4" max="4" width="13.7109375" customWidth="1"/>
    <col min="5" max="5" width="13.42578125" customWidth="1"/>
    <col min="6" max="6" width="2.42578125" customWidth="1"/>
    <col min="7" max="7" width="24" customWidth="1"/>
  </cols>
  <sheetData>
    <row r="1" spans="1:6" ht="15.75" x14ac:dyDescent="0.25">
      <c r="A1" s="309" t="s">
        <v>1</v>
      </c>
      <c r="B1" s="309"/>
      <c r="C1" s="309"/>
      <c r="D1" s="309"/>
      <c r="E1" s="309"/>
    </row>
    <row r="2" spans="1:6" ht="15.75" customHeight="1" x14ac:dyDescent="0.25">
      <c r="A2" s="310" t="s">
        <v>90</v>
      </c>
      <c r="B2" s="310"/>
      <c r="C2" s="310"/>
      <c r="D2" s="310"/>
      <c r="E2" s="310"/>
    </row>
    <row r="3" spans="1:6" ht="16.5" customHeight="1" x14ac:dyDescent="0.25">
      <c r="A3" s="310" t="str">
        <f>'[4]ETCA-I-01'!A3:G3</f>
        <v>Comision Estatal del Agua</v>
      </c>
      <c r="B3" s="310"/>
      <c r="C3" s="310"/>
      <c r="D3" s="310"/>
      <c r="E3" s="310"/>
    </row>
    <row r="4" spans="1:6" ht="15.75" customHeight="1" x14ac:dyDescent="0.25">
      <c r="A4" s="312" t="str">
        <f>'[4]ETCA-I-03'!A4:D4</f>
        <v>Del 01 de Enero al 31 de Diciembre de 2019</v>
      </c>
      <c r="B4" s="312"/>
      <c r="C4" s="312"/>
      <c r="D4" s="312"/>
      <c r="E4" s="312"/>
    </row>
    <row r="5" spans="1:6" ht="15.75" customHeight="1" x14ac:dyDescent="0.25">
      <c r="A5" s="400" t="s">
        <v>3</v>
      </c>
      <c r="B5" s="400"/>
      <c r="C5" s="400"/>
      <c r="D5" s="400"/>
      <c r="E5" s="400"/>
    </row>
    <row r="6" spans="1:6" ht="15.75" customHeight="1" thickBot="1" x14ac:dyDescent="0.3">
      <c r="A6" s="127"/>
      <c r="B6" s="127"/>
      <c r="C6" s="127"/>
      <c r="D6" s="127"/>
      <c r="E6" s="127"/>
    </row>
    <row r="7" spans="1:6" x14ac:dyDescent="0.25">
      <c r="A7" s="389" t="s">
        <v>4</v>
      </c>
      <c r="B7" s="390"/>
      <c r="C7" s="115" t="s">
        <v>91</v>
      </c>
      <c r="D7" s="319" t="s">
        <v>15</v>
      </c>
      <c r="E7" s="99" t="s">
        <v>92</v>
      </c>
    </row>
    <row r="8" spans="1:6" ht="15.75" thickBot="1" x14ac:dyDescent="0.3">
      <c r="A8" s="391"/>
      <c r="B8" s="392"/>
      <c r="C8" s="116" t="s">
        <v>22</v>
      </c>
      <c r="D8" s="320"/>
      <c r="E8" s="81" t="s">
        <v>23</v>
      </c>
    </row>
    <row r="9" spans="1:6" ht="7.5" customHeight="1" x14ac:dyDescent="0.25">
      <c r="A9" s="128"/>
      <c r="B9" s="82"/>
      <c r="C9" s="82"/>
      <c r="D9" s="82"/>
      <c r="E9" s="82"/>
    </row>
    <row r="10" spans="1:6" x14ac:dyDescent="0.25">
      <c r="A10" s="128"/>
      <c r="B10" s="83" t="s">
        <v>93</v>
      </c>
      <c r="C10" s="106">
        <f>SUM(C11:C13)</f>
        <v>578850855.79999995</v>
      </c>
      <c r="D10" s="106">
        <f>SUM(D11:D13)</f>
        <v>686230416.30100012</v>
      </c>
      <c r="E10" s="106">
        <f>SUM(E11:E13)</f>
        <v>686230416.30100012</v>
      </c>
      <c r="F10" s="69" t="str">
        <f>IF(C10&lt;&gt;'ETCA-IV-01'!C9,"ERROR!!!!! EL MONTO NO COINCIDE CON LO REPORTADO EN EL FORMATO ETCA-IV-01 ","")</f>
        <v/>
      </c>
    </row>
    <row r="11" spans="1:6" ht="14.25" customHeight="1" x14ac:dyDescent="0.25">
      <c r="A11" s="128"/>
      <c r="B11" s="82" t="s">
        <v>94</v>
      </c>
      <c r="C11" s="100">
        <v>512550855.79999995</v>
      </c>
      <c r="D11" s="100">
        <v>531309347.29100013</v>
      </c>
      <c r="E11" s="100">
        <v>531309347.29100013</v>
      </c>
      <c r="F11" s="69" t="str">
        <f>IF(D10&lt;&gt;'ETCA-IV-01'!D9,"ERROR!!!!! EL MONTO NO COINCIDE CON LO REPORTADO EN EL FORMATO ETCA-IV-01 ","")</f>
        <v xml:space="preserve">ERROR!!!!! EL MONTO NO COINCIDE CON LO REPORTADO EN EL FORMATO ETCA-IV-01 </v>
      </c>
    </row>
    <row r="12" spans="1:6" ht="14.25" customHeight="1" x14ac:dyDescent="0.25">
      <c r="A12" s="128"/>
      <c r="B12" s="82" t="s">
        <v>95</v>
      </c>
      <c r="C12" s="100">
        <v>66300000</v>
      </c>
      <c r="D12" s="100">
        <v>171904524.92999998</v>
      </c>
      <c r="E12" s="100">
        <v>171904524.92999998</v>
      </c>
      <c r="F12" s="69" t="str">
        <f>IF(E10&lt;&gt;'ETCA-IV-01'!E9,"ERROR!!!!! EL MONTO NO COINCIDE CON LO REPORTADO EN EL FORMATO ETCA-IV-01 ","")</f>
        <v xml:space="preserve">ERROR!!!!! EL MONTO NO COINCIDE CON LO REPORTADO EN EL FORMATO ETCA-IV-01 </v>
      </c>
    </row>
    <row r="13" spans="1:6" ht="14.25" customHeight="1" x14ac:dyDescent="0.25">
      <c r="A13" s="128"/>
      <c r="B13" s="82" t="s">
        <v>96</v>
      </c>
      <c r="C13" s="100"/>
      <c r="D13" s="100">
        <v>-16983455.920000002</v>
      </c>
      <c r="E13" s="100">
        <v>-16983455.920000002</v>
      </c>
    </row>
    <row r="14" spans="1:6" ht="3.75" customHeight="1" x14ac:dyDescent="0.25">
      <c r="A14" s="126"/>
      <c r="B14" s="83"/>
      <c r="C14" s="101"/>
      <c r="D14" s="101"/>
      <c r="E14" s="101"/>
    </row>
    <row r="15" spans="1:6" x14ac:dyDescent="0.25">
      <c r="A15" s="126"/>
      <c r="B15" s="83" t="s">
        <v>97</v>
      </c>
      <c r="C15" s="106">
        <f>SUM(C16:C17)</f>
        <v>578850855.79999995</v>
      </c>
      <c r="D15" s="106">
        <f>SUM(D16:D17)</f>
        <v>676939311.55000007</v>
      </c>
      <c r="E15" s="106">
        <f>SUM(E16:E17)</f>
        <v>629604034.5200001</v>
      </c>
      <c r="F15" s="69" t="str">
        <f>IF(C15&lt;&gt;'ETCA-IV-01'!C12,"ERROR!!!!! EL MONTO NO COINCIDE CON LO REPORTADO EN EL FORMATO ETCA-IV-01 ","")</f>
        <v/>
      </c>
    </row>
    <row r="16" spans="1:6" ht="21" customHeight="1" x14ac:dyDescent="0.25">
      <c r="A16" s="128"/>
      <c r="B16" s="82" t="s">
        <v>98</v>
      </c>
      <c r="C16" s="100">
        <v>512550855.79999995</v>
      </c>
      <c r="D16" s="100">
        <v>557806093.75000012</v>
      </c>
      <c r="E16" s="100">
        <v>510505957.54000008</v>
      </c>
      <c r="F16" s="69" t="str">
        <f>IF(D15&lt;&gt;'ETCA-IV-01'!D12,"ERROR!!!!! EL MONTO NO COINCIDE CON LO REPORTADO EN EL FORMATO ETCA-IV-01 ","")</f>
        <v/>
      </c>
    </row>
    <row r="17" spans="1:6" ht="21" customHeight="1" x14ac:dyDescent="0.25">
      <c r="A17" s="128"/>
      <c r="B17" s="82" t="s">
        <v>99</v>
      </c>
      <c r="C17" s="100">
        <v>66300000</v>
      </c>
      <c r="D17" s="100">
        <v>119133217.8</v>
      </c>
      <c r="E17" s="100">
        <v>119098076.98</v>
      </c>
      <c r="F17" s="69" t="str">
        <f>IF(E15&lt;&gt;'ETCA-IV-01'!E12,"ERROR!!!!! EL MONTO NO COINCIDE CON LO REPORTADO EN EL FORMATO ETCA-IV-01 ","")</f>
        <v/>
      </c>
    </row>
    <row r="18" spans="1:6" ht="8.25" customHeight="1" x14ac:dyDescent="0.25">
      <c r="A18" s="128"/>
      <c r="B18" s="82"/>
      <c r="C18" s="101"/>
      <c r="D18" s="101"/>
      <c r="E18" s="101"/>
    </row>
    <row r="19" spans="1:6" x14ac:dyDescent="0.25">
      <c r="A19" s="128"/>
      <c r="B19" s="83" t="s">
        <v>100</v>
      </c>
      <c r="C19" s="106">
        <f>SUM(C20:C21)</f>
        <v>0</v>
      </c>
      <c r="D19" s="106">
        <f t="shared" ref="D19:E19" si="0">SUM(D20:D21)</f>
        <v>56784037.100000001</v>
      </c>
      <c r="E19" s="106">
        <f t="shared" si="0"/>
        <v>56784037.100000001</v>
      </c>
      <c r="F19" s="69" t="s">
        <v>7</v>
      </c>
    </row>
    <row r="20" spans="1:6" ht="19.5" customHeight="1" x14ac:dyDescent="0.25">
      <c r="A20" s="128"/>
      <c r="B20" s="82" t="s">
        <v>101</v>
      </c>
      <c r="C20" s="108"/>
      <c r="D20" s="100">
        <v>37916498.100000001</v>
      </c>
      <c r="E20" s="100">
        <v>37916498.100000001</v>
      </c>
      <c r="F20" s="69" t="s">
        <v>7</v>
      </c>
    </row>
    <row r="21" spans="1:6" ht="19.5" customHeight="1" x14ac:dyDescent="0.25">
      <c r="A21" s="128"/>
      <c r="B21" s="82" t="s">
        <v>102</v>
      </c>
      <c r="C21" s="108"/>
      <c r="D21" s="100">
        <v>18867539</v>
      </c>
      <c r="E21" s="100">
        <v>18867539</v>
      </c>
      <c r="F21" s="69" t="s">
        <v>7</v>
      </c>
    </row>
    <row r="22" spans="1:6" ht="6.75" customHeight="1" x14ac:dyDescent="0.25">
      <c r="A22" s="128"/>
      <c r="B22" s="82"/>
      <c r="C22" s="101"/>
      <c r="D22" s="101"/>
      <c r="E22" s="101"/>
      <c r="F22" s="69" t="s">
        <v>7</v>
      </c>
    </row>
    <row r="23" spans="1:6" x14ac:dyDescent="0.25">
      <c r="A23" s="401"/>
      <c r="B23" s="83" t="s">
        <v>103</v>
      </c>
      <c r="C23" s="106">
        <f>+C10-C15+C19</f>
        <v>0</v>
      </c>
      <c r="D23" s="106">
        <f>+D10-D15+D19</f>
        <v>66075141.851000048</v>
      </c>
      <c r="E23" s="106">
        <f>+E10-E15+E19</f>
        <v>113410418.88100001</v>
      </c>
    </row>
    <row r="24" spans="1:6" ht="6.75" customHeight="1" x14ac:dyDescent="0.25">
      <c r="A24" s="401"/>
      <c r="B24" s="83"/>
      <c r="C24" s="101" t="s">
        <v>7</v>
      </c>
      <c r="D24" s="101" t="s">
        <v>7</v>
      </c>
      <c r="E24" s="101" t="s">
        <v>7</v>
      </c>
    </row>
    <row r="25" spans="1:6" ht="16.5" customHeight="1" x14ac:dyDescent="0.25">
      <c r="A25" s="401"/>
      <c r="B25" s="83" t="s">
        <v>104</v>
      </c>
      <c r="C25" s="106">
        <f>+C23-C13</f>
        <v>0</v>
      </c>
      <c r="D25" s="106">
        <f>+D23-D13</f>
        <v>83058597.771000057</v>
      </c>
      <c r="E25" s="106">
        <f>+E23-E13</f>
        <v>130393874.80100001</v>
      </c>
    </row>
    <row r="26" spans="1:6" ht="6" customHeight="1" x14ac:dyDescent="0.25">
      <c r="A26" s="401"/>
      <c r="B26" s="83"/>
      <c r="C26" s="101" t="s">
        <v>7</v>
      </c>
      <c r="D26" s="101" t="s">
        <v>7</v>
      </c>
      <c r="E26" s="101" t="s">
        <v>7</v>
      </c>
    </row>
    <row r="27" spans="1:6" ht="30" customHeight="1" x14ac:dyDescent="0.25">
      <c r="A27" s="128"/>
      <c r="B27" s="83" t="s">
        <v>105</v>
      </c>
      <c r="C27" s="106">
        <f>+C25-C19</f>
        <v>0</v>
      </c>
      <c r="D27" s="106">
        <f>+D25-D19</f>
        <v>26274560.671000056</v>
      </c>
      <c r="E27" s="106">
        <f>+E25-E19</f>
        <v>73609837.701000005</v>
      </c>
    </row>
    <row r="28" spans="1:6" ht="6" customHeight="1" thickBot="1" x14ac:dyDescent="0.3">
      <c r="A28" s="85"/>
      <c r="B28" s="86"/>
      <c r="C28" s="87"/>
      <c r="D28" s="87"/>
      <c r="E28" s="87"/>
    </row>
    <row r="29" spans="1:6" ht="12" customHeight="1" thickBot="1" x14ac:dyDescent="0.3">
      <c r="A29" s="402"/>
      <c r="B29" s="402"/>
      <c r="C29" s="402"/>
      <c r="D29" s="402"/>
      <c r="E29" s="402"/>
    </row>
    <row r="30" spans="1:6" ht="15.75" thickBot="1" x14ac:dyDescent="0.3">
      <c r="A30" s="403" t="s">
        <v>8</v>
      </c>
      <c r="B30" s="404"/>
      <c r="C30" s="114" t="s">
        <v>106</v>
      </c>
      <c r="D30" s="114" t="s">
        <v>15</v>
      </c>
      <c r="E30" s="114" t="s">
        <v>24</v>
      </c>
    </row>
    <row r="31" spans="1:6" ht="6" customHeight="1" x14ac:dyDescent="0.25">
      <c r="A31" s="128"/>
      <c r="B31" s="82"/>
      <c r="C31" s="82"/>
      <c r="D31" s="82"/>
      <c r="E31" s="82"/>
    </row>
    <row r="32" spans="1:6" ht="18" customHeight="1" x14ac:dyDescent="0.25">
      <c r="A32" s="399"/>
      <c r="B32" s="83" t="s">
        <v>107</v>
      </c>
      <c r="C32" s="106">
        <f>SUM(C33:C34)</f>
        <v>0</v>
      </c>
      <c r="D32" s="106">
        <f>SUM(D33:D34)</f>
        <v>30070597.289999999</v>
      </c>
      <c r="E32" s="106">
        <f>SUM(E33:E34)</f>
        <v>30070597.289999999</v>
      </c>
      <c r="F32" s="69" t="str">
        <f>IF(C32&lt;&gt;'ETCA-IV-01'!C20,"ERROR!!!!! EL MONTO NO COINCIDE CON LO REPORTADO EN EL FORMATO ETCA-IV-01 ","")</f>
        <v/>
      </c>
    </row>
    <row r="33" spans="1:6" ht="26.25" customHeight="1" x14ac:dyDescent="0.25">
      <c r="A33" s="399"/>
      <c r="B33" s="84" t="s">
        <v>108</v>
      </c>
      <c r="C33" s="100"/>
      <c r="D33" s="100">
        <v>30070597.289999999</v>
      </c>
      <c r="E33" s="100">
        <v>30070597.289999999</v>
      </c>
      <c r="F33" s="69" t="str">
        <f>IF(D32&lt;&gt;'ETCA-IV-01'!D20,"ERROR!!!!! EL MONTO NO COINCIDE CON LO REPORTADO EN EL FORMATO ETCA-IV-01 ","")</f>
        <v/>
      </c>
    </row>
    <row r="34" spans="1:6" ht="26.25" customHeight="1" x14ac:dyDescent="0.25">
      <c r="A34" s="399"/>
      <c r="B34" s="84" t="s">
        <v>109</v>
      </c>
      <c r="C34" s="101">
        <v>0</v>
      </c>
      <c r="D34" s="101">
        <v>0</v>
      </c>
      <c r="E34" s="101">
        <v>0</v>
      </c>
      <c r="F34" s="69" t="str">
        <f>IF(E32&lt;&gt;'ETCA-IV-01'!E20,"ERROR!!!!! EL MONTO NO COINCIDE CON LO REPORTADO EN EL FORMATO ETCA-IV-01 ","")</f>
        <v/>
      </c>
    </row>
    <row r="35" spans="1:6" ht="4.5" customHeight="1" x14ac:dyDescent="0.25">
      <c r="A35" s="126"/>
      <c r="B35" s="83"/>
      <c r="C35" s="100"/>
      <c r="D35" s="100"/>
      <c r="E35" s="100"/>
    </row>
    <row r="36" spans="1:6" x14ac:dyDescent="0.25">
      <c r="A36" s="126"/>
      <c r="B36" s="83" t="s">
        <v>110</v>
      </c>
      <c r="C36" s="106">
        <f>+C27+C32</f>
        <v>0</v>
      </c>
      <c r="D36" s="106">
        <f>+D27+D32</f>
        <v>56345157.961000055</v>
      </c>
      <c r="E36" s="106">
        <f>+E27+E32</f>
        <v>103680434.991</v>
      </c>
    </row>
    <row r="37" spans="1:6" ht="6.75" customHeight="1" thickBot="1" x14ac:dyDescent="0.3">
      <c r="A37" s="80"/>
      <c r="B37" s="79"/>
      <c r="C37" s="79"/>
      <c r="D37" s="79"/>
      <c r="E37" s="79"/>
    </row>
    <row r="38" spans="1:6" ht="9" customHeight="1" thickBot="1" x14ac:dyDescent="0.3"/>
    <row r="39" spans="1:6" x14ac:dyDescent="0.25">
      <c r="A39" s="389" t="s">
        <v>8</v>
      </c>
      <c r="B39" s="390"/>
      <c r="C39" s="393" t="s">
        <v>111</v>
      </c>
      <c r="D39" s="317" t="s">
        <v>15</v>
      </c>
      <c r="E39" s="88" t="s">
        <v>92</v>
      </c>
    </row>
    <row r="40" spans="1:6" ht="15.75" thickBot="1" x14ac:dyDescent="0.3">
      <c r="A40" s="391"/>
      <c r="B40" s="392"/>
      <c r="C40" s="394"/>
      <c r="D40" s="318"/>
      <c r="E40" s="89" t="s">
        <v>24</v>
      </c>
    </row>
    <row r="41" spans="1:6" ht="5.25" customHeight="1" x14ac:dyDescent="0.25">
      <c r="A41" s="123"/>
      <c r="B41" s="90"/>
      <c r="C41" s="90"/>
      <c r="D41" s="90"/>
      <c r="E41" s="90"/>
    </row>
    <row r="42" spans="1:6" x14ac:dyDescent="0.25">
      <c r="A42" s="122"/>
      <c r="B42" s="125" t="s">
        <v>112</v>
      </c>
      <c r="C42" s="107">
        <f>SUM(C43:C44)</f>
        <v>0</v>
      </c>
      <c r="D42" s="107">
        <f>SUM(D43:D44)</f>
        <v>0</v>
      </c>
      <c r="E42" s="107">
        <f>SUM(E43:E44)</f>
        <v>0</v>
      </c>
      <c r="F42" s="69" t="str">
        <f>IF(C42&lt;&gt;'ETCA-IV-01'!C25,"ERROR!!!!! EL MONTO NO COINCIDE CON LO REPORTADO EN EL FORMATO ETCA-IV-01 ","")</f>
        <v/>
      </c>
    </row>
    <row r="43" spans="1:6" x14ac:dyDescent="0.25">
      <c r="A43" s="385"/>
      <c r="B43" s="91" t="s">
        <v>113</v>
      </c>
      <c r="C43" s="100"/>
      <c r="D43" s="100"/>
      <c r="E43" s="100"/>
      <c r="F43" s="69" t="str">
        <f>IF(D42&lt;&gt;'ETCA-IV-01'!D25,"ERROR!!!!! EL MONTO NO COINCIDE CON LO REPORTADO EN EL FORMATO ETCA-IV-01 ","")</f>
        <v/>
      </c>
    </row>
    <row r="44" spans="1:6" x14ac:dyDescent="0.25">
      <c r="A44" s="385"/>
      <c r="B44" s="91" t="s">
        <v>114</v>
      </c>
      <c r="C44" s="100">
        <v>0</v>
      </c>
      <c r="D44" s="100" t="s">
        <v>7</v>
      </c>
      <c r="E44" s="100">
        <v>0</v>
      </c>
      <c r="F44" s="69" t="str">
        <f>IF(E42&lt;&gt;'ETCA-IV-01'!E25,"ERROR!!!!! EL MONTO NO COINCIDE CON LO REPORTADO EN EL FORMATO ETCA-IV-01 ","")</f>
        <v/>
      </c>
    </row>
    <row r="45" spans="1:6" x14ac:dyDescent="0.25">
      <c r="A45" s="382"/>
      <c r="B45" s="125" t="s">
        <v>115</v>
      </c>
      <c r="C45" s="107">
        <f>SUM(C46:C47)</f>
        <v>0</v>
      </c>
      <c r="D45" s="107">
        <f>SUM(D46:D47)</f>
        <v>16983455.920000002</v>
      </c>
      <c r="E45" s="107">
        <f>SUM(E46:E47)</f>
        <v>16983455.920000002</v>
      </c>
      <c r="F45" s="69" t="str">
        <f>IF(C45&lt;&gt;'ETCA-IV-01'!C26,"ERROR!!!!! EL MONTO NO COINCIDE CON LO REPORTADO EN EL FORMATO ETCA-IV-01 ","")</f>
        <v/>
      </c>
    </row>
    <row r="46" spans="1:6" x14ac:dyDescent="0.25">
      <c r="A46" s="382"/>
      <c r="B46" s="91" t="s">
        <v>116</v>
      </c>
      <c r="C46" s="100"/>
      <c r="D46" s="100">
        <v>16983455.920000002</v>
      </c>
      <c r="E46" s="100">
        <v>16983455.920000002</v>
      </c>
      <c r="F46" s="69" t="str">
        <f>IF(D45&lt;&gt;'ETCA-IV-01'!D26,"ERROR!!!!! EL MONTO NO COINCIDE CON LO REPORTADO EN EL FORMATO ETCA-IV-01 ","")</f>
        <v/>
      </c>
    </row>
    <row r="47" spans="1:6" x14ac:dyDescent="0.25">
      <c r="A47" s="382"/>
      <c r="B47" s="91" t="s">
        <v>117</v>
      </c>
      <c r="C47" s="100">
        <v>0</v>
      </c>
      <c r="D47" s="100">
        <v>0</v>
      </c>
      <c r="E47" s="100">
        <v>0</v>
      </c>
      <c r="F47" s="69" t="str">
        <f>IF(E45&lt;&gt;'ETCA-IV-01'!E26,"ERROR!!!!! EL MONTO NO COINCIDE CON LO REPORTADO EN EL FORMATO ETCA-IV-01 ","")</f>
        <v/>
      </c>
    </row>
    <row r="48" spans="1:6" ht="6.75" customHeight="1" x14ac:dyDescent="0.25">
      <c r="A48" s="122"/>
      <c r="B48" s="125"/>
      <c r="C48" s="96"/>
      <c r="D48" s="96"/>
      <c r="E48" s="96"/>
    </row>
    <row r="49" spans="1:5" x14ac:dyDescent="0.25">
      <c r="A49" s="382"/>
      <c r="B49" s="395" t="s">
        <v>118</v>
      </c>
      <c r="C49" s="397">
        <f>+C42-C45</f>
        <v>0</v>
      </c>
      <c r="D49" s="397">
        <f>+D42-D45</f>
        <v>-16983455.920000002</v>
      </c>
      <c r="E49" s="397">
        <f>+E42-E45</f>
        <v>-16983455.920000002</v>
      </c>
    </row>
    <row r="50" spans="1:5" ht="15.75" thickBot="1" x14ac:dyDescent="0.3">
      <c r="A50" s="383"/>
      <c r="B50" s="396"/>
      <c r="C50" s="398"/>
      <c r="D50" s="398"/>
      <c r="E50" s="398"/>
    </row>
    <row r="51" spans="1:5" x14ac:dyDescent="0.25">
      <c r="A51" s="95"/>
      <c r="B51" s="95"/>
      <c r="C51" s="95"/>
      <c r="D51" s="95"/>
      <c r="E51" s="95"/>
    </row>
    <row r="52" spans="1:5" x14ac:dyDescent="0.25">
      <c r="A52" s="95"/>
      <c r="B52" s="95"/>
      <c r="C52" s="95"/>
      <c r="D52" s="95"/>
      <c r="E52" s="95"/>
    </row>
    <row r="53" spans="1:5" x14ac:dyDescent="0.25">
      <c r="A53" s="95"/>
      <c r="B53" s="95"/>
      <c r="C53" s="95"/>
      <c r="D53" s="95"/>
      <c r="E53" s="95"/>
    </row>
    <row r="54" spans="1:5" ht="15.75" thickBot="1" x14ac:dyDescent="0.3">
      <c r="A54" s="95"/>
      <c r="B54" s="95"/>
      <c r="C54" s="95"/>
      <c r="D54" s="95"/>
      <c r="E54" s="95"/>
    </row>
    <row r="55" spans="1:5" x14ac:dyDescent="0.25">
      <c r="A55" s="389" t="s">
        <v>8</v>
      </c>
      <c r="B55" s="390"/>
      <c r="C55" s="88" t="s">
        <v>91</v>
      </c>
      <c r="D55" s="317" t="s">
        <v>15</v>
      </c>
      <c r="E55" s="88" t="s">
        <v>92</v>
      </c>
    </row>
    <row r="56" spans="1:5" ht="15.75" thickBot="1" x14ac:dyDescent="0.3">
      <c r="A56" s="391"/>
      <c r="B56" s="392"/>
      <c r="C56" s="89" t="s">
        <v>106</v>
      </c>
      <c r="D56" s="318"/>
      <c r="E56" s="89" t="s">
        <v>24</v>
      </c>
    </row>
    <row r="57" spans="1:5" ht="6" customHeight="1" x14ac:dyDescent="0.25">
      <c r="A57" s="386"/>
      <c r="B57" s="387"/>
      <c r="C57" s="90"/>
      <c r="D57" s="90"/>
      <c r="E57" s="90"/>
    </row>
    <row r="58" spans="1:5" x14ac:dyDescent="0.25">
      <c r="A58" s="385"/>
      <c r="B58" s="388" t="s">
        <v>119</v>
      </c>
      <c r="C58" s="384">
        <f>+C11</f>
        <v>512550855.79999995</v>
      </c>
      <c r="D58" s="384">
        <f>+D11</f>
        <v>531309347.29100013</v>
      </c>
      <c r="E58" s="384">
        <f>+E11</f>
        <v>531309347.29100013</v>
      </c>
    </row>
    <row r="59" spans="1:5" x14ac:dyDescent="0.25">
      <c r="A59" s="385"/>
      <c r="B59" s="388"/>
      <c r="C59" s="384"/>
      <c r="D59" s="384"/>
      <c r="E59" s="384"/>
    </row>
    <row r="60" spans="1:5" ht="19.5" x14ac:dyDescent="0.25">
      <c r="A60" s="385"/>
      <c r="B60" s="92" t="s">
        <v>120</v>
      </c>
      <c r="C60" s="102">
        <f>+C61-C62</f>
        <v>0</v>
      </c>
      <c r="D60" s="102">
        <f>+D61-D62</f>
        <v>-16983455.920000002</v>
      </c>
      <c r="E60" s="102">
        <f>+E61-E62</f>
        <v>-16983455.920000002</v>
      </c>
    </row>
    <row r="61" spans="1:5" x14ac:dyDescent="0.25">
      <c r="A61" s="385"/>
      <c r="B61" s="91" t="s">
        <v>113</v>
      </c>
      <c r="C61" s="102">
        <f>+C43</f>
        <v>0</v>
      </c>
      <c r="D61" s="102">
        <f>+D43</f>
        <v>0</v>
      </c>
      <c r="E61" s="102">
        <f>+E43</f>
        <v>0</v>
      </c>
    </row>
    <row r="62" spans="1:5" x14ac:dyDescent="0.25">
      <c r="A62" s="385"/>
      <c r="B62" s="91" t="s">
        <v>116</v>
      </c>
      <c r="C62" s="102">
        <f>+C46</f>
        <v>0</v>
      </c>
      <c r="D62" s="102">
        <f>+D46</f>
        <v>16983455.920000002</v>
      </c>
      <c r="E62" s="102">
        <f>+E46</f>
        <v>16983455.920000002</v>
      </c>
    </row>
    <row r="63" spans="1:5" ht="5.25" customHeight="1" x14ac:dyDescent="0.25">
      <c r="A63" s="385"/>
      <c r="B63" s="124"/>
      <c r="C63" s="102"/>
      <c r="D63" s="102"/>
      <c r="E63" s="102"/>
    </row>
    <row r="64" spans="1:5" x14ac:dyDescent="0.25">
      <c r="A64" s="123"/>
      <c r="B64" s="124" t="s">
        <v>98</v>
      </c>
      <c r="C64" s="102">
        <f>+C16</f>
        <v>512550855.79999995</v>
      </c>
      <c r="D64" s="102">
        <f>+D16</f>
        <v>557806093.75000012</v>
      </c>
      <c r="E64" s="102">
        <f>+E16</f>
        <v>510505957.54000008</v>
      </c>
    </row>
    <row r="65" spans="1:5" ht="6.75" customHeight="1" x14ac:dyDescent="0.25">
      <c r="A65" s="123"/>
      <c r="B65" s="124"/>
      <c r="C65" s="102"/>
      <c r="D65" s="102"/>
      <c r="E65" s="102"/>
    </row>
    <row r="66" spans="1:5" x14ac:dyDescent="0.25">
      <c r="A66" s="123"/>
      <c r="B66" s="124" t="s">
        <v>101</v>
      </c>
      <c r="C66" s="103"/>
      <c r="D66" s="109">
        <f>+D20</f>
        <v>37916498.100000001</v>
      </c>
      <c r="E66" s="109">
        <f>+E20</f>
        <v>37916498.100000001</v>
      </c>
    </row>
    <row r="67" spans="1:5" x14ac:dyDescent="0.25">
      <c r="A67" s="123"/>
      <c r="B67" s="124"/>
      <c r="C67" s="102"/>
      <c r="D67" s="102"/>
      <c r="E67" s="102"/>
    </row>
    <row r="68" spans="1:5" ht="19.5" x14ac:dyDescent="0.25">
      <c r="A68" s="382"/>
      <c r="B68" s="83" t="s">
        <v>121</v>
      </c>
      <c r="C68" s="105">
        <f>+C11+C60-C16+C20</f>
        <v>0</v>
      </c>
      <c r="D68" s="105">
        <f>+D11+D60-D16+D20</f>
        <v>-5563704.2790000066</v>
      </c>
      <c r="E68" s="105">
        <f>+E11+E60-E16+E20</f>
        <v>41736431.931000032</v>
      </c>
    </row>
    <row r="69" spans="1:5" x14ac:dyDescent="0.25">
      <c r="A69" s="382"/>
      <c r="B69" s="93"/>
      <c r="C69" s="102" t="s">
        <v>7</v>
      </c>
      <c r="D69" s="102" t="s">
        <v>7</v>
      </c>
      <c r="E69" s="102" t="s">
        <v>7</v>
      </c>
    </row>
    <row r="70" spans="1:5" ht="19.5" x14ac:dyDescent="0.25">
      <c r="A70" s="382"/>
      <c r="B70" s="83" t="s">
        <v>122</v>
      </c>
      <c r="C70" s="105">
        <f>+C68-C60</f>
        <v>0</v>
      </c>
      <c r="D70" s="105">
        <f>+D68-D60</f>
        <v>11419751.640999995</v>
      </c>
      <c r="E70" s="105">
        <f>+E68-E60</f>
        <v>58719887.851000033</v>
      </c>
    </row>
    <row r="71" spans="1:5" ht="15.75" thickBot="1" x14ac:dyDescent="0.3">
      <c r="A71" s="383"/>
      <c r="B71" s="94"/>
      <c r="C71" s="97" t="s">
        <v>7</v>
      </c>
      <c r="D71" s="98" t="s">
        <v>7</v>
      </c>
      <c r="E71" s="97" t="s">
        <v>7</v>
      </c>
    </row>
    <row r="72" spans="1:5" ht="5.25" customHeight="1" thickBot="1" x14ac:dyDescent="0.3"/>
    <row r="73" spans="1:5" x14ac:dyDescent="0.25">
      <c r="A73" s="389" t="s">
        <v>8</v>
      </c>
      <c r="B73" s="390"/>
      <c r="C73" s="393" t="s">
        <v>111</v>
      </c>
      <c r="D73" s="317" t="s">
        <v>15</v>
      </c>
      <c r="E73" s="88" t="s">
        <v>92</v>
      </c>
    </row>
    <row r="74" spans="1:5" ht="15.75" thickBot="1" x14ac:dyDescent="0.3">
      <c r="A74" s="391"/>
      <c r="B74" s="392"/>
      <c r="C74" s="394"/>
      <c r="D74" s="318"/>
      <c r="E74" s="89" t="s">
        <v>24</v>
      </c>
    </row>
    <row r="75" spans="1:5" x14ac:dyDescent="0.25">
      <c r="A75" s="386"/>
      <c r="B75" s="387"/>
      <c r="C75" s="90"/>
      <c r="D75" s="90"/>
      <c r="E75" s="90"/>
    </row>
    <row r="76" spans="1:5" x14ac:dyDescent="0.25">
      <c r="A76" s="385"/>
      <c r="B76" s="388" t="s">
        <v>95</v>
      </c>
      <c r="C76" s="384">
        <f>+C12</f>
        <v>66300000</v>
      </c>
      <c r="D76" s="384">
        <f>+D12</f>
        <v>171904524.92999998</v>
      </c>
      <c r="E76" s="384">
        <f>+E12</f>
        <v>171904524.92999998</v>
      </c>
    </row>
    <row r="77" spans="1:5" x14ac:dyDescent="0.25">
      <c r="A77" s="385"/>
      <c r="B77" s="388"/>
      <c r="C77" s="384"/>
      <c r="D77" s="384"/>
      <c r="E77" s="384"/>
    </row>
    <row r="78" spans="1:5" ht="19.5" x14ac:dyDescent="0.25">
      <c r="A78" s="385"/>
      <c r="B78" s="92" t="s">
        <v>123</v>
      </c>
      <c r="C78" s="102">
        <f>+C79-C80</f>
        <v>0</v>
      </c>
      <c r="D78" s="102">
        <f>+D79-D80</f>
        <v>0</v>
      </c>
      <c r="E78" s="102">
        <f>+E79-E80</f>
        <v>0</v>
      </c>
    </row>
    <row r="79" spans="1:5" x14ac:dyDescent="0.25">
      <c r="A79" s="385"/>
      <c r="B79" s="91" t="s">
        <v>114</v>
      </c>
      <c r="C79" s="102">
        <f>+C44</f>
        <v>0</v>
      </c>
      <c r="D79" s="102">
        <v>0</v>
      </c>
      <c r="E79" s="102">
        <v>0</v>
      </c>
    </row>
    <row r="80" spans="1:5" x14ac:dyDescent="0.25">
      <c r="A80" s="385"/>
      <c r="B80" s="91" t="s">
        <v>117</v>
      </c>
      <c r="C80" s="102">
        <f>+C47</f>
        <v>0</v>
      </c>
      <c r="D80" s="102">
        <v>0</v>
      </c>
      <c r="E80" s="102">
        <v>0</v>
      </c>
    </row>
    <row r="81" spans="1:5" x14ac:dyDescent="0.25">
      <c r="A81" s="385"/>
      <c r="B81" s="124"/>
      <c r="C81" s="102"/>
      <c r="D81" s="102"/>
      <c r="E81" s="102"/>
    </row>
    <row r="82" spans="1:5" x14ac:dyDescent="0.25">
      <c r="A82" s="123"/>
      <c r="B82" s="124" t="s">
        <v>124</v>
      </c>
      <c r="C82" s="102">
        <f>+C17</f>
        <v>66300000</v>
      </c>
      <c r="D82" s="102">
        <f>+D17</f>
        <v>119133217.8</v>
      </c>
      <c r="E82" s="102">
        <f>+E17</f>
        <v>119098076.98</v>
      </c>
    </row>
    <row r="83" spans="1:5" x14ac:dyDescent="0.25">
      <c r="A83" s="123"/>
      <c r="B83" s="124"/>
      <c r="C83" s="102" t="s">
        <v>7</v>
      </c>
      <c r="D83" s="102" t="s">
        <v>7</v>
      </c>
      <c r="E83" s="102" t="s">
        <v>7</v>
      </c>
    </row>
    <row r="84" spans="1:5" x14ac:dyDescent="0.25">
      <c r="A84" s="123"/>
      <c r="B84" s="124" t="s">
        <v>102</v>
      </c>
      <c r="C84" s="103"/>
      <c r="D84" s="109">
        <f>+D21</f>
        <v>18867539</v>
      </c>
      <c r="E84" s="109">
        <f>+E21</f>
        <v>18867539</v>
      </c>
    </row>
    <row r="85" spans="1:5" x14ac:dyDescent="0.25">
      <c r="A85" s="123"/>
      <c r="B85" s="124"/>
      <c r="C85" s="102"/>
      <c r="D85" s="102"/>
      <c r="E85" s="102"/>
    </row>
    <row r="86" spans="1:5" ht="19.5" x14ac:dyDescent="0.25">
      <c r="A86" s="382"/>
      <c r="B86" s="83" t="s">
        <v>125</v>
      </c>
      <c r="C86" s="104">
        <f>+C76+C78-C82+C84</f>
        <v>0</v>
      </c>
      <c r="D86" s="104">
        <f>+D76+D78-D82+D84</f>
        <v>71638846.12999998</v>
      </c>
      <c r="E86" s="104">
        <f>+E76+E78-E82+E84</f>
        <v>71673986.949999973</v>
      </c>
    </row>
    <row r="87" spans="1:5" x14ac:dyDescent="0.25">
      <c r="A87" s="382"/>
      <c r="B87" s="93"/>
      <c r="C87" s="105"/>
      <c r="D87" s="105"/>
      <c r="E87" s="105"/>
    </row>
    <row r="88" spans="1:5" ht="19.5" x14ac:dyDescent="0.25">
      <c r="A88" s="382"/>
      <c r="B88" s="83" t="s">
        <v>126</v>
      </c>
      <c r="C88" s="106">
        <f>+C86-C78</f>
        <v>0</v>
      </c>
      <c r="D88" s="106">
        <f>+D86-D78</f>
        <v>71638846.12999998</v>
      </c>
      <c r="E88" s="106">
        <f>+E86-E78</f>
        <v>71673986.949999973</v>
      </c>
    </row>
    <row r="89" spans="1:5" ht="15.75" thickBot="1" x14ac:dyDescent="0.3">
      <c r="A89" s="383"/>
      <c r="B89" s="94"/>
      <c r="C89" s="94"/>
      <c r="D89" s="94"/>
      <c r="E89" s="94"/>
    </row>
  </sheetData>
  <sheetProtection sheet="1" scenarios="1" formatColumns="0" formatRows="0" insertHyperlinks="0"/>
  <mergeCells count="42">
    <mergeCell ref="A43:A44"/>
    <mergeCell ref="A45:A47"/>
    <mergeCell ref="A1:E1"/>
    <mergeCell ref="A39:B40"/>
    <mergeCell ref="C39:C40"/>
    <mergeCell ref="D39:D40"/>
    <mergeCell ref="A32:A34"/>
    <mergeCell ref="A5:E5"/>
    <mergeCell ref="A23:A26"/>
    <mergeCell ref="A29:E29"/>
    <mergeCell ref="A30:B30"/>
    <mergeCell ref="A7:B8"/>
    <mergeCell ref="D7:D8"/>
    <mergeCell ref="A4:E4"/>
    <mergeCell ref="A3:E3"/>
    <mergeCell ref="A2:E2"/>
    <mergeCell ref="A49:A50"/>
    <mergeCell ref="B49:B50"/>
    <mergeCell ref="C49:C50"/>
    <mergeCell ref="D49:D50"/>
    <mergeCell ref="E49:E50"/>
    <mergeCell ref="A55:B56"/>
    <mergeCell ref="D55:D56"/>
    <mergeCell ref="A57:B57"/>
    <mergeCell ref="A58:A59"/>
    <mergeCell ref="B58:B59"/>
    <mergeCell ref="C58:C59"/>
    <mergeCell ref="D58:D59"/>
    <mergeCell ref="A68:A71"/>
    <mergeCell ref="A73:B74"/>
    <mergeCell ref="C73:C74"/>
    <mergeCell ref="D73:D74"/>
    <mergeCell ref="E58:E59"/>
    <mergeCell ref="A60:A63"/>
    <mergeCell ref="A86:A89"/>
    <mergeCell ref="E76:E77"/>
    <mergeCell ref="A78:A81"/>
    <mergeCell ref="A75:B75"/>
    <mergeCell ref="A76:A77"/>
    <mergeCell ref="B76:B77"/>
    <mergeCell ref="C76:C77"/>
    <mergeCell ref="D76:D77"/>
  </mergeCells>
  <printOptions horizontalCentered="1"/>
  <pageMargins left="0.23622047244094491" right="0.23622047244094491" top="0.43307086614173229" bottom="0.43307086614173229" header="0.31496062992125984" footer="0.31496062992125984"/>
  <pageSetup scale="97" orientation="portrait" r:id="rId1"/>
  <rowBreaks count="1" manualBreakCount="1">
    <brk id="52"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2">
    <pageSetUpPr fitToPage="1"/>
  </sheetPr>
  <dimension ref="A1:D45"/>
  <sheetViews>
    <sheetView view="pageBreakPreview" topLeftCell="A22" zoomScale="90" zoomScaleNormal="100" zoomScaleSheetLayoutView="90" workbookViewId="0">
      <selection activeCell="B35" sqref="B35"/>
    </sheetView>
  </sheetViews>
  <sheetFormatPr baseColWidth="10" defaultColWidth="11.28515625" defaultRowHeight="16.5" x14ac:dyDescent="0.3"/>
  <cols>
    <col min="1" max="1" width="2.85546875" style="1" customWidth="1"/>
    <col min="2" max="2" width="41.5703125" style="1" customWidth="1"/>
    <col min="3" max="3" width="31.7109375" style="1" customWidth="1"/>
    <col min="4" max="4" width="24.42578125" style="1" customWidth="1"/>
    <col min="5" max="16384" width="11.28515625" style="1"/>
  </cols>
  <sheetData>
    <row r="1" spans="1:4" x14ac:dyDescent="0.3">
      <c r="A1" s="313" t="s">
        <v>1</v>
      </c>
      <c r="B1" s="313"/>
      <c r="C1" s="313"/>
      <c r="D1" s="313"/>
    </row>
    <row r="2" spans="1:4" x14ac:dyDescent="0.3">
      <c r="A2" s="328" t="s">
        <v>0</v>
      </c>
      <c r="B2" s="328"/>
      <c r="C2" s="328"/>
      <c r="D2" s="328"/>
    </row>
    <row r="3" spans="1:4" x14ac:dyDescent="0.3">
      <c r="A3" s="313" t="str">
        <f>'[4]ETCA-I-01'!A3:G3</f>
        <v>Comision Estatal del Agua</v>
      </c>
      <c r="B3" s="313"/>
      <c r="C3" s="313"/>
      <c r="D3" s="313"/>
    </row>
    <row r="4" spans="1:4" x14ac:dyDescent="0.3">
      <c r="A4" s="328" t="str">
        <f>'[4]ETCA-I-03'!A4:D4</f>
        <v>Del 01 de Enero al 31 de Diciembre de 2019</v>
      </c>
      <c r="B4" s="328"/>
      <c r="C4" s="328"/>
      <c r="D4" s="328"/>
    </row>
    <row r="5" spans="1:4" x14ac:dyDescent="0.3">
      <c r="A5" s="8"/>
      <c r="B5" s="328" t="s">
        <v>127</v>
      </c>
      <c r="C5" s="328"/>
      <c r="D5" s="12"/>
    </row>
    <row r="6" spans="1:4" ht="6.75" customHeight="1" thickBot="1" x14ac:dyDescent="0.35"/>
    <row r="7" spans="1:4" s="4" customFormat="1" ht="23.25" customHeight="1" x14ac:dyDescent="0.25">
      <c r="A7" s="411" t="s">
        <v>128</v>
      </c>
      <c r="B7" s="412"/>
      <c r="C7" s="409" t="s">
        <v>129</v>
      </c>
      <c r="D7" s="410"/>
    </row>
    <row r="8" spans="1:4" s="4" customFormat="1" ht="24" customHeight="1" thickBot="1" x14ac:dyDescent="0.3">
      <c r="A8" s="413"/>
      <c r="B8" s="414"/>
      <c r="C8" s="9" t="s">
        <v>130</v>
      </c>
      <c r="D8" s="10" t="s">
        <v>131</v>
      </c>
    </row>
    <row r="9" spans="1:4" s="4" customFormat="1" ht="19.5" customHeight="1" x14ac:dyDescent="0.25">
      <c r="A9" s="5">
        <v>1</v>
      </c>
      <c r="B9" s="11" t="s">
        <v>221</v>
      </c>
      <c r="C9" s="6" t="s">
        <v>222</v>
      </c>
      <c r="D9" s="7" t="s">
        <v>223</v>
      </c>
    </row>
    <row r="10" spans="1:4" s="4" customFormat="1" ht="19.5" customHeight="1" x14ac:dyDescent="0.25">
      <c r="A10" s="5">
        <v>2</v>
      </c>
      <c r="B10" s="11" t="s">
        <v>224</v>
      </c>
      <c r="C10" s="6" t="s">
        <v>222</v>
      </c>
      <c r="D10" s="7" t="s">
        <v>225</v>
      </c>
    </row>
    <row r="11" spans="1:4" s="4" customFormat="1" ht="19.5" customHeight="1" x14ac:dyDescent="0.25">
      <c r="A11" s="5">
        <v>3</v>
      </c>
      <c r="B11" s="11" t="s">
        <v>226</v>
      </c>
      <c r="C11" s="6" t="s">
        <v>222</v>
      </c>
      <c r="D11" s="7" t="s">
        <v>227</v>
      </c>
    </row>
    <row r="12" spans="1:4" s="4" customFormat="1" ht="22.5" customHeight="1" x14ac:dyDescent="0.25">
      <c r="A12" s="5">
        <v>4</v>
      </c>
      <c r="B12" s="11" t="s">
        <v>228</v>
      </c>
      <c r="C12" s="6" t="s">
        <v>222</v>
      </c>
      <c r="D12" s="7" t="s">
        <v>229</v>
      </c>
    </row>
    <row r="13" spans="1:4" s="4" customFormat="1" ht="22.5" customHeight="1" x14ac:dyDescent="0.25">
      <c r="A13" s="5">
        <v>5</v>
      </c>
      <c r="B13" s="174" t="s">
        <v>230</v>
      </c>
      <c r="C13" s="6" t="s">
        <v>222</v>
      </c>
      <c r="D13" s="7" t="s">
        <v>231</v>
      </c>
    </row>
    <row r="14" spans="1:4" s="4" customFormat="1" ht="22.5" customHeight="1" x14ac:dyDescent="0.25">
      <c r="A14" s="5">
        <v>6</v>
      </c>
      <c r="B14" s="174" t="s">
        <v>232</v>
      </c>
      <c r="C14" s="6" t="s">
        <v>222</v>
      </c>
      <c r="D14" s="7" t="s">
        <v>233</v>
      </c>
    </row>
    <row r="15" spans="1:4" s="4" customFormat="1" ht="22.5" customHeight="1" x14ac:dyDescent="0.25">
      <c r="A15" s="5">
        <v>7</v>
      </c>
      <c r="B15" s="11" t="s">
        <v>234</v>
      </c>
      <c r="C15" s="6" t="s">
        <v>222</v>
      </c>
      <c r="D15" s="7" t="s">
        <v>235</v>
      </c>
    </row>
    <row r="16" spans="1:4" s="4" customFormat="1" ht="22.5" customHeight="1" x14ac:dyDescent="0.25">
      <c r="A16" s="5">
        <v>8</v>
      </c>
      <c r="B16" s="174" t="s">
        <v>236</v>
      </c>
      <c r="C16" s="6" t="s">
        <v>222</v>
      </c>
      <c r="D16" s="7" t="s">
        <v>237</v>
      </c>
    </row>
    <row r="17" spans="1:4" s="4" customFormat="1" ht="22.5" customHeight="1" x14ac:dyDescent="0.25">
      <c r="A17" s="5">
        <v>9</v>
      </c>
      <c r="B17" s="174" t="s">
        <v>238</v>
      </c>
      <c r="C17" s="6" t="s">
        <v>222</v>
      </c>
      <c r="D17" s="7" t="s">
        <v>239</v>
      </c>
    </row>
    <row r="18" spans="1:4" s="4" customFormat="1" ht="18" customHeight="1" x14ac:dyDescent="0.25">
      <c r="A18" s="5">
        <v>10</v>
      </c>
      <c r="B18" s="11" t="s">
        <v>240</v>
      </c>
      <c r="C18" s="6" t="s">
        <v>222</v>
      </c>
      <c r="D18" s="7" t="s">
        <v>241</v>
      </c>
    </row>
    <row r="19" spans="1:4" s="4" customFormat="1" ht="18" customHeight="1" x14ac:dyDescent="0.25">
      <c r="A19" s="5">
        <v>11</v>
      </c>
      <c r="B19" s="11" t="s">
        <v>242</v>
      </c>
      <c r="C19" s="6" t="s">
        <v>222</v>
      </c>
      <c r="D19" s="7" t="s">
        <v>243</v>
      </c>
    </row>
    <row r="20" spans="1:4" s="4" customFormat="1" ht="18" customHeight="1" x14ac:dyDescent="0.25">
      <c r="A20" s="5">
        <v>12</v>
      </c>
      <c r="B20" s="11" t="s">
        <v>244</v>
      </c>
      <c r="C20" s="6" t="s">
        <v>222</v>
      </c>
      <c r="D20" s="7" t="s">
        <v>245</v>
      </c>
    </row>
    <row r="21" spans="1:4" s="4" customFormat="1" ht="18" customHeight="1" x14ac:dyDescent="0.25">
      <c r="A21" s="5">
        <v>13</v>
      </c>
      <c r="B21" s="11" t="s">
        <v>246</v>
      </c>
      <c r="C21" s="6" t="s">
        <v>222</v>
      </c>
      <c r="D21" s="7" t="s">
        <v>247</v>
      </c>
    </row>
    <row r="22" spans="1:4" s="4" customFormat="1" ht="18" customHeight="1" x14ac:dyDescent="0.25">
      <c r="A22" s="5">
        <v>14</v>
      </c>
      <c r="B22" s="11" t="s">
        <v>248</v>
      </c>
      <c r="C22" s="6" t="s">
        <v>222</v>
      </c>
      <c r="D22" s="7" t="s">
        <v>249</v>
      </c>
    </row>
    <row r="23" spans="1:4" s="4" customFormat="1" ht="18" customHeight="1" x14ac:dyDescent="0.25">
      <c r="A23" s="5">
        <v>15</v>
      </c>
      <c r="B23" s="11" t="s">
        <v>250</v>
      </c>
      <c r="C23" s="6" t="s">
        <v>222</v>
      </c>
      <c r="D23" s="7" t="s">
        <v>251</v>
      </c>
    </row>
    <row r="24" spans="1:4" s="4" customFormat="1" ht="18" customHeight="1" x14ac:dyDescent="0.25">
      <c r="A24" s="5">
        <v>16</v>
      </c>
      <c r="B24" s="11" t="s">
        <v>252</v>
      </c>
      <c r="C24" s="6" t="s">
        <v>222</v>
      </c>
      <c r="D24" s="7" t="s">
        <v>253</v>
      </c>
    </row>
    <row r="25" spans="1:4" s="4" customFormat="1" ht="18" customHeight="1" x14ac:dyDescent="0.25">
      <c r="A25" s="5">
        <v>17</v>
      </c>
      <c r="B25" s="11" t="s">
        <v>254</v>
      </c>
      <c r="C25" s="6" t="s">
        <v>222</v>
      </c>
      <c r="D25" s="7" t="s">
        <v>255</v>
      </c>
    </row>
    <row r="26" spans="1:4" s="4" customFormat="1" ht="18" customHeight="1" x14ac:dyDescent="0.25">
      <c r="A26" s="5">
        <v>18</v>
      </c>
      <c r="B26" s="11" t="s">
        <v>256</v>
      </c>
      <c r="C26" s="6" t="s">
        <v>222</v>
      </c>
      <c r="D26" s="7" t="s">
        <v>257</v>
      </c>
    </row>
    <row r="27" spans="1:4" s="4" customFormat="1" ht="18" customHeight="1" x14ac:dyDescent="0.25">
      <c r="A27" s="5">
        <v>19</v>
      </c>
      <c r="B27" s="11" t="s">
        <v>258</v>
      </c>
      <c r="C27" s="6" t="s">
        <v>222</v>
      </c>
      <c r="D27" s="7" t="s">
        <v>259</v>
      </c>
    </row>
    <row r="28" spans="1:4" s="4" customFormat="1" ht="18" customHeight="1" x14ac:dyDescent="0.25">
      <c r="A28" s="5">
        <v>20</v>
      </c>
      <c r="B28" s="11" t="s">
        <v>260</v>
      </c>
      <c r="C28" s="6" t="s">
        <v>222</v>
      </c>
      <c r="D28" s="7" t="s">
        <v>261</v>
      </c>
    </row>
    <row r="29" spans="1:4" s="4" customFormat="1" ht="18" customHeight="1" x14ac:dyDescent="0.25">
      <c r="A29" s="5">
        <v>21</v>
      </c>
      <c r="B29" s="11" t="s">
        <v>262</v>
      </c>
      <c r="C29" s="6" t="s">
        <v>222</v>
      </c>
      <c r="D29" s="7" t="s">
        <v>263</v>
      </c>
    </row>
    <row r="30" spans="1:4" s="4" customFormat="1" ht="18" customHeight="1" x14ac:dyDescent="0.25">
      <c r="A30" s="5">
        <v>22</v>
      </c>
      <c r="B30" s="11" t="s">
        <v>264</v>
      </c>
      <c r="C30" s="6" t="s">
        <v>222</v>
      </c>
      <c r="D30" s="177" t="s">
        <v>303</v>
      </c>
    </row>
    <row r="31" spans="1:4" s="4" customFormat="1" ht="18" customHeight="1" x14ac:dyDescent="0.25">
      <c r="A31" s="5">
        <v>23</v>
      </c>
      <c r="B31" s="11" t="s">
        <v>321</v>
      </c>
      <c r="C31" s="6" t="s">
        <v>222</v>
      </c>
      <c r="D31" s="177" t="s">
        <v>325</v>
      </c>
    </row>
    <row r="32" spans="1:4" s="4" customFormat="1" ht="18" customHeight="1" x14ac:dyDescent="0.25">
      <c r="A32" s="5">
        <v>24</v>
      </c>
      <c r="B32" s="11" t="s">
        <v>322</v>
      </c>
      <c r="C32" s="6" t="s">
        <v>222</v>
      </c>
      <c r="D32" s="177" t="s">
        <v>326</v>
      </c>
    </row>
    <row r="33" spans="1:4" s="4" customFormat="1" ht="18" customHeight="1" x14ac:dyDescent="0.25">
      <c r="A33" s="5">
        <v>25</v>
      </c>
      <c r="B33" s="11" t="s">
        <v>323</v>
      </c>
      <c r="C33" s="6" t="s">
        <v>222</v>
      </c>
      <c r="D33" s="177" t="s">
        <v>327</v>
      </c>
    </row>
    <row r="34" spans="1:4" s="4" customFormat="1" ht="18" customHeight="1" x14ac:dyDescent="0.25">
      <c r="A34" s="5">
        <v>26</v>
      </c>
      <c r="B34" s="11" t="s">
        <v>324</v>
      </c>
      <c r="C34" s="6" t="s">
        <v>222</v>
      </c>
      <c r="D34" s="177" t="s">
        <v>328</v>
      </c>
    </row>
    <row r="35" spans="1:4" s="4" customFormat="1" ht="18" customHeight="1" x14ac:dyDescent="0.25">
      <c r="A35" s="5">
        <v>27</v>
      </c>
      <c r="B35" s="11" t="s">
        <v>497</v>
      </c>
      <c r="C35" s="6" t="s">
        <v>222</v>
      </c>
      <c r="D35" s="177" t="s">
        <v>498</v>
      </c>
    </row>
    <row r="36" spans="1:4" s="4" customFormat="1" ht="18" customHeight="1" x14ac:dyDescent="0.25">
      <c r="A36" s="5">
        <v>28</v>
      </c>
      <c r="B36" s="11" t="s">
        <v>512</v>
      </c>
      <c r="C36" s="6" t="s">
        <v>222</v>
      </c>
      <c r="D36" s="177" t="s">
        <v>344</v>
      </c>
    </row>
    <row r="37" spans="1:4" s="4" customFormat="1" ht="18" customHeight="1" x14ac:dyDescent="0.25">
      <c r="A37" s="5">
        <v>29</v>
      </c>
      <c r="B37" s="11" t="s">
        <v>514</v>
      </c>
      <c r="C37" s="6" t="s">
        <v>222</v>
      </c>
      <c r="D37" s="177" t="s">
        <v>513</v>
      </c>
    </row>
    <row r="38" spans="1:4" s="4" customFormat="1" ht="18" customHeight="1" x14ac:dyDescent="0.25">
      <c r="A38" s="5"/>
      <c r="B38" s="11"/>
      <c r="C38" s="6"/>
      <c r="D38" s="7"/>
    </row>
    <row r="39" spans="1:4" s="4" customFormat="1" ht="18" customHeight="1" x14ac:dyDescent="0.25">
      <c r="A39" s="405"/>
      <c r="B39" s="406"/>
      <c r="C39" s="407"/>
      <c r="D39" s="408"/>
    </row>
    <row r="40" spans="1:4" x14ac:dyDescent="0.3">
      <c r="A40" s="61" t="s">
        <v>2</v>
      </c>
    </row>
    <row r="41" spans="1:4" x14ac:dyDescent="0.3">
      <c r="A41" s="61"/>
    </row>
    <row r="42" spans="1:4" x14ac:dyDescent="0.3">
      <c r="A42" s="61"/>
    </row>
    <row r="43" spans="1:4" x14ac:dyDescent="0.3">
      <c r="A43" s="61"/>
    </row>
    <row r="45" spans="1:4" ht="18.75" x14ac:dyDescent="0.3">
      <c r="B45" s="59" t="s">
        <v>132</v>
      </c>
    </row>
  </sheetData>
  <mergeCells count="8">
    <mergeCell ref="A39:D39"/>
    <mergeCell ref="A1:D1"/>
    <mergeCell ref="A3:D3"/>
    <mergeCell ref="A4:D4"/>
    <mergeCell ref="C7:D7"/>
    <mergeCell ref="A2:D2"/>
    <mergeCell ref="A7:B8"/>
    <mergeCell ref="B5:C5"/>
  </mergeCells>
  <printOptions horizontalCentered="1"/>
  <pageMargins left="0.19685039370078741" right="0.19685039370078741" top="0.55118110236220474" bottom="0.55118110236220474" header="0.31496062992125984" footer="0.31496062992125984"/>
  <pageSetup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FD632"/>
  <sheetViews>
    <sheetView zoomScaleNormal="100" zoomScaleSheetLayoutView="100" workbookViewId="0">
      <selection activeCell="A2" sqref="A2:D2"/>
    </sheetView>
  </sheetViews>
  <sheetFormatPr baseColWidth="10" defaultColWidth="11.28515625" defaultRowHeight="14.25" x14ac:dyDescent="0.3"/>
  <cols>
    <col min="1" max="1" width="6.28515625" style="180" customWidth="1"/>
    <col min="2" max="2" width="37" style="180" customWidth="1"/>
    <col min="3" max="3" width="43.28515625" style="179" customWidth="1"/>
    <col min="4" max="4" width="21.28515625" style="201" customWidth="1"/>
    <col min="5" max="5" width="11.28515625" style="178"/>
    <col min="6" max="6" width="14.42578125" style="179" bestFit="1" customWidth="1"/>
    <col min="7" max="7" width="31.140625" style="179" customWidth="1"/>
    <col min="8" max="8" width="13.42578125" style="179" bestFit="1" customWidth="1"/>
    <col min="9" max="16384" width="11.28515625" style="179"/>
  </cols>
  <sheetData>
    <row r="1" spans="1:5" ht="16.5" x14ac:dyDescent="0.3">
      <c r="A1" s="313" t="s">
        <v>1</v>
      </c>
      <c r="B1" s="313"/>
      <c r="C1" s="313"/>
      <c r="D1" s="313"/>
    </row>
    <row r="2" spans="1:5" ht="16.5" x14ac:dyDescent="0.3">
      <c r="A2" s="328" t="s">
        <v>133</v>
      </c>
      <c r="B2" s="328"/>
      <c r="C2" s="328"/>
      <c r="D2" s="328"/>
    </row>
    <row r="3" spans="1:5" ht="16.5" x14ac:dyDescent="0.3">
      <c r="A3" s="424" t="str">
        <f>'[3]CPCA-I-01'!A3:G3</f>
        <v xml:space="preserve">Comision Estatal del Agua </v>
      </c>
      <c r="B3" s="424"/>
      <c r="C3" s="424"/>
      <c r="D3" s="424"/>
    </row>
    <row r="4" spans="1:5" ht="16.5" x14ac:dyDescent="0.3">
      <c r="A4" s="328" t="str">
        <f>'[4]ETCA-I-01'!A4:G4</f>
        <v>Al 31 de Diciembre de 2019</v>
      </c>
      <c r="B4" s="328"/>
      <c r="C4" s="328"/>
      <c r="D4" s="425"/>
      <c r="E4" s="179"/>
    </row>
    <row r="5" spans="1:5" ht="16.5" x14ac:dyDescent="0.3">
      <c r="A5" s="8"/>
      <c r="B5" s="328" t="s">
        <v>134</v>
      </c>
      <c r="C5" s="328"/>
      <c r="D5" s="211"/>
      <c r="E5" s="179"/>
    </row>
    <row r="6" spans="1:5" ht="6.75" customHeight="1" x14ac:dyDescent="0.3">
      <c r="A6" s="1"/>
      <c r="B6" s="1"/>
      <c r="C6" s="1"/>
      <c r="D6" s="212"/>
      <c r="E6" s="179"/>
    </row>
    <row r="7" spans="1:5" s="4" customFormat="1" ht="11.25" customHeight="1" x14ac:dyDescent="0.25">
      <c r="A7" s="416" t="s">
        <v>135</v>
      </c>
      <c r="B7" s="417"/>
      <c r="C7" s="420" t="s">
        <v>136</v>
      </c>
      <c r="D7" s="422" t="s">
        <v>137</v>
      </c>
    </row>
    <row r="8" spans="1:5" s="4" customFormat="1" ht="11.25" customHeight="1" x14ac:dyDescent="0.25">
      <c r="A8" s="418"/>
      <c r="B8" s="419"/>
      <c r="C8" s="421"/>
      <c r="D8" s="423"/>
    </row>
    <row r="9" spans="1:5" s="4" customFormat="1" ht="24" customHeight="1" x14ac:dyDescent="0.25">
      <c r="A9" s="213"/>
      <c r="B9" s="214" t="s">
        <v>138</v>
      </c>
      <c r="C9" s="213"/>
      <c r="D9" s="182"/>
    </row>
    <row r="10" spans="1:5" s="187" customFormat="1" x14ac:dyDescent="0.25">
      <c r="A10" s="183"/>
      <c r="B10" s="184"/>
      <c r="C10" s="184"/>
      <c r="D10" s="185"/>
      <c r="E10" s="186"/>
    </row>
    <row r="11" spans="1:5" s="187" customFormat="1" x14ac:dyDescent="0.25">
      <c r="A11" s="183"/>
      <c r="B11" s="184"/>
      <c r="C11" s="184"/>
      <c r="D11" s="185"/>
      <c r="E11" s="186"/>
    </row>
    <row r="12" spans="1:5" s="187" customFormat="1" x14ac:dyDescent="0.25">
      <c r="A12" s="183"/>
      <c r="B12" s="184"/>
      <c r="C12" s="184"/>
      <c r="D12" s="185"/>
      <c r="E12" s="186"/>
    </row>
    <row r="13" spans="1:5" s="187" customFormat="1" x14ac:dyDescent="0.25">
      <c r="A13" s="183"/>
      <c r="B13" s="184"/>
      <c r="C13" s="184"/>
      <c r="D13" s="185"/>
      <c r="E13" s="186"/>
    </row>
    <row r="14" spans="1:5" s="187" customFormat="1" x14ac:dyDescent="0.25">
      <c r="A14" s="183"/>
      <c r="B14" s="184"/>
      <c r="C14" s="184"/>
      <c r="D14" s="185"/>
      <c r="E14" s="186"/>
    </row>
    <row r="15" spans="1:5" s="187" customFormat="1" x14ac:dyDescent="0.25">
      <c r="A15" s="183"/>
      <c r="B15" s="184"/>
      <c r="C15" s="184"/>
      <c r="D15" s="188"/>
      <c r="E15" s="186"/>
    </row>
    <row r="16" spans="1:5" x14ac:dyDescent="0.3">
      <c r="A16" s="183"/>
      <c r="B16" s="194"/>
      <c r="C16" s="193"/>
      <c r="D16" s="192"/>
      <c r="E16" s="179"/>
    </row>
    <row r="17" spans="1:5" x14ac:dyDescent="0.3">
      <c r="A17" s="183"/>
      <c r="B17" s="194"/>
      <c r="C17" s="193"/>
      <c r="D17" s="192"/>
      <c r="E17" s="179"/>
    </row>
    <row r="18" spans="1:5" x14ac:dyDescent="0.3">
      <c r="A18" s="195"/>
      <c r="B18" s="196"/>
      <c r="C18" s="197" t="s">
        <v>329</v>
      </c>
      <c r="D18" s="198">
        <f>SUM(D10:D17)</f>
        <v>0</v>
      </c>
    </row>
    <row r="19" spans="1:5" x14ac:dyDescent="0.3">
      <c r="B19" s="199"/>
      <c r="C19" s="200"/>
    </row>
    <row r="20" spans="1:5" s="4" customFormat="1" ht="16.5" x14ac:dyDescent="0.25">
      <c r="A20" s="129"/>
      <c r="B20" s="181" t="s">
        <v>139</v>
      </c>
      <c r="C20" s="129"/>
      <c r="D20" s="130"/>
    </row>
    <row r="21" spans="1:5" s="4" customFormat="1" ht="16.5" x14ac:dyDescent="0.25">
      <c r="A21" s="129"/>
      <c r="B21" s="129" t="s">
        <v>140</v>
      </c>
      <c r="C21" s="129"/>
      <c r="D21" s="130"/>
    </row>
    <row r="22" spans="1:5" s="4" customFormat="1" ht="16.5" x14ac:dyDescent="0.25">
      <c r="A22" s="43"/>
      <c r="B22" s="43"/>
      <c r="C22" s="43"/>
      <c r="D22" s="235"/>
    </row>
    <row r="23" spans="1:5" s="4" customFormat="1" ht="16.5" x14ac:dyDescent="0.25">
      <c r="A23" s="43"/>
      <c r="B23" s="43"/>
      <c r="C23" s="43"/>
      <c r="D23" s="235"/>
    </row>
    <row r="24" spans="1:5" x14ac:dyDescent="0.3">
      <c r="A24" s="190"/>
      <c r="B24" s="189"/>
      <c r="C24" s="183"/>
      <c r="D24" s="202"/>
    </row>
    <row r="25" spans="1:5" x14ac:dyDescent="0.3">
      <c r="A25" s="190"/>
      <c r="B25" s="189"/>
      <c r="C25" s="183"/>
      <c r="D25" s="191"/>
      <c r="E25" s="179"/>
    </row>
    <row r="26" spans="1:5" s="4" customFormat="1" ht="16.5" x14ac:dyDescent="0.25">
      <c r="A26" s="129"/>
      <c r="B26" s="129" t="s">
        <v>141</v>
      </c>
      <c r="C26" s="129"/>
      <c r="D26" s="203"/>
    </row>
    <row r="27" spans="1:5" x14ac:dyDescent="0.3">
      <c r="A27" s="190"/>
      <c r="B27" s="189"/>
      <c r="C27" s="183"/>
      <c r="D27" s="202"/>
    </row>
    <row r="28" spans="1:5" x14ac:dyDescent="0.3">
      <c r="A28" s="190"/>
      <c r="B28" s="189"/>
      <c r="C28" s="183"/>
      <c r="D28" s="202"/>
    </row>
    <row r="29" spans="1:5" x14ac:dyDescent="0.3">
      <c r="A29" s="190"/>
      <c r="B29" s="189"/>
      <c r="C29" s="183"/>
      <c r="D29" s="202"/>
    </row>
    <row r="30" spans="1:5" s="4" customFormat="1" ht="30" customHeight="1" x14ac:dyDescent="0.25">
      <c r="A30" s="129"/>
      <c r="B30" s="129" t="s">
        <v>142</v>
      </c>
      <c r="C30" s="129"/>
      <c r="D30" s="203"/>
    </row>
    <row r="31" spans="1:5" x14ac:dyDescent="0.3">
      <c r="A31" s="204"/>
      <c r="B31" s="199"/>
    </row>
    <row r="32" spans="1:5" x14ac:dyDescent="0.3">
      <c r="A32" s="204"/>
    </row>
    <row r="33" spans="1:16384" x14ac:dyDescent="0.3">
      <c r="A33" s="204"/>
      <c r="C33" s="205" t="s">
        <v>330</v>
      </c>
      <c r="D33" s="206">
        <f>SUM(D24:D31)</f>
        <v>0</v>
      </c>
      <c r="F33" s="207"/>
      <c r="G33" s="208"/>
    </row>
    <row r="34" spans="1:16384" x14ac:dyDescent="0.3">
      <c r="A34" s="204"/>
    </row>
    <row r="35" spans="1:16384" s="178" customFormat="1" x14ac:dyDescent="0.3">
      <c r="A35" s="415"/>
      <c r="B35" s="415"/>
      <c r="C35" s="415"/>
      <c r="D35" s="415"/>
      <c r="F35" s="179"/>
      <c r="G35" s="179"/>
      <c r="H35" s="179"/>
      <c r="I35" s="179"/>
    </row>
    <row r="36" spans="1:16384" s="4" customFormat="1" ht="16.5" x14ac:dyDescent="0.3">
      <c r="A36" s="215" t="s">
        <v>6</v>
      </c>
      <c r="B36" s="216"/>
      <c r="C36" s="216"/>
      <c r="D36" s="216"/>
      <c r="E36" s="179"/>
      <c r="F36" s="179"/>
      <c r="G36" s="179"/>
      <c r="H36" s="179"/>
      <c r="I36" s="179"/>
      <c r="J36" s="1"/>
      <c r="K36" s="209"/>
      <c r="L36" s="1"/>
      <c r="M36" s="61"/>
      <c r="N36" s="1"/>
      <c r="O36" s="209"/>
      <c r="P36" s="1"/>
      <c r="Q36" s="61"/>
      <c r="R36" s="1"/>
      <c r="S36" s="209"/>
      <c r="T36" s="1"/>
      <c r="U36" s="61"/>
      <c r="V36" s="1"/>
      <c r="W36" s="209"/>
      <c r="X36" s="1"/>
      <c r="Y36" s="61"/>
      <c r="Z36" s="1"/>
      <c r="AA36" s="209"/>
      <c r="AB36" s="1"/>
      <c r="AC36" s="61"/>
      <c r="AD36" s="1"/>
      <c r="AE36" s="209"/>
      <c r="AF36" s="1"/>
      <c r="AG36" s="61"/>
      <c r="AH36" s="1"/>
      <c r="AI36" s="209"/>
      <c r="AJ36" s="1"/>
      <c r="AK36" s="61"/>
      <c r="AL36" s="1"/>
      <c r="AM36" s="209"/>
      <c r="AN36" s="1"/>
      <c r="AO36" s="61"/>
      <c r="AP36" s="1"/>
      <c r="AQ36" s="209"/>
      <c r="AR36" s="1"/>
      <c r="AS36" s="61"/>
      <c r="AT36" s="1"/>
      <c r="AU36" s="209"/>
      <c r="AV36" s="1"/>
      <c r="AW36" s="61"/>
      <c r="AX36" s="1"/>
      <c r="AY36" s="209"/>
      <c r="AZ36" s="1"/>
      <c r="BA36" s="61"/>
      <c r="BB36" s="1"/>
      <c r="BC36" s="209"/>
      <c r="BD36" s="1"/>
      <c r="BE36" s="61"/>
      <c r="BF36" s="1"/>
      <c r="BG36" s="209"/>
      <c r="BH36" s="1"/>
      <c r="BI36" s="61"/>
      <c r="BJ36" s="1"/>
      <c r="BK36" s="209"/>
      <c r="BL36" s="1"/>
      <c r="BM36" s="61"/>
      <c r="BN36" s="1"/>
      <c r="BO36" s="209"/>
      <c r="BP36" s="1"/>
      <c r="BQ36" s="61"/>
      <c r="BR36" s="1"/>
      <c r="BS36" s="209"/>
      <c r="BT36" s="1"/>
      <c r="BU36" s="61"/>
      <c r="BV36" s="1"/>
      <c r="BW36" s="209"/>
      <c r="BX36" s="1"/>
      <c r="BY36" s="61"/>
      <c r="BZ36" s="1"/>
      <c r="CA36" s="209"/>
      <c r="CB36" s="1"/>
      <c r="CC36" s="61"/>
      <c r="CD36" s="1"/>
      <c r="CE36" s="209"/>
      <c r="CF36" s="1"/>
      <c r="CG36" s="61"/>
      <c r="CH36" s="1"/>
      <c r="CI36" s="209"/>
      <c r="CJ36" s="1"/>
      <c r="CK36" s="61"/>
      <c r="CL36" s="1"/>
      <c r="CM36" s="209"/>
      <c r="CN36" s="1"/>
      <c r="CO36" s="61"/>
      <c r="CP36" s="1"/>
      <c r="CQ36" s="209"/>
      <c r="CR36" s="1"/>
      <c r="CS36" s="61"/>
      <c r="CT36" s="1"/>
      <c r="CU36" s="209"/>
      <c r="CV36" s="1"/>
      <c r="CW36" s="61"/>
      <c r="CX36" s="1"/>
      <c r="CY36" s="209"/>
      <c r="CZ36" s="1"/>
      <c r="DA36" s="61"/>
      <c r="DB36" s="1"/>
      <c r="DC36" s="209"/>
      <c r="DD36" s="1"/>
      <c r="DE36" s="61"/>
      <c r="DF36" s="1"/>
      <c r="DG36" s="209"/>
      <c r="DH36" s="1"/>
      <c r="DI36" s="61"/>
      <c r="DJ36" s="1"/>
      <c r="DK36" s="209"/>
      <c r="DL36" s="1"/>
      <c r="DM36" s="61"/>
      <c r="DN36" s="1"/>
      <c r="DO36" s="209"/>
      <c r="DP36" s="1"/>
      <c r="DQ36" s="61"/>
      <c r="DR36" s="1"/>
      <c r="DS36" s="209"/>
      <c r="DT36" s="1"/>
      <c r="DU36" s="61"/>
      <c r="DV36" s="1"/>
      <c r="DW36" s="209"/>
      <c r="DX36" s="1"/>
      <c r="DY36" s="61"/>
      <c r="DZ36" s="1"/>
      <c r="EA36" s="209"/>
      <c r="EB36" s="1"/>
      <c r="EC36" s="61"/>
      <c r="ED36" s="1"/>
      <c r="EE36" s="209"/>
      <c r="EF36" s="1"/>
      <c r="EG36" s="61"/>
      <c r="EH36" s="1"/>
      <c r="EI36" s="209"/>
      <c r="EJ36" s="1"/>
      <c r="EK36" s="61"/>
      <c r="EL36" s="1"/>
      <c r="EM36" s="209"/>
      <c r="EN36" s="1"/>
      <c r="EO36" s="61"/>
      <c r="EP36" s="1"/>
      <c r="EQ36" s="209"/>
      <c r="ER36" s="1"/>
      <c r="ES36" s="61"/>
      <c r="ET36" s="1"/>
      <c r="EU36" s="209"/>
      <c r="EV36" s="1"/>
      <c r="EW36" s="61"/>
      <c r="EX36" s="1"/>
      <c r="EY36" s="209"/>
      <c r="EZ36" s="1"/>
      <c r="FA36" s="61"/>
      <c r="FB36" s="1"/>
      <c r="FC36" s="209"/>
      <c r="FD36" s="1"/>
      <c r="FE36" s="61"/>
      <c r="FF36" s="1"/>
      <c r="FG36" s="209"/>
      <c r="FH36" s="1"/>
      <c r="FI36" s="61"/>
      <c r="FJ36" s="1"/>
      <c r="FK36" s="209"/>
      <c r="FL36" s="1"/>
      <c r="FM36" s="61"/>
      <c r="FN36" s="1"/>
      <c r="FO36" s="209"/>
      <c r="FP36" s="1"/>
      <c r="FQ36" s="61"/>
      <c r="FR36" s="1"/>
      <c r="FS36" s="209"/>
      <c r="FT36" s="1"/>
      <c r="FU36" s="61"/>
      <c r="FV36" s="1"/>
      <c r="FW36" s="209"/>
      <c r="FX36" s="1"/>
      <c r="FY36" s="61"/>
      <c r="FZ36" s="1"/>
      <c r="GA36" s="209"/>
      <c r="GB36" s="1"/>
      <c r="GC36" s="61"/>
      <c r="GD36" s="1"/>
      <c r="GE36" s="209"/>
      <c r="GF36" s="1"/>
      <c r="GG36" s="61"/>
      <c r="GH36" s="1"/>
      <c r="GI36" s="209"/>
      <c r="GJ36" s="1"/>
      <c r="GK36" s="61"/>
      <c r="GL36" s="1"/>
      <c r="GM36" s="209"/>
      <c r="GN36" s="1"/>
      <c r="GO36" s="61"/>
      <c r="GP36" s="1"/>
      <c r="GQ36" s="209"/>
      <c r="GR36" s="1"/>
      <c r="GS36" s="61"/>
      <c r="GT36" s="1"/>
      <c r="GU36" s="209"/>
      <c r="GV36" s="1"/>
      <c r="GW36" s="61"/>
      <c r="GX36" s="1"/>
      <c r="GY36" s="209"/>
      <c r="GZ36" s="1"/>
      <c r="HA36" s="61"/>
      <c r="HB36" s="1"/>
      <c r="HC36" s="209"/>
      <c r="HD36" s="1"/>
      <c r="HE36" s="61"/>
      <c r="HF36" s="1"/>
      <c r="HG36" s="209"/>
      <c r="HH36" s="1"/>
      <c r="HI36" s="61"/>
      <c r="HJ36" s="1"/>
      <c r="HK36" s="209"/>
      <c r="HL36" s="1"/>
      <c r="HM36" s="61"/>
      <c r="HN36" s="1"/>
      <c r="HO36" s="209"/>
      <c r="HP36" s="1"/>
      <c r="HQ36" s="61"/>
      <c r="HR36" s="1"/>
      <c r="HS36" s="209"/>
      <c r="HT36" s="1"/>
      <c r="HU36" s="61"/>
      <c r="HV36" s="1"/>
      <c r="HW36" s="209"/>
      <c r="HX36" s="1"/>
      <c r="HY36" s="61"/>
      <c r="HZ36" s="1"/>
      <c r="IA36" s="209"/>
      <c r="IB36" s="1"/>
      <c r="IC36" s="61"/>
      <c r="ID36" s="1"/>
      <c r="IE36" s="209"/>
      <c r="IF36" s="1"/>
      <c r="IG36" s="61"/>
      <c r="IH36" s="1"/>
      <c r="II36" s="209"/>
      <c r="IJ36" s="1"/>
      <c r="IK36" s="61"/>
      <c r="IL36" s="1"/>
      <c r="IM36" s="209"/>
      <c r="IN36" s="1"/>
      <c r="IO36" s="61"/>
      <c r="IP36" s="1"/>
      <c r="IQ36" s="209"/>
      <c r="IR36" s="1"/>
      <c r="IS36" s="61"/>
      <c r="IT36" s="1"/>
      <c r="IU36" s="209"/>
      <c r="IV36" s="1"/>
      <c r="IW36" s="61"/>
      <c r="IX36" s="1"/>
      <c r="IY36" s="209"/>
      <c r="IZ36" s="1"/>
      <c r="JA36" s="61"/>
      <c r="JB36" s="1"/>
      <c r="JC36" s="209"/>
      <c r="JD36" s="1"/>
      <c r="JE36" s="61"/>
      <c r="JF36" s="1"/>
      <c r="JG36" s="209"/>
      <c r="JH36" s="1"/>
      <c r="JI36" s="61"/>
      <c r="JJ36" s="1"/>
      <c r="JK36" s="209"/>
      <c r="JL36" s="1"/>
      <c r="JM36" s="61"/>
      <c r="JN36" s="1"/>
      <c r="JO36" s="209"/>
      <c r="JP36" s="1"/>
      <c r="JQ36" s="61"/>
      <c r="JR36" s="1"/>
      <c r="JS36" s="209"/>
      <c r="JT36" s="1"/>
      <c r="JU36" s="61"/>
      <c r="JV36" s="1"/>
      <c r="JW36" s="209"/>
      <c r="JX36" s="1"/>
      <c r="JY36" s="61"/>
      <c r="JZ36" s="1"/>
      <c r="KA36" s="209"/>
      <c r="KB36" s="1"/>
      <c r="KC36" s="61"/>
      <c r="KD36" s="1"/>
      <c r="KE36" s="209"/>
      <c r="KF36" s="1"/>
      <c r="KG36" s="61"/>
      <c r="KH36" s="1"/>
      <c r="KI36" s="209"/>
      <c r="KJ36" s="1"/>
      <c r="KK36" s="61"/>
      <c r="KL36" s="1"/>
      <c r="KM36" s="209"/>
      <c r="KN36" s="1"/>
      <c r="KO36" s="61"/>
      <c r="KP36" s="1"/>
      <c r="KQ36" s="209"/>
      <c r="KR36" s="1"/>
      <c r="KS36" s="61"/>
      <c r="KT36" s="1"/>
      <c r="KU36" s="209"/>
      <c r="KV36" s="1"/>
      <c r="KW36" s="61"/>
      <c r="KX36" s="1"/>
      <c r="KY36" s="209"/>
      <c r="KZ36" s="1"/>
      <c r="LA36" s="61"/>
      <c r="LB36" s="1"/>
      <c r="LC36" s="209"/>
      <c r="LD36" s="1"/>
      <c r="LE36" s="61"/>
      <c r="LF36" s="1"/>
      <c r="LG36" s="209"/>
      <c r="LH36" s="1"/>
      <c r="LI36" s="61"/>
      <c r="LJ36" s="1"/>
      <c r="LK36" s="209"/>
      <c r="LL36" s="1"/>
      <c r="LM36" s="61"/>
      <c r="LN36" s="1"/>
      <c r="LO36" s="209"/>
      <c r="LP36" s="1"/>
      <c r="LQ36" s="61"/>
      <c r="LR36" s="1"/>
      <c r="LS36" s="209"/>
      <c r="LT36" s="1"/>
      <c r="LU36" s="61"/>
      <c r="LV36" s="1"/>
      <c r="LW36" s="209"/>
      <c r="LX36" s="1"/>
      <c r="LY36" s="61"/>
      <c r="LZ36" s="1"/>
      <c r="MA36" s="209"/>
      <c r="MB36" s="1"/>
      <c r="MC36" s="61"/>
      <c r="MD36" s="1"/>
      <c r="ME36" s="209"/>
      <c r="MF36" s="1"/>
      <c r="MG36" s="61"/>
      <c r="MH36" s="1"/>
      <c r="MI36" s="209"/>
      <c r="MJ36" s="1"/>
      <c r="MK36" s="61"/>
      <c r="ML36" s="1"/>
      <c r="MM36" s="209"/>
      <c r="MN36" s="1"/>
      <c r="MO36" s="61"/>
      <c r="MP36" s="1"/>
      <c r="MQ36" s="209"/>
      <c r="MR36" s="1"/>
      <c r="MS36" s="61"/>
      <c r="MT36" s="1"/>
      <c r="MU36" s="209"/>
      <c r="MV36" s="1"/>
      <c r="MW36" s="61"/>
      <c r="MX36" s="1"/>
      <c r="MY36" s="209"/>
      <c r="MZ36" s="1"/>
      <c r="NA36" s="61"/>
      <c r="NB36" s="1"/>
      <c r="NC36" s="209"/>
      <c r="ND36" s="1"/>
      <c r="NE36" s="61"/>
      <c r="NF36" s="1"/>
      <c r="NG36" s="209"/>
      <c r="NH36" s="1"/>
      <c r="NI36" s="61"/>
      <c r="NJ36" s="1"/>
      <c r="NK36" s="209"/>
      <c r="NL36" s="1"/>
      <c r="NM36" s="61"/>
      <c r="NN36" s="1"/>
      <c r="NO36" s="209"/>
      <c r="NP36" s="1"/>
      <c r="NQ36" s="61"/>
      <c r="NR36" s="1"/>
      <c r="NS36" s="209"/>
      <c r="NT36" s="1"/>
      <c r="NU36" s="61"/>
      <c r="NV36" s="1"/>
      <c r="NW36" s="209"/>
      <c r="NX36" s="1"/>
      <c r="NY36" s="61"/>
      <c r="NZ36" s="1"/>
      <c r="OA36" s="209"/>
      <c r="OB36" s="1"/>
      <c r="OC36" s="61"/>
      <c r="OD36" s="1"/>
      <c r="OE36" s="209"/>
      <c r="OF36" s="1"/>
      <c r="OG36" s="61"/>
      <c r="OH36" s="1"/>
      <c r="OI36" s="209"/>
      <c r="OJ36" s="1"/>
      <c r="OK36" s="61"/>
      <c r="OL36" s="1"/>
      <c r="OM36" s="209"/>
      <c r="ON36" s="1"/>
      <c r="OO36" s="61"/>
      <c r="OP36" s="1"/>
      <c r="OQ36" s="209"/>
      <c r="OR36" s="1"/>
      <c r="OS36" s="61"/>
      <c r="OT36" s="1"/>
      <c r="OU36" s="209"/>
      <c r="OV36" s="1"/>
      <c r="OW36" s="61"/>
      <c r="OX36" s="1"/>
      <c r="OY36" s="209"/>
      <c r="OZ36" s="1"/>
      <c r="PA36" s="61"/>
      <c r="PB36" s="1"/>
      <c r="PC36" s="209"/>
      <c r="PD36" s="1"/>
      <c r="PE36" s="61"/>
      <c r="PF36" s="1"/>
      <c r="PG36" s="209"/>
      <c r="PH36" s="1"/>
      <c r="PI36" s="61"/>
      <c r="PJ36" s="1"/>
      <c r="PK36" s="209"/>
      <c r="PL36" s="1"/>
      <c r="PM36" s="61"/>
      <c r="PN36" s="1"/>
      <c r="PO36" s="209"/>
      <c r="PP36" s="1"/>
      <c r="PQ36" s="61"/>
      <c r="PR36" s="1"/>
      <c r="PS36" s="209"/>
      <c r="PT36" s="1"/>
      <c r="PU36" s="61"/>
      <c r="PV36" s="1"/>
      <c r="PW36" s="209"/>
      <c r="PX36" s="1"/>
      <c r="PY36" s="61"/>
      <c r="PZ36" s="1"/>
      <c r="QA36" s="209"/>
      <c r="QB36" s="1"/>
      <c r="QC36" s="61"/>
      <c r="QD36" s="1"/>
      <c r="QE36" s="209"/>
      <c r="QF36" s="1"/>
      <c r="QG36" s="61"/>
      <c r="QH36" s="1"/>
      <c r="QI36" s="209"/>
      <c r="QJ36" s="1"/>
      <c r="QK36" s="61"/>
      <c r="QL36" s="1"/>
      <c r="QM36" s="209"/>
      <c r="QN36" s="1"/>
      <c r="QO36" s="61"/>
      <c r="QP36" s="1"/>
      <c r="QQ36" s="209"/>
      <c r="QR36" s="1"/>
      <c r="QS36" s="61"/>
      <c r="QT36" s="1"/>
      <c r="QU36" s="209"/>
      <c r="QV36" s="1"/>
      <c r="QW36" s="61"/>
      <c r="QX36" s="1"/>
      <c r="QY36" s="209"/>
      <c r="QZ36" s="1"/>
      <c r="RA36" s="61"/>
      <c r="RB36" s="1"/>
      <c r="RC36" s="209"/>
      <c r="RD36" s="1"/>
      <c r="RE36" s="61"/>
      <c r="RF36" s="1"/>
      <c r="RG36" s="209"/>
      <c r="RH36" s="1"/>
      <c r="RI36" s="61"/>
      <c r="RJ36" s="1"/>
      <c r="RK36" s="209"/>
      <c r="RL36" s="1"/>
      <c r="RM36" s="61"/>
      <c r="RN36" s="1"/>
      <c r="RO36" s="209"/>
      <c r="RP36" s="1"/>
      <c r="RQ36" s="61"/>
      <c r="RR36" s="1"/>
      <c r="RS36" s="209"/>
      <c r="RT36" s="1"/>
      <c r="RU36" s="61"/>
      <c r="RV36" s="1"/>
      <c r="RW36" s="209"/>
      <c r="RX36" s="1"/>
      <c r="RY36" s="61"/>
      <c r="RZ36" s="1"/>
      <c r="SA36" s="209"/>
      <c r="SB36" s="1"/>
      <c r="SC36" s="61"/>
      <c r="SD36" s="1"/>
      <c r="SE36" s="209"/>
      <c r="SF36" s="1"/>
      <c r="SG36" s="61"/>
      <c r="SH36" s="1"/>
      <c r="SI36" s="209"/>
      <c r="SJ36" s="1"/>
      <c r="SK36" s="61"/>
      <c r="SL36" s="1"/>
      <c r="SM36" s="209"/>
      <c r="SN36" s="1"/>
      <c r="SO36" s="61"/>
      <c r="SP36" s="1"/>
      <c r="SQ36" s="209"/>
      <c r="SR36" s="1"/>
      <c r="SS36" s="61"/>
      <c r="ST36" s="1"/>
      <c r="SU36" s="209"/>
      <c r="SV36" s="1"/>
      <c r="SW36" s="61"/>
      <c r="SX36" s="1"/>
      <c r="SY36" s="209"/>
      <c r="SZ36" s="1"/>
      <c r="TA36" s="61"/>
      <c r="TB36" s="1"/>
      <c r="TC36" s="209"/>
      <c r="TD36" s="1"/>
      <c r="TE36" s="61"/>
      <c r="TF36" s="1"/>
      <c r="TG36" s="209"/>
      <c r="TH36" s="1"/>
      <c r="TI36" s="61"/>
      <c r="TJ36" s="1"/>
      <c r="TK36" s="209"/>
      <c r="TL36" s="1"/>
      <c r="TM36" s="61"/>
      <c r="TN36" s="1"/>
      <c r="TO36" s="209"/>
      <c r="TP36" s="1"/>
      <c r="TQ36" s="61"/>
      <c r="TR36" s="1"/>
      <c r="TS36" s="209"/>
      <c r="TT36" s="1"/>
      <c r="TU36" s="61"/>
      <c r="TV36" s="1"/>
      <c r="TW36" s="209"/>
      <c r="TX36" s="1"/>
      <c r="TY36" s="61"/>
      <c r="TZ36" s="1"/>
      <c r="UA36" s="209"/>
      <c r="UB36" s="1"/>
      <c r="UC36" s="61"/>
      <c r="UD36" s="1"/>
      <c r="UE36" s="209"/>
      <c r="UF36" s="1"/>
      <c r="UG36" s="61"/>
      <c r="UH36" s="1"/>
      <c r="UI36" s="209"/>
      <c r="UJ36" s="1"/>
      <c r="UK36" s="61"/>
      <c r="UL36" s="1"/>
      <c r="UM36" s="209"/>
      <c r="UN36" s="1"/>
      <c r="UO36" s="61"/>
      <c r="UP36" s="1"/>
      <c r="UQ36" s="209"/>
      <c r="UR36" s="1"/>
      <c r="US36" s="61"/>
      <c r="UT36" s="1"/>
      <c r="UU36" s="209"/>
      <c r="UV36" s="1"/>
      <c r="UW36" s="61"/>
      <c r="UX36" s="1"/>
      <c r="UY36" s="209"/>
      <c r="UZ36" s="1"/>
      <c r="VA36" s="61"/>
      <c r="VB36" s="1"/>
      <c r="VC36" s="209"/>
      <c r="VD36" s="1"/>
      <c r="VE36" s="61"/>
      <c r="VF36" s="1"/>
      <c r="VG36" s="209"/>
      <c r="VH36" s="1"/>
      <c r="VI36" s="61"/>
      <c r="VJ36" s="1"/>
      <c r="VK36" s="209"/>
      <c r="VL36" s="1"/>
      <c r="VM36" s="61"/>
      <c r="VN36" s="1"/>
      <c r="VO36" s="209"/>
      <c r="VP36" s="1"/>
      <c r="VQ36" s="61"/>
      <c r="VR36" s="1"/>
      <c r="VS36" s="209"/>
      <c r="VT36" s="1"/>
      <c r="VU36" s="61"/>
      <c r="VV36" s="1"/>
      <c r="VW36" s="209"/>
      <c r="VX36" s="1"/>
      <c r="VY36" s="61"/>
      <c r="VZ36" s="1"/>
      <c r="WA36" s="209"/>
      <c r="WB36" s="1"/>
      <c r="WC36" s="61"/>
      <c r="WD36" s="1"/>
      <c r="WE36" s="209"/>
      <c r="WF36" s="1"/>
      <c r="WG36" s="61"/>
      <c r="WH36" s="1"/>
      <c r="WI36" s="209"/>
      <c r="WJ36" s="1"/>
      <c r="WK36" s="61"/>
      <c r="WL36" s="1"/>
      <c r="WM36" s="209"/>
      <c r="WN36" s="1"/>
      <c r="WO36" s="61"/>
      <c r="WP36" s="1"/>
      <c r="WQ36" s="209"/>
      <c r="WR36" s="1"/>
      <c r="WS36" s="61"/>
      <c r="WT36" s="1"/>
      <c r="WU36" s="209"/>
      <c r="WV36" s="1"/>
      <c r="WW36" s="61"/>
      <c r="WX36" s="1"/>
      <c r="WY36" s="209"/>
      <c r="WZ36" s="1"/>
      <c r="XA36" s="61"/>
      <c r="XB36" s="1"/>
      <c r="XC36" s="209"/>
      <c r="XD36" s="1"/>
      <c r="XE36" s="61"/>
      <c r="XF36" s="1"/>
      <c r="XG36" s="209"/>
      <c r="XH36" s="1"/>
      <c r="XI36" s="61"/>
      <c r="XJ36" s="1"/>
      <c r="XK36" s="209"/>
      <c r="XL36" s="1"/>
      <c r="XM36" s="61"/>
      <c r="XN36" s="1"/>
      <c r="XO36" s="209"/>
      <c r="XP36" s="1"/>
      <c r="XQ36" s="61"/>
      <c r="XR36" s="1"/>
      <c r="XS36" s="209"/>
      <c r="XT36" s="1"/>
      <c r="XU36" s="61"/>
      <c r="XV36" s="1"/>
      <c r="XW36" s="209"/>
      <c r="XX36" s="1"/>
      <c r="XY36" s="61"/>
      <c r="XZ36" s="1"/>
      <c r="YA36" s="209"/>
      <c r="YB36" s="1"/>
      <c r="YC36" s="61"/>
      <c r="YD36" s="1"/>
      <c r="YE36" s="209"/>
      <c r="YF36" s="1"/>
      <c r="YG36" s="61"/>
      <c r="YH36" s="1"/>
      <c r="YI36" s="209"/>
      <c r="YJ36" s="1"/>
      <c r="YK36" s="61"/>
      <c r="YL36" s="1"/>
      <c r="YM36" s="209"/>
      <c r="YN36" s="1"/>
      <c r="YO36" s="61"/>
      <c r="YP36" s="1"/>
      <c r="YQ36" s="209"/>
      <c r="YR36" s="1"/>
      <c r="YS36" s="61"/>
      <c r="YT36" s="1"/>
      <c r="YU36" s="209"/>
      <c r="YV36" s="1"/>
      <c r="YW36" s="61"/>
      <c r="YX36" s="1"/>
      <c r="YY36" s="209"/>
      <c r="YZ36" s="1"/>
      <c r="ZA36" s="61"/>
      <c r="ZB36" s="1"/>
      <c r="ZC36" s="209"/>
      <c r="ZD36" s="1"/>
      <c r="ZE36" s="61"/>
      <c r="ZF36" s="1"/>
      <c r="ZG36" s="209"/>
      <c r="ZH36" s="1"/>
      <c r="ZI36" s="61"/>
      <c r="ZJ36" s="1"/>
      <c r="ZK36" s="209"/>
      <c r="ZL36" s="1"/>
      <c r="ZM36" s="61"/>
      <c r="ZN36" s="1"/>
      <c r="ZO36" s="209"/>
      <c r="ZP36" s="1"/>
      <c r="ZQ36" s="61"/>
      <c r="ZR36" s="1"/>
      <c r="ZS36" s="209"/>
      <c r="ZT36" s="1"/>
      <c r="ZU36" s="61"/>
      <c r="ZV36" s="1"/>
      <c r="ZW36" s="209"/>
      <c r="ZX36" s="1"/>
      <c r="ZY36" s="61"/>
      <c r="ZZ36" s="1"/>
      <c r="AAA36" s="209"/>
      <c r="AAB36" s="1"/>
      <c r="AAC36" s="61"/>
      <c r="AAD36" s="1"/>
      <c r="AAE36" s="209"/>
      <c r="AAF36" s="1"/>
      <c r="AAG36" s="61"/>
      <c r="AAH36" s="1"/>
      <c r="AAI36" s="209"/>
      <c r="AAJ36" s="1"/>
      <c r="AAK36" s="61"/>
      <c r="AAL36" s="1"/>
      <c r="AAM36" s="209"/>
      <c r="AAN36" s="1"/>
      <c r="AAO36" s="61"/>
      <c r="AAP36" s="1"/>
      <c r="AAQ36" s="209"/>
      <c r="AAR36" s="1"/>
      <c r="AAS36" s="61"/>
      <c r="AAT36" s="1"/>
      <c r="AAU36" s="209"/>
      <c r="AAV36" s="1"/>
      <c r="AAW36" s="61"/>
      <c r="AAX36" s="1"/>
      <c r="AAY36" s="209"/>
      <c r="AAZ36" s="1"/>
      <c r="ABA36" s="61"/>
      <c r="ABB36" s="1"/>
      <c r="ABC36" s="209"/>
      <c r="ABD36" s="1"/>
      <c r="ABE36" s="61"/>
      <c r="ABF36" s="1"/>
      <c r="ABG36" s="209"/>
      <c r="ABH36" s="1"/>
      <c r="ABI36" s="61"/>
      <c r="ABJ36" s="1"/>
      <c r="ABK36" s="209"/>
      <c r="ABL36" s="1"/>
      <c r="ABM36" s="61"/>
      <c r="ABN36" s="1"/>
      <c r="ABO36" s="209"/>
      <c r="ABP36" s="1"/>
      <c r="ABQ36" s="61"/>
      <c r="ABR36" s="1"/>
      <c r="ABS36" s="209"/>
      <c r="ABT36" s="1"/>
      <c r="ABU36" s="61"/>
      <c r="ABV36" s="1"/>
      <c r="ABW36" s="209"/>
      <c r="ABX36" s="1"/>
      <c r="ABY36" s="61"/>
      <c r="ABZ36" s="1"/>
      <c r="ACA36" s="209"/>
      <c r="ACB36" s="1"/>
      <c r="ACC36" s="61"/>
      <c r="ACD36" s="1"/>
      <c r="ACE36" s="209"/>
      <c r="ACF36" s="1"/>
      <c r="ACG36" s="61"/>
      <c r="ACH36" s="1"/>
      <c r="ACI36" s="209"/>
      <c r="ACJ36" s="1"/>
      <c r="ACK36" s="61"/>
      <c r="ACL36" s="1"/>
      <c r="ACM36" s="209"/>
      <c r="ACN36" s="1"/>
      <c r="ACO36" s="61"/>
      <c r="ACP36" s="1"/>
      <c r="ACQ36" s="209"/>
      <c r="ACR36" s="1"/>
      <c r="ACS36" s="61"/>
      <c r="ACT36" s="1"/>
      <c r="ACU36" s="209"/>
      <c r="ACV36" s="1"/>
      <c r="ACW36" s="61"/>
      <c r="ACX36" s="1"/>
      <c r="ACY36" s="209"/>
      <c r="ACZ36" s="1"/>
      <c r="ADA36" s="61"/>
      <c r="ADB36" s="1"/>
      <c r="ADC36" s="209"/>
      <c r="ADD36" s="1"/>
      <c r="ADE36" s="61"/>
      <c r="ADF36" s="1"/>
      <c r="ADG36" s="209"/>
      <c r="ADH36" s="1"/>
      <c r="ADI36" s="61"/>
      <c r="ADJ36" s="1"/>
      <c r="ADK36" s="209"/>
      <c r="ADL36" s="1"/>
      <c r="ADM36" s="61"/>
      <c r="ADN36" s="1"/>
      <c r="ADO36" s="209"/>
      <c r="ADP36" s="1"/>
      <c r="ADQ36" s="61"/>
      <c r="ADR36" s="1"/>
      <c r="ADS36" s="209"/>
      <c r="ADT36" s="1"/>
      <c r="ADU36" s="61"/>
      <c r="ADV36" s="1"/>
      <c r="ADW36" s="209"/>
      <c r="ADX36" s="1"/>
      <c r="ADY36" s="61"/>
      <c r="ADZ36" s="1"/>
      <c r="AEA36" s="209"/>
      <c r="AEB36" s="1"/>
      <c r="AEC36" s="61"/>
      <c r="AED36" s="1"/>
      <c r="AEE36" s="209"/>
      <c r="AEF36" s="1"/>
      <c r="AEG36" s="61"/>
      <c r="AEH36" s="1"/>
      <c r="AEI36" s="209"/>
      <c r="AEJ36" s="1"/>
      <c r="AEK36" s="61"/>
      <c r="AEL36" s="1"/>
      <c r="AEM36" s="209"/>
      <c r="AEN36" s="1"/>
      <c r="AEO36" s="61"/>
      <c r="AEP36" s="1"/>
      <c r="AEQ36" s="209"/>
      <c r="AER36" s="1"/>
      <c r="AES36" s="61"/>
      <c r="AET36" s="1"/>
      <c r="AEU36" s="209"/>
      <c r="AEV36" s="1"/>
      <c r="AEW36" s="61"/>
      <c r="AEX36" s="1"/>
      <c r="AEY36" s="209"/>
      <c r="AEZ36" s="1"/>
      <c r="AFA36" s="61"/>
      <c r="AFB36" s="1"/>
      <c r="AFC36" s="209"/>
      <c r="AFD36" s="1"/>
      <c r="AFE36" s="61"/>
      <c r="AFF36" s="1"/>
      <c r="AFG36" s="209"/>
      <c r="AFH36" s="1"/>
      <c r="AFI36" s="61"/>
      <c r="AFJ36" s="1"/>
      <c r="AFK36" s="209"/>
      <c r="AFL36" s="1"/>
      <c r="AFM36" s="61"/>
      <c r="AFN36" s="1"/>
      <c r="AFO36" s="209"/>
      <c r="AFP36" s="1"/>
      <c r="AFQ36" s="61"/>
      <c r="AFR36" s="1"/>
      <c r="AFS36" s="209"/>
      <c r="AFT36" s="1"/>
      <c r="AFU36" s="61"/>
      <c r="AFV36" s="1"/>
      <c r="AFW36" s="209"/>
      <c r="AFX36" s="1"/>
      <c r="AFY36" s="61"/>
      <c r="AFZ36" s="1"/>
      <c r="AGA36" s="209"/>
      <c r="AGB36" s="1"/>
      <c r="AGC36" s="61"/>
      <c r="AGD36" s="1"/>
      <c r="AGE36" s="209"/>
      <c r="AGF36" s="1"/>
      <c r="AGG36" s="61"/>
      <c r="AGH36" s="1"/>
      <c r="AGI36" s="209"/>
      <c r="AGJ36" s="1"/>
      <c r="AGK36" s="61"/>
      <c r="AGL36" s="1"/>
      <c r="AGM36" s="209"/>
      <c r="AGN36" s="1"/>
      <c r="AGO36" s="61"/>
      <c r="AGP36" s="1"/>
      <c r="AGQ36" s="209"/>
      <c r="AGR36" s="1"/>
      <c r="AGS36" s="61"/>
      <c r="AGT36" s="1"/>
      <c r="AGU36" s="209"/>
      <c r="AGV36" s="1"/>
      <c r="AGW36" s="61"/>
      <c r="AGX36" s="1"/>
      <c r="AGY36" s="209"/>
      <c r="AGZ36" s="1"/>
      <c r="AHA36" s="61"/>
      <c r="AHB36" s="1"/>
      <c r="AHC36" s="209"/>
      <c r="AHD36" s="1"/>
      <c r="AHE36" s="61"/>
      <c r="AHF36" s="1"/>
      <c r="AHG36" s="209"/>
      <c r="AHH36" s="1"/>
      <c r="AHI36" s="61"/>
      <c r="AHJ36" s="1"/>
      <c r="AHK36" s="209"/>
      <c r="AHL36" s="1"/>
      <c r="AHM36" s="61"/>
      <c r="AHN36" s="1"/>
      <c r="AHO36" s="209"/>
      <c r="AHP36" s="1"/>
      <c r="AHQ36" s="61"/>
      <c r="AHR36" s="1"/>
      <c r="AHS36" s="209"/>
      <c r="AHT36" s="1"/>
      <c r="AHU36" s="61"/>
      <c r="AHV36" s="1"/>
      <c r="AHW36" s="209"/>
      <c r="AHX36" s="1"/>
      <c r="AHY36" s="61"/>
      <c r="AHZ36" s="1"/>
      <c r="AIA36" s="209"/>
      <c r="AIB36" s="1"/>
      <c r="AIC36" s="61"/>
      <c r="AID36" s="1"/>
      <c r="AIE36" s="209"/>
      <c r="AIF36" s="1"/>
      <c r="AIG36" s="61"/>
      <c r="AIH36" s="1"/>
      <c r="AII36" s="209"/>
      <c r="AIJ36" s="1"/>
      <c r="AIK36" s="61"/>
      <c r="AIL36" s="1"/>
      <c r="AIM36" s="209"/>
      <c r="AIN36" s="1"/>
      <c r="AIO36" s="61"/>
      <c r="AIP36" s="1"/>
      <c r="AIQ36" s="209"/>
      <c r="AIR36" s="1"/>
      <c r="AIS36" s="61"/>
      <c r="AIT36" s="1"/>
      <c r="AIU36" s="209"/>
      <c r="AIV36" s="1"/>
      <c r="AIW36" s="61"/>
      <c r="AIX36" s="1"/>
      <c r="AIY36" s="209"/>
      <c r="AIZ36" s="1"/>
      <c r="AJA36" s="61"/>
      <c r="AJB36" s="1"/>
      <c r="AJC36" s="209"/>
      <c r="AJD36" s="1"/>
      <c r="AJE36" s="61"/>
      <c r="AJF36" s="1"/>
      <c r="AJG36" s="209"/>
      <c r="AJH36" s="1"/>
      <c r="AJI36" s="61"/>
      <c r="AJJ36" s="1"/>
      <c r="AJK36" s="209"/>
      <c r="AJL36" s="1"/>
      <c r="AJM36" s="61"/>
      <c r="AJN36" s="1"/>
      <c r="AJO36" s="209"/>
      <c r="AJP36" s="1"/>
      <c r="AJQ36" s="61"/>
      <c r="AJR36" s="1"/>
      <c r="AJS36" s="209"/>
      <c r="AJT36" s="1"/>
      <c r="AJU36" s="61"/>
      <c r="AJV36" s="1"/>
      <c r="AJW36" s="209"/>
      <c r="AJX36" s="1"/>
      <c r="AJY36" s="61"/>
      <c r="AJZ36" s="1"/>
      <c r="AKA36" s="209"/>
      <c r="AKB36" s="1"/>
      <c r="AKC36" s="61"/>
      <c r="AKD36" s="1"/>
      <c r="AKE36" s="209"/>
      <c r="AKF36" s="1"/>
      <c r="AKG36" s="61"/>
      <c r="AKH36" s="1"/>
      <c r="AKI36" s="209"/>
      <c r="AKJ36" s="1"/>
      <c r="AKK36" s="61"/>
      <c r="AKL36" s="1"/>
      <c r="AKM36" s="209"/>
      <c r="AKN36" s="1"/>
      <c r="AKO36" s="61"/>
      <c r="AKP36" s="1"/>
      <c r="AKQ36" s="209"/>
      <c r="AKR36" s="1"/>
      <c r="AKS36" s="61"/>
      <c r="AKT36" s="1"/>
      <c r="AKU36" s="209"/>
      <c r="AKV36" s="1"/>
      <c r="AKW36" s="61"/>
      <c r="AKX36" s="1"/>
      <c r="AKY36" s="209"/>
      <c r="AKZ36" s="1"/>
      <c r="ALA36" s="61"/>
      <c r="ALB36" s="1"/>
      <c r="ALC36" s="209"/>
      <c r="ALD36" s="1"/>
      <c r="ALE36" s="61"/>
      <c r="ALF36" s="1"/>
      <c r="ALG36" s="209"/>
      <c r="ALH36" s="1"/>
      <c r="ALI36" s="61"/>
      <c r="ALJ36" s="1"/>
      <c r="ALK36" s="209"/>
      <c r="ALL36" s="1"/>
      <c r="ALM36" s="61"/>
      <c r="ALN36" s="1"/>
      <c r="ALO36" s="209"/>
      <c r="ALP36" s="1"/>
      <c r="ALQ36" s="61"/>
      <c r="ALR36" s="1"/>
      <c r="ALS36" s="209"/>
      <c r="ALT36" s="1"/>
      <c r="ALU36" s="61"/>
      <c r="ALV36" s="1"/>
      <c r="ALW36" s="209"/>
      <c r="ALX36" s="1"/>
      <c r="ALY36" s="61"/>
      <c r="ALZ36" s="1"/>
      <c r="AMA36" s="209"/>
      <c r="AMB36" s="1"/>
      <c r="AMC36" s="61"/>
      <c r="AMD36" s="1"/>
      <c r="AME36" s="209"/>
      <c r="AMF36" s="1"/>
      <c r="AMG36" s="61"/>
      <c r="AMH36" s="1"/>
      <c r="AMI36" s="209"/>
      <c r="AMJ36" s="1"/>
      <c r="AMK36" s="61"/>
      <c r="AML36" s="1"/>
      <c r="AMM36" s="209"/>
      <c r="AMN36" s="1"/>
      <c r="AMO36" s="61"/>
      <c r="AMP36" s="1"/>
      <c r="AMQ36" s="209"/>
      <c r="AMR36" s="1"/>
      <c r="AMS36" s="61"/>
      <c r="AMT36" s="1"/>
      <c r="AMU36" s="209"/>
      <c r="AMV36" s="1"/>
      <c r="AMW36" s="61"/>
      <c r="AMX36" s="1"/>
      <c r="AMY36" s="209"/>
      <c r="AMZ36" s="1"/>
      <c r="ANA36" s="61"/>
      <c r="ANB36" s="1"/>
      <c r="ANC36" s="209"/>
      <c r="AND36" s="1"/>
      <c r="ANE36" s="61"/>
      <c r="ANF36" s="1"/>
      <c r="ANG36" s="209"/>
      <c r="ANH36" s="1"/>
      <c r="ANI36" s="61"/>
      <c r="ANJ36" s="1"/>
      <c r="ANK36" s="209"/>
      <c r="ANL36" s="1"/>
      <c r="ANM36" s="61"/>
      <c r="ANN36" s="1"/>
      <c r="ANO36" s="209"/>
      <c r="ANP36" s="1"/>
      <c r="ANQ36" s="61"/>
      <c r="ANR36" s="1"/>
      <c r="ANS36" s="209"/>
      <c r="ANT36" s="1"/>
      <c r="ANU36" s="61"/>
      <c r="ANV36" s="1"/>
      <c r="ANW36" s="209"/>
      <c r="ANX36" s="1"/>
      <c r="ANY36" s="61"/>
      <c r="ANZ36" s="1"/>
      <c r="AOA36" s="209"/>
      <c r="AOB36" s="1"/>
      <c r="AOC36" s="61"/>
      <c r="AOD36" s="1"/>
      <c r="AOE36" s="209"/>
      <c r="AOF36" s="1"/>
      <c r="AOG36" s="61"/>
      <c r="AOH36" s="1"/>
      <c r="AOI36" s="209"/>
      <c r="AOJ36" s="1"/>
      <c r="AOK36" s="61"/>
      <c r="AOL36" s="1"/>
      <c r="AOM36" s="209"/>
      <c r="AON36" s="1"/>
      <c r="AOO36" s="61"/>
      <c r="AOP36" s="1"/>
      <c r="AOQ36" s="209"/>
      <c r="AOR36" s="1"/>
      <c r="AOS36" s="61"/>
      <c r="AOT36" s="1"/>
      <c r="AOU36" s="209"/>
      <c r="AOV36" s="1"/>
      <c r="AOW36" s="61"/>
      <c r="AOX36" s="1"/>
      <c r="AOY36" s="209"/>
      <c r="AOZ36" s="1"/>
      <c r="APA36" s="61"/>
      <c r="APB36" s="1"/>
      <c r="APC36" s="209"/>
      <c r="APD36" s="1"/>
      <c r="APE36" s="61"/>
      <c r="APF36" s="1"/>
      <c r="APG36" s="209"/>
      <c r="APH36" s="1"/>
      <c r="API36" s="61"/>
      <c r="APJ36" s="1"/>
      <c r="APK36" s="209"/>
      <c r="APL36" s="1"/>
      <c r="APM36" s="61"/>
      <c r="APN36" s="1"/>
      <c r="APO36" s="209"/>
      <c r="APP36" s="1"/>
      <c r="APQ36" s="61"/>
      <c r="APR36" s="1"/>
      <c r="APS36" s="209"/>
      <c r="APT36" s="1"/>
      <c r="APU36" s="61"/>
      <c r="APV36" s="1"/>
      <c r="APW36" s="209"/>
      <c r="APX36" s="1"/>
      <c r="APY36" s="61"/>
      <c r="APZ36" s="1"/>
      <c r="AQA36" s="209"/>
      <c r="AQB36" s="1"/>
      <c r="AQC36" s="61"/>
      <c r="AQD36" s="1"/>
      <c r="AQE36" s="209"/>
      <c r="AQF36" s="1"/>
      <c r="AQG36" s="61"/>
      <c r="AQH36" s="1"/>
      <c r="AQI36" s="209"/>
      <c r="AQJ36" s="1"/>
      <c r="AQK36" s="61"/>
      <c r="AQL36" s="1"/>
      <c r="AQM36" s="209"/>
      <c r="AQN36" s="1"/>
      <c r="AQO36" s="61"/>
      <c r="AQP36" s="1"/>
      <c r="AQQ36" s="209"/>
      <c r="AQR36" s="1"/>
      <c r="AQS36" s="61"/>
      <c r="AQT36" s="1"/>
      <c r="AQU36" s="209"/>
      <c r="AQV36" s="1"/>
      <c r="AQW36" s="61"/>
      <c r="AQX36" s="1"/>
      <c r="AQY36" s="209"/>
      <c r="AQZ36" s="1"/>
      <c r="ARA36" s="61"/>
      <c r="ARB36" s="1"/>
      <c r="ARC36" s="209"/>
      <c r="ARD36" s="1"/>
      <c r="ARE36" s="61"/>
      <c r="ARF36" s="1"/>
      <c r="ARG36" s="209"/>
      <c r="ARH36" s="1"/>
      <c r="ARI36" s="61"/>
      <c r="ARJ36" s="1"/>
      <c r="ARK36" s="209"/>
      <c r="ARL36" s="1"/>
      <c r="ARM36" s="61"/>
      <c r="ARN36" s="1"/>
      <c r="ARO36" s="209"/>
      <c r="ARP36" s="1"/>
      <c r="ARQ36" s="61"/>
      <c r="ARR36" s="1"/>
      <c r="ARS36" s="209"/>
      <c r="ART36" s="1"/>
      <c r="ARU36" s="61"/>
      <c r="ARV36" s="1"/>
      <c r="ARW36" s="209"/>
      <c r="ARX36" s="1"/>
      <c r="ARY36" s="61"/>
      <c r="ARZ36" s="1"/>
      <c r="ASA36" s="209"/>
      <c r="ASB36" s="1"/>
      <c r="ASC36" s="61"/>
      <c r="ASD36" s="1"/>
      <c r="ASE36" s="209"/>
      <c r="ASF36" s="1"/>
      <c r="ASG36" s="61"/>
      <c r="ASH36" s="1"/>
      <c r="ASI36" s="209"/>
      <c r="ASJ36" s="1"/>
      <c r="ASK36" s="61"/>
      <c r="ASL36" s="1"/>
      <c r="ASM36" s="209"/>
      <c r="ASN36" s="1"/>
      <c r="ASO36" s="61"/>
      <c r="ASP36" s="1"/>
      <c r="ASQ36" s="209"/>
      <c r="ASR36" s="1"/>
      <c r="ASS36" s="61"/>
      <c r="AST36" s="1"/>
      <c r="ASU36" s="209"/>
      <c r="ASV36" s="1"/>
      <c r="ASW36" s="61"/>
      <c r="ASX36" s="1"/>
      <c r="ASY36" s="209"/>
      <c r="ASZ36" s="1"/>
      <c r="ATA36" s="61"/>
      <c r="ATB36" s="1"/>
      <c r="ATC36" s="209"/>
      <c r="ATD36" s="1"/>
      <c r="ATE36" s="61"/>
      <c r="ATF36" s="1"/>
      <c r="ATG36" s="209"/>
      <c r="ATH36" s="1"/>
      <c r="ATI36" s="61"/>
      <c r="ATJ36" s="1"/>
      <c r="ATK36" s="209"/>
      <c r="ATL36" s="1"/>
      <c r="ATM36" s="61"/>
      <c r="ATN36" s="1"/>
      <c r="ATO36" s="209"/>
      <c r="ATP36" s="1"/>
      <c r="ATQ36" s="61"/>
      <c r="ATR36" s="1"/>
      <c r="ATS36" s="209"/>
      <c r="ATT36" s="1"/>
      <c r="ATU36" s="61"/>
      <c r="ATV36" s="1"/>
      <c r="ATW36" s="209"/>
      <c r="ATX36" s="1"/>
      <c r="ATY36" s="61"/>
      <c r="ATZ36" s="1"/>
      <c r="AUA36" s="209"/>
      <c r="AUB36" s="1"/>
      <c r="AUC36" s="61"/>
      <c r="AUD36" s="1"/>
      <c r="AUE36" s="209"/>
      <c r="AUF36" s="1"/>
      <c r="AUG36" s="61"/>
      <c r="AUH36" s="1"/>
      <c r="AUI36" s="209"/>
      <c r="AUJ36" s="1"/>
      <c r="AUK36" s="61"/>
      <c r="AUL36" s="1"/>
      <c r="AUM36" s="209"/>
      <c r="AUN36" s="1"/>
      <c r="AUO36" s="61"/>
      <c r="AUP36" s="1"/>
      <c r="AUQ36" s="209"/>
      <c r="AUR36" s="1"/>
      <c r="AUS36" s="61"/>
      <c r="AUT36" s="1"/>
      <c r="AUU36" s="209"/>
      <c r="AUV36" s="1"/>
      <c r="AUW36" s="61"/>
      <c r="AUX36" s="1"/>
      <c r="AUY36" s="209"/>
      <c r="AUZ36" s="1"/>
      <c r="AVA36" s="61"/>
      <c r="AVB36" s="1"/>
      <c r="AVC36" s="209"/>
      <c r="AVD36" s="1"/>
      <c r="AVE36" s="61"/>
      <c r="AVF36" s="1"/>
      <c r="AVG36" s="209"/>
      <c r="AVH36" s="1"/>
      <c r="AVI36" s="61"/>
      <c r="AVJ36" s="1"/>
      <c r="AVK36" s="209"/>
      <c r="AVL36" s="1"/>
      <c r="AVM36" s="61"/>
      <c r="AVN36" s="1"/>
      <c r="AVO36" s="209"/>
      <c r="AVP36" s="1"/>
      <c r="AVQ36" s="61"/>
      <c r="AVR36" s="1"/>
      <c r="AVS36" s="209"/>
      <c r="AVT36" s="1"/>
      <c r="AVU36" s="61"/>
      <c r="AVV36" s="1"/>
      <c r="AVW36" s="209"/>
      <c r="AVX36" s="1"/>
      <c r="AVY36" s="61"/>
      <c r="AVZ36" s="1"/>
      <c r="AWA36" s="209"/>
      <c r="AWB36" s="1"/>
      <c r="AWC36" s="61"/>
      <c r="AWD36" s="1"/>
      <c r="AWE36" s="209"/>
      <c r="AWF36" s="1"/>
      <c r="AWG36" s="61"/>
      <c r="AWH36" s="1"/>
      <c r="AWI36" s="209"/>
      <c r="AWJ36" s="1"/>
      <c r="AWK36" s="61"/>
      <c r="AWL36" s="1"/>
      <c r="AWM36" s="209"/>
      <c r="AWN36" s="1"/>
      <c r="AWO36" s="61"/>
      <c r="AWP36" s="1"/>
      <c r="AWQ36" s="209"/>
      <c r="AWR36" s="1"/>
      <c r="AWS36" s="61"/>
      <c r="AWT36" s="1"/>
      <c r="AWU36" s="209"/>
      <c r="AWV36" s="1"/>
      <c r="AWW36" s="61"/>
      <c r="AWX36" s="1"/>
      <c r="AWY36" s="209"/>
      <c r="AWZ36" s="1"/>
      <c r="AXA36" s="61"/>
      <c r="AXB36" s="1"/>
      <c r="AXC36" s="209"/>
      <c r="AXD36" s="1"/>
      <c r="AXE36" s="61"/>
      <c r="AXF36" s="1"/>
      <c r="AXG36" s="209"/>
      <c r="AXH36" s="1"/>
      <c r="AXI36" s="61"/>
      <c r="AXJ36" s="1"/>
      <c r="AXK36" s="209"/>
      <c r="AXL36" s="1"/>
      <c r="AXM36" s="61"/>
      <c r="AXN36" s="1"/>
      <c r="AXO36" s="209"/>
      <c r="AXP36" s="1"/>
      <c r="AXQ36" s="61"/>
      <c r="AXR36" s="1"/>
      <c r="AXS36" s="209"/>
      <c r="AXT36" s="1"/>
      <c r="AXU36" s="61"/>
      <c r="AXV36" s="1"/>
      <c r="AXW36" s="209"/>
      <c r="AXX36" s="1"/>
      <c r="AXY36" s="61"/>
      <c r="AXZ36" s="1"/>
      <c r="AYA36" s="209"/>
      <c r="AYB36" s="1"/>
      <c r="AYC36" s="61"/>
      <c r="AYD36" s="1"/>
      <c r="AYE36" s="209"/>
      <c r="AYF36" s="1"/>
      <c r="AYG36" s="61"/>
      <c r="AYH36" s="1"/>
      <c r="AYI36" s="209"/>
      <c r="AYJ36" s="1"/>
      <c r="AYK36" s="61"/>
      <c r="AYL36" s="1"/>
      <c r="AYM36" s="209"/>
      <c r="AYN36" s="1"/>
      <c r="AYO36" s="61"/>
      <c r="AYP36" s="1"/>
      <c r="AYQ36" s="209"/>
      <c r="AYR36" s="1"/>
      <c r="AYS36" s="61"/>
      <c r="AYT36" s="1"/>
      <c r="AYU36" s="209"/>
      <c r="AYV36" s="1"/>
      <c r="AYW36" s="61"/>
      <c r="AYX36" s="1"/>
      <c r="AYY36" s="209"/>
      <c r="AYZ36" s="1"/>
      <c r="AZA36" s="61"/>
      <c r="AZB36" s="1"/>
      <c r="AZC36" s="209"/>
      <c r="AZD36" s="1"/>
      <c r="AZE36" s="61"/>
      <c r="AZF36" s="1"/>
      <c r="AZG36" s="209"/>
      <c r="AZH36" s="1"/>
      <c r="AZI36" s="61"/>
      <c r="AZJ36" s="1"/>
      <c r="AZK36" s="209"/>
      <c r="AZL36" s="1"/>
      <c r="AZM36" s="61"/>
      <c r="AZN36" s="1"/>
      <c r="AZO36" s="209"/>
      <c r="AZP36" s="1"/>
      <c r="AZQ36" s="61"/>
      <c r="AZR36" s="1"/>
      <c r="AZS36" s="209"/>
      <c r="AZT36" s="1"/>
      <c r="AZU36" s="61"/>
      <c r="AZV36" s="1"/>
      <c r="AZW36" s="209"/>
      <c r="AZX36" s="1"/>
      <c r="AZY36" s="61"/>
      <c r="AZZ36" s="1"/>
      <c r="BAA36" s="209"/>
      <c r="BAB36" s="1"/>
      <c r="BAC36" s="61"/>
      <c r="BAD36" s="1"/>
      <c r="BAE36" s="209"/>
      <c r="BAF36" s="1"/>
      <c r="BAG36" s="61"/>
      <c r="BAH36" s="1"/>
      <c r="BAI36" s="209"/>
      <c r="BAJ36" s="1"/>
      <c r="BAK36" s="61"/>
      <c r="BAL36" s="1"/>
      <c r="BAM36" s="209"/>
      <c r="BAN36" s="1"/>
      <c r="BAO36" s="61"/>
      <c r="BAP36" s="1"/>
      <c r="BAQ36" s="209"/>
      <c r="BAR36" s="1"/>
      <c r="BAS36" s="61"/>
      <c r="BAT36" s="1"/>
      <c r="BAU36" s="209"/>
      <c r="BAV36" s="1"/>
      <c r="BAW36" s="61"/>
      <c r="BAX36" s="1"/>
      <c r="BAY36" s="209"/>
      <c r="BAZ36" s="1"/>
      <c r="BBA36" s="61"/>
      <c r="BBB36" s="1"/>
      <c r="BBC36" s="209"/>
      <c r="BBD36" s="1"/>
      <c r="BBE36" s="61"/>
      <c r="BBF36" s="1"/>
      <c r="BBG36" s="209"/>
      <c r="BBH36" s="1"/>
      <c r="BBI36" s="61"/>
      <c r="BBJ36" s="1"/>
      <c r="BBK36" s="209"/>
      <c r="BBL36" s="1"/>
      <c r="BBM36" s="61"/>
      <c r="BBN36" s="1"/>
      <c r="BBO36" s="209"/>
      <c r="BBP36" s="1"/>
      <c r="BBQ36" s="61"/>
      <c r="BBR36" s="1"/>
      <c r="BBS36" s="209"/>
      <c r="BBT36" s="1"/>
      <c r="BBU36" s="61"/>
      <c r="BBV36" s="1"/>
      <c r="BBW36" s="209"/>
      <c r="BBX36" s="1"/>
      <c r="BBY36" s="61"/>
      <c r="BBZ36" s="1"/>
      <c r="BCA36" s="209"/>
      <c r="BCB36" s="1"/>
      <c r="BCC36" s="61"/>
      <c r="BCD36" s="1"/>
      <c r="BCE36" s="209"/>
      <c r="BCF36" s="1"/>
      <c r="BCG36" s="61"/>
      <c r="BCH36" s="1"/>
      <c r="BCI36" s="209"/>
      <c r="BCJ36" s="1"/>
      <c r="BCK36" s="61"/>
      <c r="BCL36" s="1"/>
      <c r="BCM36" s="209"/>
      <c r="BCN36" s="1"/>
      <c r="BCO36" s="61"/>
      <c r="BCP36" s="1"/>
      <c r="BCQ36" s="209"/>
      <c r="BCR36" s="1"/>
      <c r="BCS36" s="61"/>
      <c r="BCT36" s="1"/>
      <c r="BCU36" s="209"/>
      <c r="BCV36" s="1"/>
      <c r="BCW36" s="61"/>
      <c r="BCX36" s="1"/>
      <c r="BCY36" s="209"/>
      <c r="BCZ36" s="1"/>
      <c r="BDA36" s="61"/>
      <c r="BDB36" s="1"/>
      <c r="BDC36" s="209"/>
      <c r="BDD36" s="1"/>
      <c r="BDE36" s="61"/>
      <c r="BDF36" s="1"/>
      <c r="BDG36" s="209"/>
      <c r="BDH36" s="1"/>
      <c r="BDI36" s="61"/>
      <c r="BDJ36" s="1"/>
      <c r="BDK36" s="209"/>
      <c r="BDL36" s="1"/>
      <c r="BDM36" s="61"/>
      <c r="BDN36" s="1"/>
      <c r="BDO36" s="209"/>
      <c r="BDP36" s="1"/>
      <c r="BDQ36" s="61"/>
      <c r="BDR36" s="1"/>
      <c r="BDS36" s="209"/>
      <c r="BDT36" s="1"/>
      <c r="BDU36" s="61"/>
      <c r="BDV36" s="1"/>
      <c r="BDW36" s="209"/>
      <c r="BDX36" s="1"/>
      <c r="BDY36" s="61"/>
      <c r="BDZ36" s="1"/>
      <c r="BEA36" s="209"/>
      <c r="BEB36" s="1"/>
      <c r="BEC36" s="61"/>
      <c r="BED36" s="1"/>
      <c r="BEE36" s="209"/>
      <c r="BEF36" s="1"/>
      <c r="BEG36" s="61"/>
      <c r="BEH36" s="1"/>
      <c r="BEI36" s="209"/>
      <c r="BEJ36" s="1"/>
      <c r="BEK36" s="61"/>
      <c r="BEL36" s="1"/>
      <c r="BEM36" s="209"/>
      <c r="BEN36" s="1"/>
      <c r="BEO36" s="61"/>
      <c r="BEP36" s="1"/>
      <c r="BEQ36" s="209"/>
      <c r="BER36" s="1"/>
      <c r="BES36" s="61"/>
      <c r="BET36" s="1"/>
      <c r="BEU36" s="209"/>
      <c r="BEV36" s="1"/>
      <c r="BEW36" s="61"/>
      <c r="BEX36" s="1"/>
      <c r="BEY36" s="209"/>
      <c r="BEZ36" s="1"/>
      <c r="BFA36" s="61"/>
      <c r="BFB36" s="1"/>
      <c r="BFC36" s="209"/>
      <c r="BFD36" s="1"/>
      <c r="BFE36" s="61"/>
      <c r="BFF36" s="1"/>
      <c r="BFG36" s="209"/>
      <c r="BFH36" s="1"/>
      <c r="BFI36" s="61"/>
      <c r="BFJ36" s="1"/>
      <c r="BFK36" s="209"/>
      <c r="BFL36" s="1"/>
      <c r="BFM36" s="61"/>
      <c r="BFN36" s="1"/>
      <c r="BFO36" s="209"/>
      <c r="BFP36" s="1"/>
      <c r="BFQ36" s="61"/>
      <c r="BFR36" s="1"/>
      <c r="BFS36" s="209"/>
      <c r="BFT36" s="1"/>
      <c r="BFU36" s="61"/>
      <c r="BFV36" s="1"/>
      <c r="BFW36" s="209"/>
      <c r="BFX36" s="1"/>
      <c r="BFY36" s="61"/>
      <c r="BFZ36" s="1"/>
      <c r="BGA36" s="209"/>
      <c r="BGB36" s="1"/>
      <c r="BGC36" s="61"/>
      <c r="BGD36" s="1"/>
      <c r="BGE36" s="209"/>
      <c r="BGF36" s="1"/>
      <c r="BGG36" s="61"/>
      <c r="BGH36" s="1"/>
      <c r="BGI36" s="209"/>
      <c r="BGJ36" s="1"/>
      <c r="BGK36" s="61"/>
      <c r="BGL36" s="1"/>
      <c r="BGM36" s="209"/>
      <c r="BGN36" s="1"/>
      <c r="BGO36" s="61"/>
      <c r="BGP36" s="1"/>
      <c r="BGQ36" s="209"/>
      <c r="BGR36" s="1"/>
      <c r="BGS36" s="61"/>
      <c r="BGT36" s="1"/>
      <c r="BGU36" s="209"/>
      <c r="BGV36" s="1"/>
      <c r="BGW36" s="61"/>
      <c r="BGX36" s="1"/>
      <c r="BGY36" s="209"/>
      <c r="BGZ36" s="1"/>
      <c r="BHA36" s="61"/>
      <c r="BHB36" s="1"/>
      <c r="BHC36" s="209"/>
      <c r="BHD36" s="1"/>
      <c r="BHE36" s="61"/>
      <c r="BHF36" s="1"/>
      <c r="BHG36" s="209"/>
      <c r="BHH36" s="1"/>
      <c r="BHI36" s="61"/>
      <c r="BHJ36" s="1"/>
      <c r="BHK36" s="209"/>
      <c r="BHL36" s="1"/>
      <c r="BHM36" s="61"/>
      <c r="BHN36" s="1"/>
      <c r="BHO36" s="209"/>
      <c r="BHP36" s="1"/>
      <c r="BHQ36" s="61"/>
      <c r="BHR36" s="1"/>
      <c r="BHS36" s="209"/>
      <c r="BHT36" s="1"/>
      <c r="BHU36" s="61"/>
      <c r="BHV36" s="1"/>
      <c r="BHW36" s="209"/>
      <c r="BHX36" s="1"/>
      <c r="BHY36" s="61"/>
      <c r="BHZ36" s="1"/>
      <c r="BIA36" s="209"/>
      <c r="BIB36" s="1"/>
      <c r="BIC36" s="61"/>
      <c r="BID36" s="1"/>
      <c r="BIE36" s="209"/>
      <c r="BIF36" s="1"/>
      <c r="BIG36" s="61"/>
      <c r="BIH36" s="1"/>
      <c r="BII36" s="209"/>
      <c r="BIJ36" s="1"/>
      <c r="BIK36" s="61"/>
      <c r="BIL36" s="1"/>
      <c r="BIM36" s="209"/>
      <c r="BIN36" s="1"/>
      <c r="BIO36" s="61"/>
      <c r="BIP36" s="1"/>
      <c r="BIQ36" s="209"/>
      <c r="BIR36" s="1"/>
      <c r="BIS36" s="61"/>
      <c r="BIT36" s="1"/>
      <c r="BIU36" s="209"/>
      <c r="BIV36" s="1"/>
      <c r="BIW36" s="61"/>
      <c r="BIX36" s="1"/>
      <c r="BIY36" s="209"/>
      <c r="BIZ36" s="1"/>
      <c r="BJA36" s="61"/>
      <c r="BJB36" s="1"/>
      <c r="BJC36" s="209"/>
      <c r="BJD36" s="1"/>
      <c r="BJE36" s="61"/>
      <c r="BJF36" s="1"/>
      <c r="BJG36" s="209"/>
      <c r="BJH36" s="1"/>
      <c r="BJI36" s="61"/>
      <c r="BJJ36" s="1"/>
      <c r="BJK36" s="209"/>
      <c r="BJL36" s="1"/>
      <c r="BJM36" s="61"/>
      <c r="BJN36" s="1"/>
      <c r="BJO36" s="209"/>
      <c r="BJP36" s="1"/>
      <c r="BJQ36" s="61"/>
      <c r="BJR36" s="1"/>
      <c r="BJS36" s="209"/>
      <c r="BJT36" s="1"/>
      <c r="BJU36" s="61"/>
      <c r="BJV36" s="1"/>
      <c r="BJW36" s="209"/>
      <c r="BJX36" s="1"/>
      <c r="BJY36" s="61"/>
      <c r="BJZ36" s="1"/>
      <c r="BKA36" s="209"/>
      <c r="BKB36" s="1"/>
      <c r="BKC36" s="61"/>
      <c r="BKD36" s="1"/>
      <c r="BKE36" s="209"/>
      <c r="BKF36" s="1"/>
      <c r="BKG36" s="61"/>
      <c r="BKH36" s="1"/>
      <c r="BKI36" s="209"/>
      <c r="BKJ36" s="1"/>
      <c r="BKK36" s="61"/>
      <c r="BKL36" s="1"/>
      <c r="BKM36" s="209"/>
      <c r="BKN36" s="1"/>
      <c r="BKO36" s="61"/>
      <c r="BKP36" s="1"/>
      <c r="BKQ36" s="209"/>
      <c r="BKR36" s="1"/>
      <c r="BKS36" s="61"/>
      <c r="BKT36" s="1"/>
      <c r="BKU36" s="209"/>
      <c r="BKV36" s="1"/>
      <c r="BKW36" s="61"/>
      <c r="BKX36" s="1"/>
      <c r="BKY36" s="209"/>
      <c r="BKZ36" s="1"/>
      <c r="BLA36" s="61"/>
      <c r="BLB36" s="1"/>
      <c r="BLC36" s="209"/>
      <c r="BLD36" s="1"/>
      <c r="BLE36" s="61"/>
      <c r="BLF36" s="1"/>
      <c r="BLG36" s="209"/>
      <c r="BLH36" s="1"/>
      <c r="BLI36" s="61"/>
      <c r="BLJ36" s="1"/>
      <c r="BLK36" s="209"/>
      <c r="BLL36" s="1"/>
      <c r="BLM36" s="61"/>
      <c r="BLN36" s="1"/>
      <c r="BLO36" s="209"/>
      <c r="BLP36" s="1"/>
      <c r="BLQ36" s="61"/>
      <c r="BLR36" s="1"/>
      <c r="BLS36" s="209"/>
      <c r="BLT36" s="1"/>
      <c r="BLU36" s="61"/>
      <c r="BLV36" s="1"/>
      <c r="BLW36" s="209"/>
      <c r="BLX36" s="1"/>
      <c r="BLY36" s="61"/>
      <c r="BLZ36" s="1"/>
      <c r="BMA36" s="209"/>
      <c r="BMB36" s="1"/>
      <c r="BMC36" s="61"/>
      <c r="BMD36" s="1"/>
      <c r="BME36" s="209"/>
      <c r="BMF36" s="1"/>
      <c r="BMG36" s="61"/>
      <c r="BMH36" s="1"/>
      <c r="BMI36" s="209"/>
      <c r="BMJ36" s="1"/>
      <c r="BMK36" s="61"/>
      <c r="BML36" s="1"/>
      <c r="BMM36" s="209"/>
      <c r="BMN36" s="1"/>
      <c r="BMO36" s="61"/>
      <c r="BMP36" s="1"/>
      <c r="BMQ36" s="209"/>
      <c r="BMR36" s="1"/>
      <c r="BMS36" s="61"/>
      <c r="BMT36" s="1"/>
      <c r="BMU36" s="209"/>
      <c r="BMV36" s="1"/>
      <c r="BMW36" s="61"/>
      <c r="BMX36" s="1"/>
      <c r="BMY36" s="209"/>
      <c r="BMZ36" s="1"/>
      <c r="BNA36" s="61"/>
      <c r="BNB36" s="1"/>
      <c r="BNC36" s="209"/>
      <c r="BND36" s="1"/>
      <c r="BNE36" s="61"/>
      <c r="BNF36" s="1"/>
      <c r="BNG36" s="209"/>
      <c r="BNH36" s="1"/>
      <c r="BNI36" s="61"/>
      <c r="BNJ36" s="1"/>
      <c r="BNK36" s="209"/>
      <c r="BNL36" s="1"/>
      <c r="BNM36" s="61"/>
      <c r="BNN36" s="1"/>
      <c r="BNO36" s="209"/>
      <c r="BNP36" s="1"/>
      <c r="BNQ36" s="61"/>
      <c r="BNR36" s="1"/>
      <c r="BNS36" s="209"/>
      <c r="BNT36" s="1"/>
      <c r="BNU36" s="61"/>
      <c r="BNV36" s="1"/>
      <c r="BNW36" s="209"/>
      <c r="BNX36" s="1"/>
      <c r="BNY36" s="61"/>
      <c r="BNZ36" s="1"/>
      <c r="BOA36" s="209"/>
      <c r="BOB36" s="1"/>
      <c r="BOC36" s="61"/>
      <c r="BOD36" s="1"/>
      <c r="BOE36" s="209"/>
      <c r="BOF36" s="1"/>
      <c r="BOG36" s="61"/>
      <c r="BOH36" s="1"/>
      <c r="BOI36" s="209"/>
      <c r="BOJ36" s="1"/>
      <c r="BOK36" s="61"/>
      <c r="BOL36" s="1"/>
      <c r="BOM36" s="209"/>
      <c r="BON36" s="1"/>
      <c r="BOO36" s="61"/>
      <c r="BOP36" s="1"/>
      <c r="BOQ36" s="209"/>
      <c r="BOR36" s="1"/>
      <c r="BOS36" s="61"/>
      <c r="BOT36" s="1"/>
      <c r="BOU36" s="209"/>
      <c r="BOV36" s="1"/>
      <c r="BOW36" s="61"/>
      <c r="BOX36" s="1"/>
      <c r="BOY36" s="209"/>
      <c r="BOZ36" s="1"/>
      <c r="BPA36" s="61"/>
      <c r="BPB36" s="1"/>
      <c r="BPC36" s="209"/>
      <c r="BPD36" s="1"/>
      <c r="BPE36" s="61"/>
      <c r="BPF36" s="1"/>
      <c r="BPG36" s="209"/>
      <c r="BPH36" s="1"/>
      <c r="BPI36" s="61"/>
      <c r="BPJ36" s="1"/>
      <c r="BPK36" s="209"/>
      <c r="BPL36" s="1"/>
      <c r="BPM36" s="61"/>
      <c r="BPN36" s="1"/>
      <c r="BPO36" s="209"/>
      <c r="BPP36" s="1"/>
      <c r="BPQ36" s="61"/>
      <c r="BPR36" s="1"/>
      <c r="BPS36" s="209"/>
      <c r="BPT36" s="1"/>
      <c r="BPU36" s="61"/>
      <c r="BPV36" s="1"/>
      <c r="BPW36" s="209"/>
      <c r="BPX36" s="1"/>
      <c r="BPY36" s="61"/>
      <c r="BPZ36" s="1"/>
      <c r="BQA36" s="209"/>
      <c r="BQB36" s="1"/>
      <c r="BQC36" s="61"/>
      <c r="BQD36" s="1"/>
      <c r="BQE36" s="209"/>
      <c r="BQF36" s="1"/>
      <c r="BQG36" s="61"/>
      <c r="BQH36" s="1"/>
      <c r="BQI36" s="209"/>
      <c r="BQJ36" s="1"/>
      <c r="BQK36" s="61"/>
      <c r="BQL36" s="1"/>
      <c r="BQM36" s="209"/>
      <c r="BQN36" s="1"/>
      <c r="BQO36" s="61"/>
      <c r="BQP36" s="1"/>
      <c r="BQQ36" s="209"/>
      <c r="BQR36" s="1"/>
      <c r="BQS36" s="61"/>
      <c r="BQT36" s="1"/>
      <c r="BQU36" s="209"/>
      <c r="BQV36" s="1"/>
      <c r="BQW36" s="61"/>
      <c r="BQX36" s="1"/>
      <c r="BQY36" s="209"/>
      <c r="BQZ36" s="1"/>
      <c r="BRA36" s="61"/>
      <c r="BRB36" s="1"/>
      <c r="BRC36" s="209"/>
      <c r="BRD36" s="1"/>
      <c r="BRE36" s="61"/>
      <c r="BRF36" s="1"/>
      <c r="BRG36" s="209"/>
      <c r="BRH36" s="1"/>
      <c r="BRI36" s="61"/>
      <c r="BRJ36" s="1"/>
      <c r="BRK36" s="209"/>
      <c r="BRL36" s="1"/>
      <c r="BRM36" s="61"/>
      <c r="BRN36" s="1"/>
      <c r="BRO36" s="209"/>
      <c r="BRP36" s="1"/>
      <c r="BRQ36" s="61"/>
      <c r="BRR36" s="1"/>
      <c r="BRS36" s="209"/>
      <c r="BRT36" s="1"/>
      <c r="BRU36" s="61"/>
      <c r="BRV36" s="1"/>
      <c r="BRW36" s="209"/>
      <c r="BRX36" s="1"/>
      <c r="BRY36" s="61"/>
      <c r="BRZ36" s="1"/>
      <c r="BSA36" s="209"/>
      <c r="BSB36" s="1"/>
      <c r="BSC36" s="61"/>
      <c r="BSD36" s="1"/>
      <c r="BSE36" s="209"/>
      <c r="BSF36" s="1"/>
      <c r="BSG36" s="61"/>
      <c r="BSH36" s="1"/>
      <c r="BSI36" s="209"/>
      <c r="BSJ36" s="1"/>
      <c r="BSK36" s="61"/>
      <c r="BSL36" s="1"/>
      <c r="BSM36" s="209"/>
      <c r="BSN36" s="1"/>
      <c r="BSO36" s="61"/>
      <c r="BSP36" s="1"/>
      <c r="BSQ36" s="209"/>
      <c r="BSR36" s="1"/>
      <c r="BSS36" s="61"/>
      <c r="BST36" s="1"/>
      <c r="BSU36" s="209"/>
      <c r="BSV36" s="1"/>
      <c r="BSW36" s="61"/>
      <c r="BSX36" s="1"/>
      <c r="BSY36" s="209"/>
      <c r="BSZ36" s="1"/>
      <c r="BTA36" s="61"/>
      <c r="BTB36" s="1"/>
      <c r="BTC36" s="209"/>
      <c r="BTD36" s="1"/>
      <c r="BTE36" s="61"/>
      <c r="BTF36" s="1"/>
      <c r="BTG36" s="209"/>
      <c r="BTH36" s="1"/>
      <c r="BTI36" s="61"/>
      <c r="BTJ36" s="1"/>
      <c r="BTK36" s="209"/>
      <c r="BTL36" s="1"/>
      <c r="BTM36" s="61"/>
      <c r="BTN36" s="1"/>
      <c r="BTO36" s="209"/>
      <c r="BTP36" s="1"/>
      <c r="BTQ36" s="61"/>
      <c r="BTR36" s="1"/>
      <c r="BTS36" s="209"/>
      <c r="BTT36" s="1"/>
      <c r="BTU36" s="61"/>
      <c r="BTV36" s="1"/>
      <c r="BTW36" s="209"/>
      <c r="BTX36" s="1"/>
      <c r="BTY36" s="61"/>
      <c r="BTZ36" s="1"/>
      <c r="BUA36" s="209"/>
      <c r="BUB36" s="1"/>
      <c r="BUC36" s="61"/>
      <c r="BUD36" s="1"/>
      <c r="BUE36" s="209"/>
      <c r="BUF36" s="1"/>
      <c r="BUG36" s="61"/>
      <c r="BUH36" s="1"/>
      <c r="BUI36" s="209"/>
      <c r="BUJ36" s="1"/>
      <c r="BUK36" s="61"/>
      <c r="BUL36" s="1"/>
      <c r="BUM36" s="209"/>
      <c r="BUN36" s="1"/>
      <c r="BUO36" s="61"/>
      <c r="BUP36" s="1"/>
      <c r="BUQ36" s="209"/>
      <c r="BUR36" s="1"/>
      <c r="BUS36" s="61"/>
      <c r="BUT36" s="1"/>
      <c r="BUU36" s="209"/>
      <c r="BUV36" s="1"/>
      <c r="BUW36" s="61"/>
      <c r="BUX36" s="1"/>
      <c r="BUY36" s="209"/>
      <c r="BUZ36" s="1"/>
      <c r="BVA36" s="61"/>
      <c r="BVB36" s="1"/>
      <c r="BVC36" s="209"/>
      <c r="BVD36" s="1"/>
      <c r="BVE36" s="61"/>
      <c r="BVF36" s="1"/>
      <c r="BVG36" s="209"/>
      <c r="BVH36" s="1"/>
      <c r="BVI36" s="61"/>
      <c r="BVJ36" s="1"/>
      <c r="BVK36" s="209"/>
      <c r="BVL36" s="1"/>
      <c r="BVM36" s="61"/>
      <c r="BVN36" s="1"/>
      <c r="BVO36" s="209"/>
      <c r="BVP36" s="1"/>
      <c r="BVQ36" s="61"/>
      <c r="BVR36" s="1"/>
      <c r="BVS36" s="209"/>
      <c r="BVT36" s="1"/>
      <c r="BVU36" s="61"/>
      <c r="BVV36" s="1"/>
      <c r="BVW36" s="209"/>
      <c r="BVX36" s="1"/>
      <c r="BVY36" s="61"/>
      <c r="BVZ36" s="1"/>
      <c r="BWA36" s="209"/>
      <c r="BWB36" s="1"/>
      <c r="BWC36" s="61"/>
      <c r="BWD36" s="1"/>
      <c r="BWE36" s="209"/>
      <c r="BWF36" s="1"/>
      <c r="BWG36" s="61"/>
      <c r="BWH36" s="1"/>
      <c r="BWI36" s="209"/>
      <c r="BWJ36" s="1"/>
      <c r="BWK36" s="61"/>
      <c r="BWL36" s="1"/>
      <c r="BWM36" s="209"/>
      <c r="BWN36" s="1"/>
      <c r="BWO36" s="61"/>
      <c r="BWP36" s="1"/>
      <c r="BWQ36" s="209"/>
      <c r="BWR36" s="1"/>
      <c r="BWS36" s="61"/>
      <c r="BWT36" s="1"/>
      <c r="BWU36" s="209"/>
      <c r="BWV36" s="1"/>
      <c r="BWW36" s="61"/>
      <c r="BWX36" s="1"/>
      <c r="BWY36" s="209"/>
      <c r="BWZ36" s="1"/>
      <c r="BXA36" s="61"/>
      <c r="BXB36" s="1"/>
      <c r="BXC36" s="209"/>
      <c r="BXD36" s="1"/>
      <c r="BXE36" s="61"/>
      <c r="BXF36" s="1"/>
      <c r="BXG36" s="209"/>
      <c r="BXH36" s="1"/>
      <c r="BXI36" s="61"/>
      <c r="BXJ36" s="1"/>
      <c r="BXK36" s="209"/>
      <c r="BXL36" s="1"/>
      <c r="BXM36" s="61"/>
      <c r="BXN36" s="1"/>
      <c r="BXO36" s="209"/>
      <c r="BXP36" s="1"/>
      <c r="BXQ36" s="61"/>
      <c r="BXR36" s="1"/>
      <c r="BXS36" s="209"/>
      <c r="BXT36" s="1"/>
      <c r="BXU36" s="61"/>
      <c r="BXV36" s="1"/>
      <c r="BXW36" s="209"/>
      <c r="BXX36" s="1"/>
      <c r="BXY36" s="61"/>
      <c r="BXZ36" s="1"/>
      <c r="BYA36" s="209"/>
      <c r="BYB36" s="1"/>
      <c r="BYC36" s="61"/>
      <c r="BYD36" s="1"/>
      <c r="BYE36" s="209"/>
      <c r="BYF36" s="1"/>
      <c r="BYG36" s="61"/>
      <c r="BYH36" s="1"/>
      <c r="BYI36" s="209"/>
      <c r="BYJ36" s="1"/>
      <c r="BYK36" s="61"/>
      <c r="BYL36" s="1"/>
      <c r="BYM36" s="209"/>
      <c r="BYN36" s="1"/>
      <c r="BYO36" s="61"/>
      <c r="BYP36" s="1"/>
      <c r="BYQ36" s="209"/>
      <c r="BYR36" s="1"/>
      <c r="BYS36" s="61"/>
      <c r="BYT36" s="1"/>
      <c r="BYU36" s="209"/>
      <c r="BYV36" s="1"/>
      <c r="BYW36" s="61"/>
      <c r="BYX36" s="1"/>
      <c r="BYY36" s="209"/>
      <c r="BYZ36" s="1"/>
      <c r="BZA36" s="61"/>
      <c r="BZB36" s="1"/>
      <c r="BZC36" s="209"/>
      <c r="BZD36" s="1"/>
      <c r="BZE36" s="61"/>
      <c r="BZF36" s="1"/>
      <c r="BZG36" s="209"/>
      <c r="BZH36" s="1"/>
      <c r="BZI36" s="61"/>
      <c r="BZJ36" s="1"/>
      <c r="BZK36" s="209"/>
      <c r="BZL36" s="1"/>
      <c r="BZM36" s="61"/>
      <c r="BZN36" s="1"/>
      <c r="BZO36" s="209"/>
      <c r="BZP36" s="1"/>
      <c r="BZQ36" s="61"/>
      <c r="BZR36" s="1"/>
      <c r="BZS36" s="209"/>
      <c r="BZT36" s="1"/>
      <c r="BZU36" s="61"/>
      <c r="BZV36" s="1"/>
      <c r="BZW36" s="209"/>
      <c r="BZX36" s="1"/>
      <c r="BZY36" s="61"/>
      <c r="BZZ36" s="1"/>
      <c r="CAA36" s="209"/>
      <c r="CAB36" s="1"/>
      <c r="CAC36" s="61"/>
      <c r="CAD36" s="1"/>
      <c r="CAE36" s="209"/>
      <c r="CAF36" s="1"/>
      <c r="CAG36" s="61"/>
      <c r="CAH36" s="1"/>
      <c r="CAI36" s="209"/>
      <c r="CAJ36" s="1"/>
      <c r="CAK36" s="61"/>
      <c r="CAL36" s="1"/>
      <c r="CAM36" s="209"/>
      <c r="CAN36" s="1"/>
      <c r="CAO36" s="61"/>
      <c r="CAP36" s="1"/>
      <c r="CAQ36" s="209"/>
      <c r="CAR36" s="1"/>
      <c r="CAS36" s="61"/>
      <c r="CAT36" s="1"/>
      <c r="CAU36" s="209"/>
      <c r="CAV36" s="1"/>
      <c r="CAW36" s="61"/>
      <c r="CAX36" s="1"/>
      <c r="CAY36" s="209"/>
      <c r="CAZ36" s="1"/>
      <c r="CBA36" s="61"/>
      <c r="CBB36" s="1"/>
      <c r="CBC36" s="209"/>
      <c r="CBD36" s="1"/>
      <c r="CBE36" s="61"/>
      <c r="CBF36" s="1"/>
      <c r="CBG36" s="209"/>
      <c r="CBH36" s="1"/>
      <c r="CBI36" s="61"/>
      <c r="CBJ36" s="1"/>
      <c r="CBK36" s="209"/>
      <c r="CBL36" s="1"/>
      <c r="CBM36" s="61"/>
      <c r="CBN36" s="1"/>
      <c r="CBO36" s="209"/>
      <c r="CBP36" s="1"/>
      <c r="CBQ36" s="61"/>
      <c r="CBR36" s="1"/>
      <c r="CBS36" s="209"/>
      <c r="CBT36" s="1"/>
      <c r="CBU36" s="61"/>
      <c r="CBV36" s="1"/>
      <c r="CBW36" s="209"/>
      <c r="CBX36" s="1"/>
      <c r="CBY36" s="61"/>
      <c r="CBZ36" s="1"/>
      <c r="CCA36" s="209"/>
      <c r="CCB36" s="1"/>
      <c r="CCC36" s="61"/>
      <c r="CCD36" s="1"/>
      <c r="CCE36" s="209"/>
      <c r="CCF36" s="1"/>
      <c r="CCG36" s="61"/>
      <c r="CCH36" s="1"/>
      <c r="CCI36" s="209"/>
      <c r="CCJ36" s="1"/>
      <c r="CCK36" s="61"/>
      <c r="CCL36" s="1"/>
      <c r="CCM36" s="209"/>
      <c r="CCN36" s="1"/>
      <c r="CCO36" s="61"/>
      <c r="CCP36" s="1"/>
      <c r="CCQ36" s="209"/>
      <c r="CCR36" s="1"/>
      <c r="CCS36" s="61"/>
      <c r="CCT36" s="1"/>
      <c r="CCU36" s="209"/>
      <c r="CCV36" s="1"/>
      <c r="CCW36" s="61"/>
      <c r="CCX36" s="1"/>
      <c r="CCY36" s="209"/>
      <c r="CCZ36" s="1"/>
      <c r="CDA36" s="61"/>
      <c r="CDB36" s="1"/>
      <c r="CDC36" s="209"/>
      <c r="CDD36" s="1"/>
      <c r="CDE36" s="61"/>
      <c r="CDF36" s="1"/>
      <c r="CDG36" s="209"/>
      <c r="CDH36" s="1"/>
      <c r="CDI36" s="61"/>
      <c r="CDJ36" s="1"/>
      <c r="CDK36" s="209"/>
      <c r="CDL36" s="1"/>
      <c r="CDM36" s="61"/>
      <c r="CDN36" s="1"/>
      <c r="CDO36" s="209"/>
      <c r="CDP36" s="1"/>
      <c r="CDQ36" s="61"/>
      <c r="CDR36" s="1"/>
      <c r="CDS36" s="209"/>
      <c r="CDT36" s="1"/>
      <c r="CDU36" s="61"/>
      <c r="CDV36" s="1"/>
      <c r="CDW36" s="209"/>
      <c r="CDX36" s="1"/>
      <c r="CDY36" s="61"/>
      <c r="CDZ36" s="1"/>
      <c r="CEA36" s="209"/>
      <c r="CEB36" s="1"/>
      <c r="CEC36" s="61"/>
      <c r="CED36" s="1"/>
      <c r="CEE36" s="209"/>
      <c r="CEF36" s="1"/>
      <c r="CEG36" s="61"/>
      <c r="CEH36" s="1"/>
      <c r="CEI36" s="209"/>
      <c r="CEJ36" s="1"/>
      <c r="CEK36" s="61"/>
      <c r="CEL36" s="1"/>
      <c r="CEM36" s="209"/>
      <c r="CEN36" s="1"/>
      <c r="CEO36" s="61"/>
      <c r="CEP36" s="1"/>
      <c r="CEQ36" s="209"/>
      <c r="CER36" s="1"/>
      <c r="CES36" s="61"/>
      <c r="CET36" s="1"/>
      <c r="CEU36" s="209"/>
      <c r="CEV36" s="1"/>
      <c r="CEW36" s="61"/>
      <c r="CEX36" s="1"/>
      <c r="CEY36" s="209"/>
      <c r="CEZ36" s="1"/>
      <c r="CFA36" s="61"/>
      <c r="CFB36" s="1"/>
      <c r="CFC36" s="209"/>
      <c r="CFD36" s="1"/>
      <c r="CFE36" s="61"/>
      <c r="CFF36" s="1"/>
      <c r="CFG36" s="209"/>
      <c r="CFH36" s="1"/>
      <c r="CFI36" s="61"/>
      <c r="CFJ36" s="1"/>
      <c r="CFK36" s="209"/>
      <c r="CFL36" s="1"/>
      <c r="CFM36" s="61"/>
      <c r="CFN36" s="1"/>
      <c r="CFO36" s="209"/>
      <c r="CFP36" s="1"/>
      <c r="CFQ36" s="61"/>
      <c r="CFR36" s="1"/>
      <c r="CFS36" s="209"/>
      <c r="CFT36" s="1"/>
      <c r="CFU36" s="61"/>
      <c r="CFV36" s="1"/>
      <c r="CFW36" s="209"/>
      <c r="CFX36" s="1"/>
      <c r="CFY36" s="61"/>
      <c r="CFZ36" s="1"/>
      <c r="CGA36" s="209"/>
      <c r="CGB36" s="1"/>
      <c r="CGC36" s="61"/>
      <c r="CGD36" s="1"/>
      <c r="CGE36" s="209"/>
      <c r="CGF36" s="1"/>
      <c r="CGG36" s="61"/>
      <c r="CGH36" s="1"/>
      <c r="CGI36" s="209"/>
      <c r="CGJ36" s="1"/>
      <c r="CGK36" s="61"/>
      <c r="CGL36" s="1"/>
      <c r="CGM36" s="209"/>
      <c r="CGN36" s="1"/>
      <c r="CGO36" s="61"/>
      <c r="CGP36" s="1"/>
      <c r="CGQ36" s="209"/>
      <c r="CGR36" s="1"/>
      <c r="CGS36" s="61"/>
      <c r="CGT36" s="1"/>
      <c r="CGU36" s="209"/>
      <c r="CGV36" s="1"/>
      <c r="CGW36" s="61"/>
      <c r="CGX36" s="1"/>
      <c r="CGY36" s="209"/>
      <c r="CGZ36" s="1"/>
      <c r="CHA36" s="61"/>
      <c r="CHB36" s="1"/>
      <c r="CHC36" s="209"/>
      <c r="CHD36" s="1"/>
      <c r="CHE36" s="61"/>
      <c r="CHF36" s="1"/>
      <c r="CHG36" s="209"/>
      <c r="CHH36" s="1"/>
      <c r="CHI36" s="61"/>
      <c r="CHJ36" s="1"/>
      <c r="CHK36" s="209"/>
      <c r="CHL36" s="1"/>
      <c r="CHM36" s="61"/>
      <c r="CHN36" s="1"/>
      <c r="CHO36" s="209"/>
      <c r="CHP36" s="1"/>
      <c r="CHQ36" s="61"/>
      <c r="CHR36" s="1"/>
      <c r="CHS36" s="209"/>
      <c r="CHT36" s="1"/>
      <c r="CHU36" s="61"/>
      <c r="CHV36" s="1"/>
      <c r="CHW36" s="209"/>
      <c r="CHX36" s="1"/>
      <c r="CHY36" s="61"/>
      <c r="CHZ36" s="1"/>
      <c r="CIA36" s="209"/>
      <c r="CIB36" s="1"/>
      <c r="CIC36" s="61"/>
      <c r="CID36" s="1"/>
      <c r="CIE36" s="209"/>
      <c r="CIF36" s="1"/>
      <c r="CIG36" s="61"/>
      <c r="CIH36" s="1"/>
      <c r="CII36" s="209"/>
      <c r="CIJ36" s="1"/>
      <c r="CIK36" s="61"/>
      <c r="CIL36" s="1"/>
      <c r="CIM36" s="209"/>
      <c r="CIN36" s="1"/>
      <c r="CIO36" s="61"/>
      <c r="CIP36" s="1"/>
      <c r="CIQ36" s="209"/>
      <c r="CIR36" s="1"/>
      <c r="CIS36" s="61"/>
      <c r="CIT36" s="1"/>
      <c r="CIU36" s="209"/>
      <c r="CIV36" s="1"/>
      <c r="CIW36" s="61"/>
      <c r="CIX36" s="1"/>
      <c r="CIY36" s="209"/>
      <c r="CIZ36" s="1"/>
      <c r="CJA36" s="61"/>
      <c r="CJB36" s="1"/>
      <c r="CJC36" s="209"/>
      <c r="CJD36" s="1"/>
      <c r="CJE36" s="61"/>
      <c r="CJF36" s="1"/>
      <c r="CJG36" s="209"/>
      <c r="CJH36" s="1"/>
      <c r="CJI36" s="61"/>
      <c r="CJJ36" s="1"/>
      <c r="CJK36" s="209"/>
      <c r="CJL36" s="1"/>
      <c r="CJM36" s="61"/>
      <c r="CJN36" s="1"/>
      <c r="CJO36" s="209"/>
      <c r="CJP36" s="1"/>
      <c r="CJQ36" s="61"/>
      <c r="CJR36" s="1"/>
      <c r="CJS36" s="209"/>
      <c r="CJT36" s="1"/>
      <c r="CJU36" s="61"/>
      <c r="CJV36" s="1"/>
      <c r="CJW36" s="209"/>
      <c r="CJX36" s="1"/>
      <c r="CJY36" s="61"/>
      <c r="CJZ36" s="1"/>
      <c r="CKA36" s="209"/>
      <c r="CKB36" s="1"/>
      <c r="CKC36" s="61"/>
      <c r="CKD36" s="1"/>
      <c r="CKE36" s="209"/>
      <c r="CKF36" s="1"/>
      <c r="CKG36" s="61"/>
      <c r="CKH36" s="1"/>
      <c r="CKI36" s="209"/>
      <c r="CKJ36" s="1"/>
      <c r="CKK36" s="61"/>
      <c r="CKL36" s="1"/>
      <c r="CKM36" s="209"/>
      <c r="CKN36" s="1"/>
      <c r="CKO36" s="61"/>
      <c r="CKP36" s="1"/>
      <c r="CKQ36" s="209"/>
      <c r="CKR36" s="1"/>
      <c r="CKS36" s="61"/>
      <c r="CKT36" s="1"/>
      <c r="CKU36" s="209"/>
      <c r="CKV36" s="1"/>
      <c r="CKW36" s="61"/>
      <c r="CKX36" s="1"/>
      <c r="CKY36" s="209"/>
      <c r="CKZ36" s="1"/>
      <c r="CLA36" s="61"/>
      <c r="CLB36" s="1"/>
      <c r="CLC36" s="209"/>
      <c r="CLD36" s="1"/>
      <c r="CLE36" s="61"/>
      <c r="CLF36" s="1"/>
      <c r="CLG36" s="209"/>
      <c r="CLH36" s="1"/>
      <c r="CLI36" s="61"/>
      <c r="CLJ36" s="1"/>
      <c r="CLK36" s="209"/>
      <c r="CLL36" s="1"/>
      <c r="CLM36" s="61"/>
      <c r="CLN36" s="1"/>
      <c r="CLO36" s="209"/>
      <c r="CLP36" s="1"/>
      <c r="CLQ36" s="61"/>
      <c r="CLR36" s="1"/>
      <c r="CLS36" s="209"/>
      <c r="CLT36" s="1"/>
      <c r="CLU36" s="61"/>
      <c r="CLV36" s="1"/>
      <c r="CLW36" s="209"/>
      <c r="CLX36" s="1"/>
      <c r="CLY36" s="61"/>
      <c r="CLZ36" s="1"/>
      <c r="CMA36" s="209"/>
      <c r="CMB36" s="1"/>
      <c r="CMC36" s="61"/>
      <c r="CMD36" s="1"/>
      <c r="CME36" s="209"/>
      <c r="CMF36" s="1"/>
      <c r="CMG36" s="61"/>
      <c r="CMH36" s="1"/>
      <c r="CMI36" s="209"/>
      <c r="CMJ36" s="1"/>
      <c r="CMK36" s="61"/>
      <c r="CML36" s="1"/>
      <c r="CMM36" s="209"/>
      <c r="CMN36" s="1"/>
      <c r="CMO36" s="61"/>
      <c r="CMP36" s="1"/>
      <c r="CMQ36" s="209"/>
      <c r="CMR36" s="1"/>
      <c r="CMS36" s="61"/>
      <c r="CMT36" s="1"/>
      <c r="CMU36" s="209"/>
      <c r="CMV36" s="1"/>
      <c r="CMW36" s="61"/>
      <c r="CMX36" s="1"/>
      <c r="CMY36" s="209"/>
      <c r="CMZ36" s="1"/>
      <c r="CNA36" s="61"/>
      <c r="CNB36" s="1"/>
      <c r="CNC36" s="209"/>
      <c r="CND36" s="1"/>
      <c r="CNE36" s="61"/>
      <c r="CNF36" s="1"/>
      <c r="CNG36" s="209"/>
      <c r="CNH36" s="1"/>
      <c r="CNI36" s="61"/>
      <c r="CNJ36" s="1"/>
      <c r="CNK36" s="209"/>
      <c r="CNL36" s="1"/>
      <c r="CNM36" s="61"/>
      <c r="CNN36" s="1"/>
      <c r="CNO36" s="209"/>
      <c r="CNP36" s="1"/>
      <c r="CNQ36" s="61"/>
      <c r="CNR36" s="1"/>
      <c r="CNS36" s="209"/>
      <c r="CNT36" s="1"/>
      <c r="CNU36" s="61"/>
      <c r="CNV36" s="1"/>
      <c r="CNW36" s="209"/>
      <c r="CNX36" s="1"/>
      <c r="CNY36" s="61"/>
      <c r="CNZ36" s="1"/>
      <c r="COA36" s="209"/>
      <c r="COB36" s="1"/>
      <c r="COC36" s="61"/>
      <c r="COD36" s="1"/>
      <c r="COE36" s="209"/>
      <c r="COF36" s="1"/>
      <c r="COG36" s="61"/>
      <c r="COH36" s="1"/>
      <c r="COI36" s="209"/>
      <c r="COJ36" s="1"/>
      <c r="COK36" s="61"/>
      <c r="COL36" s="1"/>
      <c r="COM36" s="209"/>
      <c r="CON36" s="1"/>
      <c r="COO36" s="61"/>
      <c r="COP36" s="1"/>
      <c r="COQ36" s="209"/>
      <c r="COR36" s="1"/>
      <c r="COS36" s="61"/>
      <c r="COT36" s="1"/>
      <c r="COU36" s="209"/>
      <c r="COV36" s="1"/>
      <c r="COW36" s="61"/>
      <c r="COX36" s="1"/>
      <c r="COY36" s="209"/>
      <c r="COZ36" s="1"/>
      <c r="CPA36" s="61"/>
      <c r="CPB36" s="1"/>
      <c r="CPC36" s="209"/>
      <c r="CPD36" s="1"/>
      <c r="CPE36" s="61"/>
      <c r="CPF36" s="1"/>
      <c r="CPG36" s="209"/>
      <c r="CPH36" s="1"/>
      <c r="CPI36" s="61"/>
      <c r="CPJ36" s="1"/>
      <c r="CPK36" s="209"/>
      <c r="CPL36" s="1"/>
      <c r="CPM36" s="61"/>
      <c r="CPN36" s="1"/>
      <c r="CPO36" s="209"/>
      <c r="CPP36" s="1"/>
      <c r="CPQ36" s="61"/>
      <c r="CPR36" s="1"/>
      <c r="CPS36" s="209"/>
      <c r="CPT36" s="1"/>
      <c r="CPU36" s="61"/>
      <c r="CPV36" s="1"/>
      <c r="CPW36" s="209"/>
      <c r="CPX36" s="1"/>
      <c r="CPY36" s="61"/>
      <c r="CPZ36" s="1"/>
      <c r="CQA36" s="209"/>
      <c r="CQB36" s="1"/>
      <c r="CQC36" s="61"/>
      <c r="CQD36" s="1"/>
      <c r="CQE36" s="209"/>
      <c r="CQF36" s="1"/>
      <c r="CQG36" s="61"/>
      <c r="CQH36" s="1"/>
      <c r="CQI36" s="209"/>
      <c r="CQJ36" s="1"/>
      <c r="CQK36" s="61"/>
      <c r="CQL36" s="1"/>
      <c r="CQM36" s="209"/>
      <c r="CQN36" s="1"/>
      <c r="CQO36" s="61"/>
      <c r="CQP36" s="1"/>
      <c r="CQQ36" s="209"/>
      <c r="CQR36" s="1"/>
      <c r="CQS36" s="61"/>
      <c r="CQT36" s="1"/>
      <c r="CQU36" s="209"/>
      <c r="CQV36" s="1"/>
      <c r="CQW36" s="61"/>
      <c r="CQX36" s="1"/>
      <c r="CQY36" s="209"/>
      <c r="CQZ36" s="1"/>
      <c r="CRA36" s="61"/>
      <c r="CRB36" s="1"/>
      <c r="CRC36" s="209"/>
      <c r="CRD36" s="1"/>
      <c r="CRE36" s="61"/>
      <c r="CRF36" s="1"/>
      <c r="CRG36" s="209"/>
      <c r="CRH36" s="1"/>
      <c r="CRI36" s="61"/>
      <c r="CRJ36" s="1"/>
      <c r="CRK36" s="209"/>
      <c r="CRL36" s="1"/>
      <c r="CRM36" s="61"/>
      <c r="CRN36" s="1"/>
      <c r="CRO36" s="209"/>
      <c r="CRP36" s="1"/>
      <c r="CRQ36" s="61"/>
      <c r="CRR36" s="1"/>
      <c r="CRS36" s="209"/>
      <c r="CRT36" s="1"/>
      <c r="CRU36" s="61"/>
      <c r="CRV36" s="1"/>
      <c r="CRW36" s="209"/>
      <c r="CRX36" s="1"/>
      <c r="CRY36" s="61"/>
      <c r="CRZ36" s="1"/>
      <c r="CSA36" s="209"/>
      <c r="CSB36" s="1"/>
      <c r="CSC36" s="61"/>
      <c r="CSD36" s="1"/>
      <c r="CSE36" s="209"/>
      <c r="CSF36" s="1"/>
      <c r="CSG36" s="61"/>
      <c r="CSH36" s="1"/>
      <c r="CSI36" s="209"/>
      <c r="CSJ36" s="1"/>
      <c r="CSK36" s="61"/>
      <c r="CSL36" s="1"/>
      <c r="CSM36" s="209"/>
      <c r="CSN36" s="1"/>
      <c r="CSO36" s="61"/>
      <c r="CSP36" s="1"/>
      <c r="CSQ36" s="209"/>
      <c r="CSR36" s="1"/>
      <c r="CSS36" s="61"/>
      <c r="CST36" s="1"/>
      <c r="CSU36" s="209"/>
      <c r="CSV36" s="1"/>
      <c r="CSW36" s="61"/>
      <c r="CSX36" s="1"/>
      <c r="CSY36" s="209"/>
      <c r="CSZ36" s="1"/>
      <c r="CTA36" s="61"/>
      <c r="CTB36" s="1"/>
      <c r="CTC36" s="209"/>
      <c r="CTD36" s="1"/>
      <c r="CTE36" s="61"/>
      <c r="CTF36" s="1"/>
      <c r="CTG36" s="209"/>
      <c r="CTH36" s="1"/>
      <c r="CTI36" s="61"/>
      <c r="CTJ36" s="1"/>
      <c r="CTK36" s="209"/>
      <c r="CTL36" s="1"/>
      <c r="CTM36" s="61"/>
      <c r="CTN36" s="1"/>
      <c r="CTO36" s="209"/>
      <c r="CTP36" s="1"/>
      <c r="CTQ36" s="61"/>
      <c r="CTR36" s="1"/>
      <c r="CTS36" s="209"/>
      <c r="CTT36" s="1"/>
      <c r="CTU36" s="61"/>
      <c r="CTV36" s="1"/>
      <c r="CTW36" s="209"/>
      <c r="CTX36" s="1"/>
      <c r="CTY36" s="61"/>
      <c r="CTZ36" s="1"/>
      <c r="CUA36" s="209"/>
      <c r="CUB36" s="1"/>
      <c r="CUC36" s="61"/>
      <c r="CUD36" s="1"/>
      <c r="CUE36" s="209"/>
      <c r="CUF36" s="1"/>
      <c r="CUG36" s="61"/>
      <c r="CUH36" s="1"/>
      <c r="CUI36" s="209"/>
      <c r="CUJ36" s="1"/>
      <c r="CUK36" s="61"/>
      <c r="CUL36" s="1"/>
      <c r="CUM36" s="209"/>
      <c r="CUN36" s="1"/>
      <c r="CUO36" s="61"/>
      <c r="CUP36" s="1"/>
      <c r="CUQ36" s="209"/>
      <c r="CUR36" s="1"/>
      <c r="CUS36" s="61"/>
      <c r="CUT36" s="1"/>
      <c r="CUU36" s="209"/>
      <c r="CUV36" s="1"/>
      <c r="CUW36" s="61"/>
      <c r="CUX36" s="1"/>
      <c r="CUY36" s="209"/>
      <c r="CUZ36" s="1"/>
      <c r="CVA36" s="61"/>
      <c r="CVB36" s="1"/>
      <c r="CVC36" s="209"/>
      <c r="CVD36" s="1"/>
      <c r="CVE36" s="61"/>
      <c r="CVF36" s="1"/>
      <c r="CVG36" s="209"/>
      <c r="CVH36" s="1"/>
      <c r="CVI36" s="61"/>
      <c r="CVJ36" s="1"/>
      <c r="CVK36" s="209"/>
      <c r="CVL36" s="1"/>
      <c r="CVM36" s="61"/>
      <c r="CVN36" s="1"/>
      <c r="CVO36" s="209"/>
      <c r="CVP36" s="1"/>
      <c r="CVQ36" s="61"/>
      <c r="CVR36" s="1"/>
      <c r="CVS36" s="209"/>
      <c r="CVT36" s="1"/>
      <c r="CVU36" s="61"/>
      <c r="CVV36" s="1"/>
      <c r="CVW36" s="209"/>
      <c r="CVX36" s="1"/>
      <c r="CVY36" s="61"/>
      <c r="CVZ36" s="1"/>
      <c r="CWA36" s="209"/>
      <c r="CWB36" s="1"/>
      <c r="CWC36" s="61"/>
      <c r="CWD36" s="1"/>
      <c r="CWE36" s="209"/>
      <c r="CWF36" s="1"/>
      <c r="CWG36" s="61"/>
      <c r="CWH36" s="1"/>
      <c r="CWI36" s="209"/>
      <c r="CWJ36" s="1"/>
      <c r="CWK36" s="61"/>
      <c r="CWL36" s="1"/>
      <c r="CWM36" s="209"/>
      <c r="CWN36" s="1"/>
      <c r="CWO36" s="61"/>
      <c r="CWP36" s="1"/>
      <c r="CWQ36" s="209"/>
      <c r="CWR36" s="1"/>
      <c r="CWS36" s="61"/>
      <c r="CWT36" s="1"/>
      <c r="CWU36" s="209"/>
      <c r="CWV36" s="1"/>
      <c r="CWW36" s="61"/>
      <c r="CWX36" s="1"/>
      <c r="CWY36" s="209"/>
      <c r="CWZ36" s="1"/>
      <c r="CXA36" s="61"/>
      <c r="CXB36" s="1"/>
      <c r="CXC36" s="209"/>
      <c r="CXD36" s="1"/>
      <c r="CXE36" s="61"/>
      <c r="CXF36" s="1"/>
      <c r="CXG36" s="209"/>
      <c r="CXH36" s="1"/>
      <c r="CXI36" s="61"/>
      <c r="CXJ36" s="1"/>
      <c r="CXK36" s="209"/>
      <c r="CXL36" s="1"/>
      <c r="CXM36" s="61"/>
      <c r="CXN36" s="1"/>
      <c r="CXO36" s="209"/>
      <c r="CXP36" s="1"/>
      <c r="CXQ36" s="61"/>
      <c r="CXR36" s="1"/>
      <c r="CXS36" s="209"/>
      <c r="CXT36" s="1"/>
      <c r="CXU36" s="61"/>
      <c r="CXV36" s="1"/>
      <c r="CXW36" s="209"/>
      <c r="CXX36" s="1"/>
      <c r="CXY36" s="61"/>
      <c r="CXZ36" s="1"/>
      <c r="CYA36" s="209"/>
      <c r="CYB36" s="1"/>
      <c r="CYC36" s="61"/>
      <c r="CYD36" s="1"/>
      <c r="CYE36" s="209"/>
      <c r="CYF36" s="1"/>
      <c r="CYG36" s="61"/>
      <c r="CYH36" s="1"/>
      <c r="CYI36" s="209"/>
      <c r="CYJ36" s="1"/>
      <c r="CYK36" s="61"/>
      <c r="CYL36" s="1"/>
      <c r="CYM36" s="209"/>
      <c r="CYN36" s="1"/>
      <c r="CYO36" s="61"/>
      <c r="CYP36" s="1"/>
      <c r="CYQ36" s="209"/>
      <c r="CYR36" s="1"/>
      <c r="CYS36" s="61"/>
      <c r="CYT36" s="1"/>
      <c r="CYU36" s="209"/>
      <c r="CYV36" s="1"/>
      <c r="CYW36" s="61"/>
      <c r="CYX36" s="1"/>
      <c r="CYY36" s="209"/>
      <c r="CYZ36" s="1"/>
      <c r="CZA36" s="61"/>
      <c r="CZB36" s="1"/>
      <c r="CZC36" s="209"/>
      <c r="CZD36" s="1"/>
      <c r="CZE36" s="61"/>
      <c r="CZF36" s="1"/>
      <c r="CZG36" s="209"/>
      <c r="CZH36" s="1"/>
      <c r="CZI36" s="61"/>
      <c r="CZJ36" s="1"/>
      <c r="CZK36" s="209"/>
      <c r="CZL36" s="1"/>
      <c r="CZM36" s="61"/>
      <c r="CZN36" s="1"/>
      <c r="CZO36" s="209"/>
      <c r="CZP36" s="1"/>
      <c r="CZQ36" s="61"/>
      <c r="CZR36" s="1"/>
      <c r="CZS36" s="209"/>
      <c r="CZT36" s="1"/>
      <c r="CZU36" s="61"/>
      <c r="CZV36" s="1"/>
      <c r="CZW36" s="209"/>
      <c r="CZX36" s="1"/>
      <c r="CZY36" s="61"/>
      <c r="CZZ36" s="1"/>
      <c r="DAA36" s="209"/>
      <c r="DAB36" s="1"/>
      <c r="DAC36" s="61"/>
      <c r="DAD36" s="1"/>
      <c r="DAE36" s="209"/>
      <c r="DAF36" s="1"/>
      <c r="DAG36" s="61"/>
      <c r="DAH36" s="1"/>
      <c r="DAI36" s="209"/>
      <c r="DAJ36" s="1"/>
      <c r="DAK36" s="61"/>
      <c r="DAL36" s="1"/>
      <c r="DAM36" s="209"/>
      <c r="DAN36" s="1"/>
      <c r="DAO36" s="61"/>
      <c r="DAP36" s="1"/>
      <c r="DAQ36" s="209"/>
      <c r="DAR36" s="1"/>
      <c r="DAS36" s="61"/>
      <c r="DAT36" s="1"/>
      <c r="DAU36" s="209"/>
      <c r="DAV36" s="1"/>
      <c r="DAW36" s="61"/>
      <c r="DAX36" s="1"/>
      <c r="DAY36" s="209"/>
      <c r="DAZ36" s="1"/>
      <c r="DBA36" s="61"/>
      <c r="DBB36" s="1"/>
      <c r="DBC36" s="209"/>
      <c r="DBD36" s="1"/>
      <c r="DBE36" s="61"/>
      <c r="DBF36" s="1"/>
      <c r="DBG36" s="209"/>
      <c r="DBH36" s="1"/>
      <c r="DBI36" s="61"/>
      <c r="DBJ36" s="1"/>
      <c r="DBK36" s="209"/>
      <c r="DBL36" s="1"/>
      <c r="DBM36" s="61"/>
      <c r="DBN36" s="1"/>
      <c r="DBO36" s="209"/>
      <c r="DBP36" s="1"/>
      <c r="DBQ36" s="61"/>
      <c r="DBR36" s="1"/>
      <c r="DBS36" s="209"/>
      <c r="DBT36" s="1"/>
      <c r="DBU36" s="61"/>
      <c r="DBV36" s="1"/>
      <c r="DBW36" s="209"/>
      <c r="DBX36" s="1"/>
      <c r="DBY36" s="61"/>
      <c r="DBZ36" s="1"/>
      <c r="DCA36" s="209"/>
      <c r="DCB36" s="1"/>
      <c r="DCC36" s="61"/>
      <c r="DCD36" s="1"/>
      <c r="DCE36" s="209"/>
      <c r="DCF36" s="1"/>
      <c r="DCG36" s="61"/>
      <c r="DCH36" s="1"/>
      <c r="DCI36" s="209"/>
      <c r="DCJ36" s="1"/>
      <c r="DCK36" s="61"/>
      <c r="DCL36" s="1"/>
      <c r="DCM36" s="209"/>
      <c r="DCN36" s="1"/>
      <c r="DCO36" s="61"/>
      <c r="DCP36" s="1"/>
      <c r="DCQ36" s="209"/>
      <c r="DCR36" s="1"/>
      <c r="DCS36" s="61"/>
      <c r="DCT36" s="1"/>
      <c r="DCU36" s="209"/>
      <c r="DCV36" s="1"/>
      <c r="DCW36" s="61"/>
      <c r="DCX36" s="1"/>
      <c r="DCY36" s="209"/>
      <c r="DCZ36" s="1"/>
      <c r="DDA36" s="61"/>
      <c r="DDB36" s="1"/>
      <c r="DDC36" s="209"/>
      <c r="DDD36" s="1"/>
      <c r="DDE36" s="61"/>
      <c r="DDF36" s="1"/>
      <c r="DDG36" s="209"/>
      <c r="DDH36" s="1"/>
      <c r="DDI36" s="61"/>
      <c r="DDJ36" s="1"/>
      <c r="DDK36" s="209"/>
      <c r="DDL36" s="1"/>
      <c r="DDM36" s="61"/>
      <c r="DDN36" s="1"/>
      <c r="DDO36" s="209"/>
      <c r="DDP36" s="1"/>
      <c r="DDQ36" s="61"/>
      <c r="DDR36" s="1"/>
      <c r="DDS36" s="209"/>
      <c r="DDT36" s="1"/>
      <c r="DDU36" s="61"/>
      <c r="DDV36" s="1"/>
      <c r="DDW36" s="209"/>
      <c r="DDX36" s="1"/>
      <c r="DDY36" s="61"/>
      <c r="DDZ36" s="1"/>
      <c r="DEA36" s="209"/>
      <c r="DEB36" s="1"/>
      <c r="DEC36" s="61"/>
      <c r="DED36" s="1"/>
      <c r="DEE36" s="209"/>
      <c r="DEF36" s="1"/>
      <c r="DEG36" s="61"/>
      <c r="DEH36" s="1"/>
      <c r="DEI36" s="209"/>
      <c r="DEJ36" s="1"/>
      <c r="DEK36" s="61"/>
      <c r="DEL36" s="1"/>
      <c r="DEM36" s="209"/>
      <c r="DEN36" s="1"/>
      <c r="DEO36" s="61"/>
      <c r="DEP36" s="1"/>
      <c r="DEQ36" s="209"/>
      <c r="DER36" s="1"/>
      <c r="DES36" s="61"/>
      <c r="DET36" s="1"/>
      <c r="DEU36" s="209"/>
      <c r="DEV36" s="1"/>
      <c r="DEW36" s="61"/>
      <c r="DEX36" s="1"/>
      <c r="DEY36" s="209"/>
      <c r="DEZ36" s="1"/>
      <c r="DFA36" s="61"/>
      <c r="DFB36" s="1"/>
      <c r="DFC36" s="209"/>
      <c r="DFD36" s="1"/>
      <c r="DFE36" s="61"/>
      <c r="DFF36" s="1"/>
      <c r="DFG36" s="209"/>
      <c r="DFH36" s="1"/>
      <c r="DFI36" s="61"/>
      <c r="DFJ36" s="1"/>
      <c r="DFK36" s="209"/>
      <c r="DFL36" s="1"/>
      <c r="DFM36" s="61"/>
      <c r="DFN36" s="1"/>
      <c r="DFO36" s="209"/>
      <c r="DFP36" s="1"/>
      <c r="DFQ36" s="61"/>
      <c r="DFR36" s="1"/>
      <c r="DFS36" s="209"/>
      <c r="DFT36" s="1"/>
      <c r="DFU36" s="61"/>
      <c r="DFV36" s="1"/>
      <c r="DFW36" s="209"/>
      <c r="DFX36" s="1"/>
      <c r="DFY36" s="61"/>
      <c r="DFZ36" s="1"/>
      <c r="DGA36" s="209"/>
      <c r="DGB36" s="1"/>
      <c r="DGC36" s="61"/>
      <c r="DGD36" s="1"/>
      <c r="DGE36" s="209"/>
      <c r="DGF36" s="1"/>
      <c r="DGG36" s="61"/>
      <c r="DGH36" s="1"/>
      <c r="DGI36" s="209"/>
      <c r="DGJ36" s="1"/>
      <c r="DGK36" s="61"/>
      <c r="DGL36" s="1"/>
      <c r="DGM36" s="209"/>
      <c r="DGN36" s="1"/>
      <c r="DGO36" s="61"/>
      <c r="DGP36" s="1"/>
      <c r="DGQ36" s="209"/>
      <c r="DGR36" s="1"/>
      <c r="DGS36" s="61"/>
      <c r="DGT36" s="1"/>
      <c r="DGU36" s="209"/>
      <c r="DGV36" s="1"/>
      <c r="DGW36" s="61"/>
      <c r="DGX36" s="1"/>
      <c r="DGY36" s="209"/>
      <c r="DGZ36" s="1"/>
      <c r="DHA36" s="61"/>
      <c r="DHB36" s="1"/>
      <c r="DHC36" s="209"/>
      <c r="DHD36" s="1"/>
      <c r="DHE36" s="61"/>
      <c r="DHF36" s="1"/>
      <c r="DHG36" s="209"/>
      <c r="DHH36" s="1"/>
      <c r="DHI36" s="61"/>
      <c r="DHJ36" s="1"/>
      <c r="DHK36" s="209"/>
      <c r="DHL36" s="1"/>
      <c r="DHM36" s="61"/>
      <c r="DHN36" s="1"/>
      <c r="DHO36" s="209"/>
      <c r="DHP36" s="1"/>
      <c r="DHQ36" s="61"/>
      <c r="DHR36" s="1"/>
      <c r="DHS36" s="209"/>
      <c r="DHT36" s="1"/>
      <c r="DHU36" s="61"/>
      <c r="DHV36" s="1"/>
      <c r="DHW36" s="209"/>
      <c r="DHX36" s="1"/>
      <c r="DHY36" s="61"/>
      <c r="DHZ36" s="1"/>
      <c r="DIA36" s="209"/>
      <c r="DIB36" s="1"/>
      <c r="DIC36" s="61"/>
      <c r="DID36" s="1"/>
      <c r="DIE36" s="209"/>
      <c r="DIF36" s="1"/>
      <c r="DIG36" s="61"/>
      <c r="DIH36" s="1"/>
      <c r="DII36" s="209"/>
      <c r="DIJ36" s="1"/>
      <c r="DIK36" s="61"/>
      <c r="DIL36" s="1"/>
      <c r="DIM36" s="209"/>
      <c r="DIN36" s="1"/>
      <c r="DIO36" s="61"/>
      <c r="DIP36" s="1"/>
      <c r="DIQ36" s="209"/>
      <c r="DIR36" s="1"/>
      <c r="DIS36" s="61"/>
      <c r="DIT36" s="1"/>
      <c r="DIU36" s="209"/>
      <c r="DIV36" s="1"/>
      <c r="DIW36" s="61"/>
      <c r="DIX36" s="1"/>
      <c r="DIY36" s="209"/>
      <c r="DIZ36" s="1"/>
      <c r="DJA36" s="61"/>
      <c r="DJB36" s="1"/>
      <c r="DJC36" s="209"/>
      <c r="DJD36" s="1"/>
      <c r="DJE36" s="61"/>
      <c r="DJF36" s="1"/>
      <c r="DJG36" s="209"/>
      <c r="DJH36" s="1"/>
      <c r="DJI36" s="61"/>
      <c r="DJJ36" s="1"/>
      <c r="DJK36" s="209"/>
      <c r="DJL36" s="1"/>
      <c r="DJM36" s="61"/>
      <c r="DJN36" s="1"/>
      <c r="DJO36" s="209"/>
      <c r="DJP36" s="1"/>
      <c r="DJQ36" s="61"/>
      <c r="DJR36" s="1"/>
      <c r="DJS36" s="209"/>
      <c r="DJT36" s="1"/>
      <c r="DJU36" s="61"/>
      <c r="DJV36" s="1"/>
      <c r="DJW36" s="209"/>
      <c r="DJX36" s="1"/>
      <c r="DJY36" s="61"/>
      <c r="DJZ36" s="1"/>
      <c r="DKA36" s="209"/>
      <c r="DKB36" s="1"/>
      <c r="DKC36" s="61"/>
      <c r="DKD36" s="1"/>
      <c r="DKE36" s="209"/>
      <c r="DKF36" s="1"/>
      <c r="DKG36" s="61"/>
      <c r="DKH36" s="1"/>
      <c r="DKI36" s="209"/>
      <c r="DKJ36" s="1"/>
      <c r="DKK36" s="61"/>
      <c r="DKL36" s="1"/>
      <c r="DKM36" s="209"/>
      <c r="DKN36" s="1"/>
      <c r="DKO36" s="61"/>
      <c r="DKP36" s="1"/>
      <c r="DKQ36" s="209"/>
      <c r="DKR36" s="1"/>
      <c r="DKS36" s="61"/>
      <c r="DKT36" s="1"/>
      <c r="DKU36" s="209"/>
      <c r="DKV36" s="1"/>
      <c r="DKW36" s="61"/>
      <c r="DKX36" s="1"/>
      <c r="DKY36" s="209"/>
      <c r="DKZ36" s="1"/>
      <c r="DLA36" s="61"/>
      <c r="DLB36" s="1"/>
      <c r="DLC36" s="209"/>
      <c r="DLD36" s="1"/>
      <c r="DLE36" s="61"/>
      <c r="DLF36" s="1"/>
      <c r="DLG36" s="209"/>
      <c r="DLH36" s="1"/>
      <c r="DLI36" s="61"/>
      <c r="DLJ36" s="1"/>
      <c r="DLK36" s="209"/>
      <c r="DLL36" s="1"/>
      <c r="DLM36" s="61"/>
      <c r="DLN36" s="1"/>
      <c r="DLO36" s="209"/>
      <c r="DLP36" s="1"/>
      <c r="DLQ36" s="61"/>
      <c r="DLR36" s="1"/>
      <c r="DLS36" s="209"/>
      <c r="DLT36" s="1"/>
      <c r="DLU36" s="61"/>
      <c r="DLV36" s="1"/>
      <c r="DLW36" s="209"/>
      <c r="DLX36" s="1"/>
      <c r="DLY36" s="61"/>
      <c r="DLZ36" s="1"/>
      <c r="DMA36" s="209"/>
      <c r="DMB36" s="1"/>
      <c r="DMC36" s="61"/>
      <c r="DMD36" s="1"/>
      <c r="DME36" s="209"/>
      <c r="DMF36" s="1"/>
      <c r="DMG36" s="61"/>
      <c r="DMH36" s="1"/>
      <c r="DMI36" s="209"/>
      <c r="DMJ36" s="1"/>
      <c r="DMK36" s="61"/>
      <c r="DML36" s="1"/>
      <c r="DMM36" s="209"/>
      <c r="DMN36" s="1"/>
      <c r="DMO36" s="61"/>
      <c r="DMP36" s="1"/>
      <c r="DMQ36" s="209"/>
      <c r="DMR36" s="1"/>
      <c r="DMS36" s="61"/>
      <c r="DMT36" s="1"/>
      <c r="DMU36" s="209"/>
      <c r="DMV36" s="1"/>
      <c r="DMW36" s="61"/>
      <c r="DMX36" s="1"/>
      <c r="DMY36" s="209"/>
      <c r="DMZ36" s="1"/>
      <c r="DNA36" s="61"/>
      <c r="DNB36" s="1"/>
      <c r="DNC36" s="209"/>
      <c r="DND36" s="1"/>
      <c r="DNE36" s="61"/>
      <c r="DNF36" s="1"/>
      <c r="DNG36" s="209"/>
      <c r="DNH36" s="1"/>
      <c r="DNI36" s="61"/>
      <c r="DNJ36" s="1"/>
      <c r="DNK36" s="209"/>
      <c r="DNL36" s="1"/>
      <c r="DNM36" s="61"/>
      <c r="DNN36" s="1"/>
      <c r="DNO36" s="209"/>
      <c r="DNP36" s="1"/>
      <c r="DNQ36" s="61"/>
      <c r="DNR36" s="1"/>
      <c r="DNS36" s="209"/>
      <c r="DNT36" s="1"/>
      <c r="DNU36" s="61"/>
      <c r="DNV36" s="1"/>
      <c r="DNW36" s="209"/>
      <c r="DNX36" s="1"/>
      <c r="DNY36" s="61"/>
      <c r="DNZ36" s="1"/>
      <c r="DOA36" s="209"/>
      <c r="DOB36" s="1"/>
      <c r="DOC36" s="61"/>
      <c r="DOD36" s="1"/>
      <c r="DOE36" s="209"/>
      <c r="DOF36" s="1"/>
      <c r="DOG36" s="61"/>
      <c r="DOH36" s="1"/>
      <c r="DOI36" s="209"/>
      <c r="DOJ36" s="1"/>
      <c r="DOK36" s="61"/>
      <c r="DOL36" s="1"/>
      <c r="DOM36" s="209"/>
      <c r="DON36" s="1"/>
      <c r="DOO36" s="61"/>
      <c r="DOP36" s="1"/>
      <c r="DOQ36" s="209"/>
      <c r="DOR36" s="1"/>
      <c r="DOS36" s="61"/>
      <c r="DOT36" s="1"/>
      <c r="DOU36" s="209"/>
      <c r="DOV36" s="1"/>
      <c r="DOW36" s="61"/>
      <c r="DOX36" s="1"/>
      <c r="DOY36" s="209"/>
      <c r="DOZ36" s="1"/>
      <c r="DPA36" s="61"/>
      <c r="DPB36" s="1"/>
      <c r="DPC36" s="209"/>
      <c r="DPD36" s="1"/>
      <c r="DPE36" s="61"/>
      <c r="DPF36" s="1"/>
      <c r="DPG36" s="209"/>
      <c r="DPH36" s="1"/>
      <c r="DPI36" s="61"/>
      <c r="DPJ36" s="1"/>
      <c r="DPK36" s="209"/>
      <c r="DPL36" s="1"/>
      <c r="DPM36" s="61"/>
      <c r="DPN36" s="1"/>
      <c r="DPO36" s="209"/>
      <c r="DPP36" s="1"/>
      <c r="DPQ36" s="61"/>
      <c r="DPR36" s="1"/>
      <c r="DPS36" s="209"/>
      <c r="DPT36" s="1"/>
      <c r="DPU36" s="61"/>
      <c r="DPV36" s="1"/>
      <c r="DPW36" s="209"/>
      <c r="DPX36" s="1"/>
      <c r="DPY36" s="61"/>
      <c r="DPZ36" s="1"/>
      <c r="DQA36" s="209"/>
      <c r="DQB36" s="1"/>
      <c r="DQC36" s="61"/>
      <c r="DQD36" s="1"/>
      <c r="DQE36" s="209"/>
      <c r="DQF36" s="1"/>
      <c r="DQG36" s="61"/>
      <c r="DQH36" s="1"/>
      <c r="DQI36" s="209"/>
      <c r="DQJ36" s="1"/>
      <c r="DQK36" s="61"/>
      <c r="DQL36" s="1"/>
      <c r="DQM36" s="209"/>
      <c r="DQN36" s="1"/>
      <c r="DQO36" s="61"/>
      <c r="DQP36" s="1"/>
      <c r="DQQ36" s="209"/>
      <c r="DQR36" s="1"/>
      <c r="DQS36" s="61"/>
      <c r="DQT36" s="1"/>
      <c r="DQU36" s="209"/>
      <c r="DQV36" s="1"/>
      <c r="DQW36" s="61"/>
      <c r="DQX36" s="1"/>
      <c r="DQY36" s="209"/>
      <c r="DQZ36" s="1"/>
      <c r="DRA36" s="61"/>
      <c r="DRB36" s="1"/>
      <c r="DRC36" s="209"/>
      <c r="DRD36" s="1"/>
      <c r="DRE36" s="61"/>
      <c r="DRF36" s="1"/>
      <c r="DRG36" s="209"/>
      <c r="DRH36" s="1"/>
      <c r="DRI36" s="61"/>
      <c r="DRJ36" s="1"/>
      <c r="DRK36" s="209"/>
      <c r="DRL36" s="1"/>
      <c r="DRM36" s="61"/>
      <c r="DRN36" s="1"/>
      <c r="DRO36" s="209"/>
      <c r="DRP36" s="1"/>
      <c r="DRQ36" s="61"/>
      <c r="DRR36" s="1"/>
      <c r="DRS36" s="209"/>
      <c r="DRT36" s="1"/>
      <c r="DRU36" s="61"/>
      <c r="DRV36" s="1"/>
      <c r="DRW36" s="209"/>
      <c r="DRX36" s="1"/>
      <c r="DRY36" s="61"/>
      <c r="DRZ36" s="1"/>
      <c r="DSA36" s="209"/>
      <c r="DSB36" s="1"/>
      <c r="DSC36" s="61"/>
      <c r="DSD36" s="1"/>
      <c r="DSE36" s="209"/>
      <c r="DSF36" s="1"/>
      <c r="DSG36" s="61"/>
      <c r="DSH36" s="1"/>
      <c r="DSI36" s="209"/>
      <c r="DSJ36" s="1"/>
      <c r="DSK36" s="61"/>
      <c r="DSL36" s="1"/>
      <c r="DSM36" s="209"/>
      <c r="DSN36" s="1"/>
      <c r="DSO36" s="61"/>
      <c r="DSP36" s="1"/>
      <c r="DSQ36" s="209"/>
      <c r="DSR36" s="1"/>
      <c r="DSS36" s="61"/>
      <c r="DST36" s="1"/>
      <c r="DSU36" s="209"/>
      <c r="DSV36" s="1"/>
      <c r="DSW36" s="61"/>
      <c r="DSX36" s="1"/>
      <c r="DSY36" s="209"/>
      <c r="DSZ36" s="1"/>
      <c r="DTA36" s="61"/>
      <c r="DTB36" s="1"/>
      <c r="DTC36" s="209"/>
      <c r="DTD36" s="1"/>
      <c r="DTE36" s="61"/>
      <c r="DTF36" s="1"/>
      <c r="DTG36" s="209"/>
      <c r="DTH36" s="1"/>
      <c r="DTI36" s="61"/>
      <c r="DTJ36" s="1"/>
      <c r="DTK36" s="209"/>
      <c r="DTL36" s="1"/>
      <c r="DTM36" s="61"/>
      <c r="DTN36" s="1"/>
      <c r="DTO36" s="209"/>
      <c r="DTP36" s="1"/>
      <c r="DTQ36" s="61"/>
      <c r="DTR36" s="1"/>
      <c r="DTS36" s="209"/>
      <c r="DTT36" s="1"/>
      <c r="DTU36" s="61"/>
      <c r="DTV36" s="1"/>
      <c r="DTW36" s="209"/>
      <c r="DTX36" s="1"/>
      <c r="DTY36" s="61"/>
      <c r="DTZ36" s="1"/>
      <c r="DUA36" s="209"/>
      <c r="DUB36" s="1"/>
      <c r="DUC36" s="61"/>
      <c r="DUD36" s="1"/>
      <c r="DUE36" s="209"/>
      <c r="DUF36" s="1"/>
      <c r="DUG36" s="61"/>
      <c r="DUH36" s="1"/>
      <c r="DUI36" s="209"/>
      <c r="DUJ36" s="1"/>
      <c r="DUK36" s="61"/>
      <c r="DUL36" s="1"/>
      <c r="DUM36" s="209"/>
      <c r="DUN36" s="1"/>
      <c r="DUO36" s="61"/>
      <c r="DUP36" s="1"/>
      <c r="DUQ36" s="209"/>
      <c r="DUR36" s="1"/>
      <c r="DUS36" s="61"/>
      <c r="DUT36" s="1"/>
      <c r="DUU36" s="209"/>
      <c r="DUV36" s="1"/>
      <c r="DUW36" s="61"/>
      <c r="DUX36" s="1"/>
      <c r="DUY36" s="209"/>
      <c r="DUZ36" s="1"/>
      <c r="DVA36" s="61"/>
      <c r="DVB36" s="1"/>
      <c r="DVC36" s="209"/>
      <c r="DVD36" s="1"/>
      <c r="DVE36" s="61"/>
      <c r="DVF36" s="1"/>
      <c r="DVG36" s="209"/>
      <c r="DVH36" s="1"/>
      <c r="DVI36" s="61"/>
      <c r="DVJ36" s="1"/>
      <c r="DVK36" s="209"/>
      <c r="DVL36" s="1"/>
      <c r="DVM36" s="61"/>
      <c r="DVN36" s="1"/>
      <c r="DVO36" s="209"/>
      <c r="DVP36" s="1"/>
      <c r="DVQ36" s="61"/>
      <c r="DVR36" s="1"/>
      <c r="DVS36" s="209"/>
      <c r="DVT36" s="1"/>
      <c r="DVU36" s="61"/>
      <c r="DVV36" s="1"/>
      <c r="DVW36" s="209"/>
      <c r="DVX36" s="1"/>
      <c r="DVY36" s="61"/>
      <c r="DVZ36" s="1"/>
      <c r="DWA36" s="209"/>
      <c r="DWB36" s="1"/>
      <c r="DWC36" s="61"/>
      <c r="DWD36" s="1"/>
      <c r="DWE36" s="209"/>
      <c r="DWF36" s="1"/>
      <c r="DWG36" s="61"/>
      <c r="DWH36" s="1"/>
      <c r="DWI36" s="209"/>
      <c r="DWJ36" s="1"/>
      <c r="DWK36" s="61"/>
      <c r="DWL36" s="1"/>
      <c r="DWM36" s="209"/>
      <c r="DWN36" s="1"/>
      <c r="DWO36" s="61"/>
      <c r="DWP36" s="1"/>
      <c r="DWQ36" s="209"/>
      <c r="DWR36" s="1"/>
      <c r="DWS36" s="61"/>
      <c r="DWT36" s="1"/>
      <c r="DWU36" s="209"/>
      <c r="DWV36" s="1"/>
      <c r="DWW36" s="61"/>
      <c r="DWX36" s="1"/>
      <c r="DWY36" s="209"/>
      <c r="DWZ36" s="1"/>
      <c r="DXA36" s="61"/>
      <c r="DXB36" s="1"/>
      <c r="DXC36" s="209"/>
      <c r="DXD36" s="1"/>
      <c r="DXE36" s="61"/>
      <c r="DXF36" s="1"/>
      <c r="DXG36" s="209"/>
      <c r="DXH36" s="1"/>
      <c r="DXI36" s="61"/>
      <c r="DXJ36" s="1"/>
      <c r="DXK36" s="209"/>
      <c r="DXL36" s="1"/>
      <c r="DXM36" s="61"/>
      <c r="DXN36" s="1"/>
      <c r="DXO36" s="209"/>
      <c r="DXP36" s="1"/>
      <c r="DXQ36" s="61"/>
      <c r="DXR36" s="1"/>
      <c r="DXS36" s="209"/>
      <c r="DXT36" s="1"/>
      <c r="DXU36" s="61"/>
      <c r="DXV36" s="1"/>
      <c r="DXW36" s="209"/>
      <c r="DXX36" s="1"/>
      <c r="DXY36" s="61"/>
      <c r="DXZ36" s="1"/>
      <c r="DYA36" s="209"/>
      <c r="DYB36" s="1"/>
      <c r="DYC36" s="61"/>
      <c r="DYD36" s="1"/>
      <c r="DYE36" s="209"/>
      <c r="DYF36" s="1"/>
      <c r="DYG36" s="61"/>
      <c r="DYH36" s="1"/>
      <c r="DYI36" s="209"/>
      <c r="DYJ36" s="1"/>
      <c r="DYK36" s="61"/>
      <c r="DYL36" s="1"/>
      <c r="DYM36" s="209"/>
      <c r="DYN36" s="1"/>
      <c r="DYO36" s="61"/>
      <c r="DYP36" s="1"/>
      <c r="DYQ36" s="209"/>
      <c r="DYR36" s="1"/>
      <c r="DYS36" s="61"/>
      <c r="DYT36" s="1"/>
      <c r="DYU36" s="209"/>
      <c r="DYV36" s="1"/>
      <c r="DYW36" s="61"/>
      <c r="DYX36" s="1"/>
      <c r="DYY36" s="209"/>
      <c r="DYZ36" s="1"/>
      <c r="DZA36" s="61"/>
      <c r="DZB36" s="1"/>
      <c r="DZC36" s="209"/>
      <c r="DZD36" s="1"/>
      <c r="DZE36" s="61"/>
      <c r="DZF36" s="1"/>
      <c r="DZG36" s="209"/>
      <c r="DZH36" s="1"/>
      <c r="DZI36" s="61"/>
      <c r="DZJ36" s="1"/>
      <c r="DZK36" s="209"/>
      <c r="DZL36" s="1"/>
      <c r="DZM36" s="61"/>
      <c r="DZN36" s="1"/>
      <c r="DZO36" s="209"/>
      <c r="DZP36" s="1"/>
      <c r="DZQ36" s="61"/>
      <c r="DZR36" s="1"/>
      <c r="DZS36" s="209"/>
      <c r="DZT36" s="1"/>
      <c r="DZU36" s="61"/>
      <c r="DZV36" s="1"/>
      <c r="DZW36" s="209"/>
      <c r="DZX36" s="1"/>
      <c r="DZY36" s="61"/>
      <c r="DZZ36" s="1"/>
      <c r="EAA36" s="209"/>
      <c r="EAB36" s="1"/>
      <c r="EAC36" s="61"/>
      <c r="EAD36" s="1"/>
      <c r="EAE36" s="209"/>
      <c r="EAF36" s="1"/>
      <c r="EAG36" s="61"/>
      <c r="EAH36" s="1"/>
      <c r="EAI36" s="209"/>
      <c r="EAJ36" s="1"/>
      <c r="EAK36" s="61"/>
      <c r="EAL36" s="1"/>
      <c r="EAM36" s="209"/>
      <c r="EAN36" s="1"/>
      <c r="EAO36" s="61"/>
      <c r="EAP36" s="1"/>
      <c r="EAQ36" s="209"/>
      <c r="EAR36" s="1"/>
      <c r="EAS36" s="61"/>
      <c r="EAT36" s="1"/>
      <c r="EAU36" s="209"/>
      <c r="EAV36" s="1"/>
      <c r="EAW36" s="61"/>
      <c r="EAX36" s="1"/>
      <c r="EAY36" s="209"/>
      <c r="EAZ36" s="1"/>
      <c r="EBA36" s="61"/>
      <c r="EBB36" s="1"/>
      <c r="EBC36" s="209"/>
      <c r="EBD36" s="1"/>
      <c r="EBE36" s="61"/>
      <c r="EBF36" s="1"/>
      <c r="EBG36" s="209"/>
      <c r="EBH36" s="1"/>
      <c r="EBI36" s="61"/>
      <c r="EBJ36" s="1"/>
      <c r="EBK36" s="209"/>
      <c r="EBL36" s="1"/>
      <c r="EBM36" s="61"/>
      <c r="EBN36" s="1"/>
      <c r="EBO36" s="209"/>
      <c r="EBP36" s="1"/>
      <c r="EBQ36" s="61"/>
      <c r="EBR36" s="1"/>
      <c r="EBS36" s="209"/>
      <c r="EBT36" s="1"/>
      <c r="EBU36" s="61"/>
      <c r="EBV36" s="1"/>
      <c r="EBW36" s="209"/>
      <c r="EBX36" s="1"/>
      <c r="EBY36" s="61"/>
      <c r="EBZ36" s="1"/>
      <c r="ECA36" s="209"/>
      <c r="ECB36" s="1"/>
      <c r="ECC36" s="61"/>
      <c r="ECD36" s="1"/>
      <c r="ECE36" s="209"/>
      <c r="ECF36" s="1"/>
      <c r="ECG36" s="61"/>
      <c r="ECH36" s="1"/>
      <c r="ECI36" s="209"/>
      <c r="ECJ36" s="1"/>
      <c r="ECK36" s="61"/>
      <c r="ECL36" s="1"/>
      <c r="ECM36" s="209"/>
      <c r="ECN36" s="1"/>
      <c r="ECO36" s="61"/>
      <c r="ECP36" s="1"/>
      <c r="ECQ36" s="209"/>
      <c r="ECR36" s="1"/>
      <c r="ECS36" s="61"/>
      <c r="ECT36" s="1"/>
      <c r="ECU36" s="209"/>
      <c r="ECV36" s="1"/>
      <c r="ECW36" s="61"/>
      <c r="ECX36" s="1"/>
      <c r="ECY36" s="209"/>
      <c r="ECZ36" s="1"/>
      <c r="EDA36" s="61"/>
      <c r="EDB36" s="1"/>
      <c r="EDC36" s="209"/>
      <c r="EDD36" s="1"/>
      <c r="EDE36" s="61"/>
      <c r="EDF36" s="1"/>
      <c r="EDG36" s="209"/>
      <c r="EDH36" s="1"/>
      <c r="EDI36" s="61"/>
      <c r="EDJ36" s="1"/>
      <c r="EDK36" s="209"/>
      <c r="EDL36" s="1"/>
      <c r="EDM36" s="61"/>
      <c r="EDN36" s="1"/>
      <c r="EDO36" s="209"/>
      <c r="EDP36" s="1"/>
      <c r="EDQ36" s="61"/>
      <c r="EDR36" s="1"/>
      <c r="EDS36" s="209"/>
      <c r="EDT36" s="1"/>
      <c r="EDU36" s="61"/>
      <c r="EDV36" s="1"/>
      <c r="EDW36" s="209"/>
      <c r="EDX36" s="1"/>
      <c r="EDY36" s="61"/>
      <c r="EDZ36" s="1"/>
      <c r="EEA36" s="209"/>
      <c r="EEB36" s="1"/>
      <c r="EEC36" s="61"/>
      <c r="EED36" s="1"/>
      <c r="EEE36" s="209"/>
      <c r="EEF36" s="1"/>
      <c r="EEG36" s="61"/>
      <c r="EEH36" s="1"/>
      <c r="EEI36" s="209"/>
      <c r="EEJ36" s="1"/>
      <c r="EEK36" s="61"/>
      <c r="EEL36" s="1"/>
      <c r="EEM36" s="209"/>
      <c r="EEN36" s="1"/>
      <c r="EEO36" s="61"/>
      <c r="EEP36" s="1"/>
      <c r="EEQ36" s="209"/>
      <c r="EER36" s="1"/>
      <c r="EES36" s="61"/>
      <c r="EET36" s="1"/>
      <c r="EEU36" s="209"/>
      <c r="EEV36" s="1"/>
      <c r="EEW36" s="61"/>
      <c r="EEX36" s="1"/>
      <c r="EEY36" s="209"/>
      <c r="EEZ36" s="1"/>
      <c r="EFA36" s="61"/>
      <c r="EFB36" s="1"/>
      <c r="EFC36" s="209"/>
      <c r="EFD36" s="1"/>
      <c r="EFE36" s="61"/>
      <c r="EFF36" s="1"/>
      <c r="EFG36" s="209"/>
      <c r="EFH36" s="1"/>
      <c r="EFI36" s="61"/>
      <c r="EFJ36" s="1"/>
      <c r="EFK36" s="209"/>
      <c r="EFL36" s="1"/>
      <c r="EFM36" s="61"/>
      <c r="EFN36" s="1"/>
      <c r="EFO36" s="209"/>
      <c r="EFP36" s="1"/>
      <c r="EFQ36" s="61"/>
      <c r="EFR36" s="1"/>
      <c r="EFS36" s="209"/>
      <c r="EFT36" s="1"/>
      <c r="EFU36" s="61"/>
      <c r="EFV36" s="1"/>
      <c r="EFW36" s="209"/>
      <c r="EFX36" s="1"/>
      <c r="EFY36" s="61"/>
      <c r="EFZ36" s="1"/>
      <c r="EGA36" s="209"/>
      <c r="EGB36" s="1"/>
      <c r="EGC36" s="61"/>
      <c r="EGD36" s="1"/>
      <c r="EGE36" s="209"/>
      <c r="EGF36" s="1"/>
      <c r="EGG36" s="61"/>
      <c r="EGH36" s="1"/>
      <c r="EGI36" s="209"/>
      <c r="EGJ36" s="1"/>
      <c r="EGK36" s="61"/>
      <c r="EGL36" s="1"/>
      <c r="EGM36" s="209"/>
      <c r="EGN36" s="1"/>
      <c r="EGO36" s="61"/>
      <c r="EGP36" s="1"/>
      <c r="EGQ36" s="209"/>
      <c r="EGR36" s="1"/>
      <c r="EGS36" s="61"/>
      <c r="EGT36" s="1"/>
      <c r="EGU36" s="209"/>
      <c r="EGV36" s="1"/>
      <c r="EGW36" s="61"/>
      <c r="EGX36" s="1"/>
      <c r="EGY36" s="209"/>
      <c r="EGZ36" s="1"/>
      <c r="EHA36" s="61"/>
      <c r="EHB36" s="1"/>
      <c r="EHC36" s="209"/>
      <c r="EHD36" s="1"/>
      <c r="EHE36" s="61"/>
      <c r="EHF36" s="1"/>
      <c r="EHG36" s="209"/>
      <c r="EHH36" s="1"/>
      <c r="EHI36" s="61"/>
      <c r="EHJ36" s="1"/>
      <c r="EHK36" s="209"/>
      <c r="EHL36" s="1"/>
      <c r="EHM36" s="61"/>
      <c r="EHN36" s="1"/>
      <c r="EHO36" s="209"/>
      <c r="EHP36" s="1"/>
      <c r="EHQ36" s="61"/>
      <c r="EHR36" s="1"/>
      <c r="EHS36" s="209"/>
      <c r="EHT36" s="1"/>
      <c r="EHU36" s="61"/>
      <c r="EHV36" s="1"/>
      <c r="EHW36" s="209"/>
      <c r="EHX36" s="1"/>
      <c r="EHY36" s="61"/>
      <c r="EHZ36" s="1"/>
      <c r="EIA36" s="209"/>
      <c r="EIB36" s="1"/>
      <c r="EIC36" s="61"/>
      <c r="EID36" s="1"/>
      <c r="EIE36" s="209"/>
      <c r="EIF36" s="1"/>
      <c r="EIG36" s="61"/>
      <c r="EIH36" s="1"/>
      <c r="EII36" s="209"/>
      <c r="EIJ36" s="1"/>
      <c r="EIK36" s="61"/>
      <c r="EIL36" s="1"/>
      <c r="EIM36" s="209"/>
      <c r="EIN36" s="1"/>
      <c r="EIO36" s="61"/>
      <c r="EIP36" s="1"/>
      <c r="EIQ36" s="209"/>
      <c r="EIR36" s="1"/>
      <c r="EIS36" s="61"/>
      <c r="EIT36" s="1"/>
      <c r="EIU36" s="209"/>
      <c r="EIV36" s="1"/>
      <c r="EIW36" s="61"/>
      <c r="EIX36" s="1"/>
      <c r="EIY36" s="209"/>
      <c r="EIZ36" s="1"/>
      <c r="EJA36" s="61"/>
      <c r="EJB36" s="1"/>
      <c r="EJC36" s="209"/>
      <c r="EJD36" s="1"/>
      <c r="EJE36" s="61"/>
      <c r="EJF36" s="1"/>
      <c r="EJG36" s="209"/>
      <c r="EJH36" s="1"/>
      <c r="EJI36" s="61"/>
      <c r="EJJ36" s="1"/>
      <c r="EJK36" s="209"/>
      <c r="EJL36" s="1"/>
      <c r="EJM36" s="61"/>
      <c r="EJN36" s="1"/>
      <c r="EJO36" s="209"/>
      <c r="EJP36" s="1"/>
      <c r="EJQ36" s="61"/>
      <c r="EJR36" s="1"/>
      <c r="EJS36" s="209"/>
      <c r="EJT36" s="1"/>
      <c r="EJU36" s="61"/>
      <c r="EJV36" s="1"/>
      <c r="EJW36" s="209"/>
      <c r="EJX36" s="1"/>
      <c r="EJY36" s="61"/>
      <c r="EJZ36" s="1"/>
      <c r="EKA36" s="209"/>
      <c r="EKB36" s="1"/>
      <c r="EKC36" s="61"/>
      <c r="EKD36" s="1"/>
      <c r="EKE36" s="209"/>
      <c r="EKF36" s="1"/>
      <c r="EKG36" s="61"/>
      <c r="EKH36" s="1"/>
      <c r="EKI36" s="209"/>
      <c r="EKJ36" s="1"/>
      <c r="EKK36" s="61"/>
      <c r="EKL36" s="1"/>
      <c r="EKM36" s="209"/>
      <c r="EKN36" s="1"/>
      <c r="EKO36" s="61"/>
      <c r="EKP36" s="1"/>
      <c r="EKQ36" s="209"/>
      <c r="EKR36" s="1"/>
      <c r="EKS36" s="61"/>
      <c r="EKT36" s="1"/>
      <c r="EKU36" s="209"/>
      <c r="EKV36" s="1"/>
      <c r="EKW36" s="61"/>
      <c r="EKX36" s="1"/>
      <c r="EKY36" s="209"/>
      <c r="EKZ36" s="1"/>
      <c r="ELA36" s="61"/>
      <c r="ELB36" s="1"/>
      <c r="ELC36" s="209"/>
      <c r="ELD36" s="1"/>
      <c r="ELE36" s="61"/>
      <c r="ELF36" s="1"/>
      <c r="ELG36" s="209"/>
      <c r="ELH36" s="1"/>
      <c r="ELI36" s="61"/>
      <c r="ELJ36" s="1"/>
      <c r="ELK36" s="209"/>
      <c r="ELL36" s="1"/>
      <c r="ELM36" s="61"/>
      <c r="ELN36" s="1"/>
      <c r="ELO36" s="209"/>
      <c r="ELP36" s="1"/>
      <c r="ELQ36" s="61"/>
      <c r="ELR36" s="1"/>
      <c r="ELS36" s="209"/>
      <c r="ELT36" s="1"/>
      <c r="ELU36" s="61"/>
      <c r="ELV36" s="1"/>
      <c r="ELW36" s="209"/>
      <c r="ELX36" s="1"/>
      <c r="ELY36" s="61"/>
      <c r="ELZ36" s="1"/>
      <c r="EMA36" s="209"/>
      <c r="EMB36" s="1"/>
      <c r="EMC36" s="61"/>
      <c r="EMD36" s="1"/>
      <c r="EME36" s="209"/>
      <c r="EMF36" s="1"/>
      <c r="EMG36" s="61"/>
      <c r="EMH36" s="1"/>
      <c r="EMI36" s="209"/>
      <c r="EMJ36" s="1"/>
      <c r="EMK36" s="61"/>
      <c r="EML36" s="1"/>
      <c r="EMM36" s="209"/>
      <c r="EMN36" s="1"/>
      <c r="EMO36" s="61"/>
      <c r="EMP36" s="1"/>
      <c r="EMQ36" s="209"/>
      <c r="EMR36" s="1"/>
      <c r="EMS36" s="61"/>
      <c r="EMT36" s="1"/>
      <c r="EMU36" s="209"/>
      <c r="EMV36" s="1"/>
      <c r="EMW36" s="61"/>
      <c r="EMX36" s="1"/>
      <c r="EMY36" s="209"/>
      <c r="EMZ36" s="1"/>
      <c r="ENA36" s="61"/>
      <c r="ENB36" s="1"/>
      <c r="ENC36" s="209"/>
      <c r="END36" s="1"/>
      <c r="ENE36" s="61"/>
      <c r="ENF36" s="1"/>
      <c r="ENG36" s="209"/>
      <c r="ENH36" s="1"/>
      <c r="ENI36" s="61"/>
      <c r="ENJ36" s="1"/>
      <c r="ENK36" s="209"/>
      <c r="ENL36" s="1"/>
      <c r="ENM36" s="61"/>
      <c r="ENN36" s="1"/>
      <c r="ENO36" s="209"/>
      <c r="ENP36" s="1"/>
      <c r="ENQ36" s="61"/>
      <c r="ENR36" s="1"/>
      <c r="ENS36" s="209"/>
      <c r="ENT36" s="1"/>
      <c r="ENU36" s="61"/>
      <c r="ENV36" s="1"/>
      <c r="ENW36" s="209"/>
      <c r="ENX36" s="1"/>
      <c r="ENY36" s="61"/>
      <c r="ENZ36" s="1"/>
      <c r="EOA36" s="209"/>
      <c r="EOB36" s="1"/>
      <c r="EOC36" s="61"/>
      <c r="EOD36" s="1"/>
      <c r="EOE36" s="209"/>
      <c r="EOF36" s="1"/>
      <c r="EOG36" s="61"/>
      <c r="EOH36" s="1"/>
      <c r="EOI36" s="209"/>
      <c r="EOJ36" s="1"/>
      <c r="EOK36" s="61"/>
      <c r="EOL36" s="1"/>
      <c r="EOM36" s="209"/>
      <c r="EON36" s="1"/>
      <c r="EOO36" s="61"/>
      <c r="EOP36" s="1"/>
      <c r="EOQ36" s="209"/>
      <c r="EOR36" s="1"/>
      <c r="EOS36" s="61"/>
      <c r="EOT36" s="1"/>
      <c r="EOU36" s="209"/>
      <c r="EOV36" s="1"/>
      <c r="EOW36" s="61"/>
      <c r="EOX36" s="1"/>
      <c r="EOY36" s="209"/>
      <c r="EOZ36" s="1"/>
      <c r="EPA36" s="61"/>
      <c r="EPB36" s="1"/>
      <c r="EPC36" s="209"/>
      <c r="EPD36" s="1"/>
      <c r="EPE36" s="61"/>
      <c r="EPF36" s="1"/>
      <c r="EPG36" s="209"/>
      <c r="EPH36" s="1"/>
      <c r="EPI36" s="61"/>
      <c r="EPJ36" s="1"/>
      <c r="EPK36" s="209"/>
      <c r="EPL36" s="1"/>
      <c r="EPM36" s="61"/>
      <c r="EPN36" s="1"/>
      <c r="EPO36" s="209"/>
      <c r="EPP36" s="1"/>
      <c r="EPQ36" s="61"/>
      <c r="EPR36" s="1"/>
      <c r="EPS36" s="209"/>
      <c r="EPT36" s="1"/>
      <c r="EPU36" s="61"/>
      <c r="EPV36" s="1"/>
      <c r="EPW36" s="209"/>
      <c r="EPX36" s="1"/>
      <c r="EPY36" s="61"/>
      <c r="EPZ36" s="1"/>
      <c r="EQA36" s="209"/>
      <c r="EQB36" s="1"/>
      <c r="EQC36" s="61"/>
      <c r="EQD36" s="1"/>
      <c r="EQE36" s="209"/>
      <c r="EQF36" s="1"/>
      <c r="EQG36" s="61"/>
      <c r="EQH36" s="1"/>
      <c r="EQI36" s="209"/>
      <c r="EQJ36" s="1"/>
      <c r="EQK36" s="61"/>
      <c r="EQL36" s="1"/>
      <c r="EQM36" s="209"/>
      <c r="EQN36" s="1"/>
      <c r="EQO36" s="61"/>
      <c r="EQP36" s="1"/>
      <c r="EQQ36" s="209"/>
      <c r="EQR36" s="1"/>
      <c r="EQS36" s="61"/>
      <c r="EQT36" s="1"/>
      <c r="EQU36" s="209"/>
      <c r="EQV36" s="1"/>
      <c r="EQW36" s="61"/>
      <c r="EQX36" s="1"/>
      <c r="EQY36" s="209"/>
      <c r="EQZ36" s="1"/>
      <c r="ERA36" s="61"/>
      <c r="ERB36" s="1"/>
      <c r="ERC36" s="209"/>
      <c r="ERD36" s="1"/>
      <c r="ERE36" s="61"/>
      <c r="ERF36" s="1"/>
      <c r="ERG36" s="209"/>
      <c r="ERH36" s="1"/>
      <c r="ERI36" s="61"/>
      <c r="ERJ36" s="1"/>
      <c r="ERK36" s="209"/>
      <c r="ERL36" s="1"/>
      <c r="ERM36" s="61"/>
      <c r="ERN36" s="1"/>
      <c r="ERO36" s="209"/>
      <c r="ERP36" s="1"/>
      <c r="ERQ36" s="61"/>
      <c r="ERR36" s="1"/>
      <c r="ERS36" s="209"/>
      <c r="ERT36" s="1"/>
      <c r="ERU36" s="61"/>
      <c r="ERV36" s="1"/>
      <c r="ERW36" s="209"/>
      <c r="ERX36" s="1"/>
      <c r="ERY36" s="61"/>
      <c r="ERZ36" s="1"/>
      <c r="ESA36" s="209"/>
      <c r="ESB36" s="1"/>
      <c r="ESC36" s="61"/>
      <c r="ESD36" s="1"/>
      <c r="ESE36" s="209"/>
      <c r="ESF36" s="1"/>
      <c r="ESG36" s="61"/>
      <c r="ESH36" s="1"/>
      <c r="ESI36" s="209"/>
      <c r="ESJ36" s="1"/>
      <c r="ESK36" s="61"/>
      <c r="ESL36" s="1"/>
      <c r="ESM36" s="209"/>
      <c r="ESN36" s="1"/>
      <c r="ESO36" s="61"/>
      <c r="ESP36" s="1"/>
      <c r="ESQ36" s="209"/>
      <c r="ESR36" s="1"/>
      <c r="ESS36" s="61"/>
      <c r="EST36" s="1"/>
      <c r="ESU36" s="209"/>
      <c r="ESV36" s="1"/>
      <c r="ESW36" s="61"/>
      <c r="ESX36" s="1"/>
      <c r="ESY36" s="209"/>
      <c r="ESZ36" s="1"/>
      <c r="ETA36" s="61"/>
      <c r="ETB36" s="1"/>
      <c r="ETC36" s="209"/>
      <c r="ETD36" s="1"/>
      <c r="ETE36" s="61"/>
      <c r="ETF36" s="1"/>
      <c r="ETG36" s="209"/>
      <c r="ETH36" s="1"/>
      <c r="ETI36" s="61"/>
      <c r="ETJ36" s="1"/>
      <c r="ETK36" s="209"/>
      <c r="ETL36" s="1"/>
      <c r="ETM36" s="61"/>
      <c r="ETN36" s="1"/>
      <c r="ETO36" s="209"/>
      <c r="ETP36" s="1"/>
      <c r="ETQ36" s="61"/>
      <c r="ETR36" s="1"/>
      <c r="ETS36" s="209"/>
      <c r="ETT36" s="1"/>
      <c r="ETU36" s="61"/>
      <c r="ETV36" s="1"/>
      <c r="ETW36" s="209"/>
      <c r="ETX36" s="1"/>
      <c r="ETY36" s="61"/>
      <c r="ETZ36" s="1"/>
      <c r="EUA36" s="209"/>
      <c r="EUB36" s="1"/>
      <c r="EUC36" s="61"/>
      <c r="EUD36" s="1"/>
      <c r="EUE36" s="209"/>
      <c r="EUF36" s="1"/>
      <c r="EUG36" s="61"/>
      <c r="EUH36" s="1"/>
      <c r="EUI36" s="209"/>
      <c r="EUJ36" s="1"/>
      <c r="EUK36" s="61"/>
      <c r="EUL36" s="1"/>
      <c r="EUM36" s="209"/>
      <c r="EUN36" s="1"/>
      <c r="EUO36" s="61"/>
      <c r="EUP36" s="1"/>
      <c r="EUQ36" s="209"/>
      <c r="EUR36" s="1"/>
      <c r="EUS36" s="61"/>
      <c r="EUT36" s="1"/>
      <c r="EUU36" s="209"/>
      <c r="EUV36" s="1"/>
      <c r="EUW36" s="61"/>
      <c r="EUX36" s="1"/>
      <c r="EUY36" s="209"/>
      <c r="EUZ36" s="1"/>
      <c r="EVA36" s="61"/>
      <c r="EVB36" s="1"/>
      <c r="EVC36" s="209"/>
      <c r="EVD36" s="1"/>
      <c r="EVE36" s="61"/>
      <c r="EVF36" s="1"/>
      <c r="EVG36" s="209"/>
      <c r="EVH36" s="1"/>
      <c r="EVI36" s="61"/>
      <c r="EVJ36" s="1"/>
      <c r="EVK36" s="209"/>
      <c r="EVL36" s="1"/>
      <c r="EVM36" s="61"/>
      <c r="EVN36" s="1"/>
      <c r="EVO36" s="209"/>
      <c r="EVP36" s="1"/>
      <c r="EVQ36" s="61"/>
      <c r="EVR36" s="1"/>
      <c r="EVS36" s="209"/>
      <c r="EVT36" s="1"/>
      <c r="EVU36" s="61"/>
      <c r="EVV36" s="1"/>
      <c r="EVW36" s="209"/>
      <c r="EVX36" s="1"/>
      <c r="EVY36" s="61"/>
      <c r="EVZ36" s="1"/>
      <c r="EWA36" s="209"/>
      <c r="EWB36" s="1"/>
      <c r="EWC36" s="61"/>
      <c r="EWD36" s="1"/>
      <c r="EWE36" s="209"/>
      <c r="EWF36" s="1"/>
      <c r="EWG36" s="61"/>
      <c r="EWH36" s="1"/>
      <c r="EWI36" s="209"/>
      <c r="EWJ36" s="1"/>
      <c r="EWK36" s="61"/>
      <c r="EWL36" s="1"/>
      <c r="EWM36" s="209"/>
      <c r="EWN36" s="1"/>
      <c r="EWO36" s="61"/>
      <c r="EWP36" s="1"/>
      <c r="EWQ36" s="209"/>
      <c r="EWR36" s="1"/>
      <c r="EWS36" s="61"/>
      <c r="EWT36" s="1"/>
      <c r="EWU36" s="209"/>
      <c r="EWV36" s="1"/>
      <c r="EWW36" s="61"/>
      <c r="EWX36" s="1"/>
      <c r="EWY36" s="209"/>
      <c r="EWZ36" s="1"/>
      <c r="EXA36" s="61"/>
      <c r="EXB36" s="1"/>
      <c r="EXC36" s="209"/>
      <c r="EXD36" s="1"/>
      <c r="EXE36" s="61"/>
      <c r="EXF36" s="1"/>
      <c r="EXG36" s="209"/>
      <c r="EXH36" s="1"/>
      <c r="EXI36" s="61"/>
      <c r="EXJ36" s="1"/>
      <c r="EXK36" s="209"/>
      <c r="EXL36" s="1"/>
      <c r="EXM36" s="61"/>
      <c r="EXN36" s="1"/>
      <c r="EXO36" s="209"/>
      <c r="EXP36" s="1"/>
      <c r="EXQ36" s="61"/>
      <c r="EXR36" s="1"/>
      <c r="EXS36" s="209"/>
      <c r="EXT36" s="1"/>
      <c r="EXU36" s="61"/>
      <c r="EXV36" s="1"/>
      <c r="EXW36" s="209"/>
      <c r="EXX36" s="1"/>
      <c r="EXY36" s="61"/>
      <c r="EXZ36" s="1"/>
      <c r="EYA36" s="209"/>
      <c r="EYB36" s="1"/>
      <c r="EYC36" s="61"/>
      <c r="EYD36" s="1"/>
      <c r="EYE36" s="209"/>
      <c r="EYF36" s="1"/>
      <c r="EYG36" s="61"/>
      <c r="EYH36" s="1"/>
      <c r="EYI36" s="209"/>
      <c r="EYJ36" s="1"/>
      <c r="EYK36" s="61"/>
      <c r="EYL36" s="1"/>
      <c r="EYM36" s="209"/>
      <c r="EYN36" s="1"/>
      <c r="EYO36" s="61"/>
      <c r="EYP36" s="1"/>
      <c r="EYQ36" s="209"/>
      <c r="EYR36" s="1"/>
      <c r="EYS36" s="61"/>
      <c r="EYT36" s="1"/>
      <c r="EYU36" s="209"/>
      <c r="EYV36" s="1"/>
      <c r="EYW36" s="61"/>
      <c r="EYX36" s="1"/>
      <c r="EYY36" s="209"/>
      <c r="EYZ36" s="1"/>
      <c r="EZA36" s="61"/>
      <c r="EZB36" s="1"/>
      <c r="EZC36" s="209"/>
      <c r="EZD36" s="1"/>
      <c r="EZE36" s="61"/>
      <c r="EZF36" s="1"/>
      <c r="EZG36" s="209"/>
      <c r="EZH36" s="1"/>
      <c r="EZI36" s="61"/>
      <c r="EZJ36" s="1"/>
      <c r="EZK36" s="209"/>
      <c r="EZL36" s="1"/>
      <c r="EZM36" s="61"/>
      <c r="EZN36" s="1"/>
      <c r="EZO36" s="209"/>
      <c r="EZP36" s="1"/>
      <c r="EZQ36" s="61"/>
      <c r="EZR36" s="1"/>
      <c r="EZS36" s="209"/>
      <c r="EZT36" s="1"/>
      <c r="EZU36" s="61"/>
      <c r="EZV36" s="1"/>
      <c r="EZW36" s="209"/>
      <c r="EZX36" s="1"/>
      <c r="EZY36" s="61"/>
      <c r="EZZ36" s="1"/>
      <c r="FAA36" s="209"/>
      <c r="FAB36" s="1"/>
      <c r="FAC36" s="61"/>
      <c r="FAD36" s="1"/>
      <c r="FAE36" s="209"/>
      <c r="FAF36" s="1"/>
      <c r="FAG36" s="61"/>
      <c r="FAH36" s="1"/>
      <c r="FAI36" s="209"/>
      <c r="FAJ36" s="1"/>
      <c r="FAK36" s="61"/>
      <c r="FAL36" s="1"/>
      <c r="FAM36" s="209"/>
      <c r="FAN36" s="1"/>
      <c r="FAO36" s="61"/>
      <c r="FAP36" s="1"/>
      <c r="FAQ36" s="209"/>
      <c r="FAR36" s="1"/>
      <c r="FAS36" s="61"/>
      <c r="FAT36" s="1"/>
      <c r="FAU36" s="209"/>
      <c r="FAV36" s="1"/>
      <c r="FAW36" s="61"/>
      <c r="FAX36" s="1"/>
      <c r="FAY36" s="209"/>
      <c r="FAZ36" s="1"/>
      <c r="FBA36" s="61"/>
      <c r="FBB36" s="1"/>
      <c r="FBC36" s="209"/>
      <c r="FBD36" s="1"/>
      <c r="FBE36" s="61"/>
      <c r="FBF36" s="1"/>
      <c r="FBG36" s="209"/>
      <c r="FBH36" s="1"/>
      <c r="FBI36" s="61"/>
      <c r="FBJ36" s="1"/>
      <c r="FBK36" s="209"/>
      <c r="FBL36" s="1"/>
      <c r="FBM36" s="61"/>
      <c r="FBN36" s="1"/>
      <c r="FBO36" s="209"/>
      <c r="FBP36" s="1"/>
      <c r="FBQ36" s="61"/>
      <c r="FBR36" s="1"/>
      <c r="FBS36" s="209"/>
      <c r="FBT36" s="1"/>
      <c r="FBU36" s="61"/>
      <c r="FBV36" s="1"/>
      <c r="FBW36" s="209"/>
      <c r="FBX36" s="1"/>
      <c r="FBY36" s="61"/>
      <c r="FBZ36" s="1"/>
      <c r="FCA36" s="209"/>
      <c r="FCB36" s="1"/>
      <c r="FCC36" s="61"/>
      <c r="FCD36" s="1"/>
      <c r="FCE36" s="209"/>
      <c r="FCF36" s="1"/>
      <c r="FCG36" s="61"/>
      <c r="FCH36" s="1"/>
      <c r="FCI36" s="209"/>
      <c r="FCJ36" s="1"/>
      <c r="FCK36" s="61"/>
      <c r="FCL36" s="1"/>
      <c r="FCM36" s="209"/>
      <c r="FCN36" s="1"/>
      <c r="FCO36" s="61"/>
      <c r="FCP36" s="1"/>
      <c r="FCQ36" s="209"/>
      <c r="FCR36" s="1"/>
      <c r="FCS36" s="61"/>
      <c r="FCT36" s="1"/>
      <c r="FCU36" s="209"/>
      <c r="FCV36" s="1"/>
      <c r="FCW36" s="61"/>
      <c r="FCX36" s="1"/>
      <c r="FCY36" s="209"/>
      <c r="FCZ36" s="1"/>
      <c r="FDA36" s="61"/>
      <c r="FDB36" s="1"/>
      <c r="FDC36" s="209"/>
      <c r="FDD36" s="1"/>
      <c r="FDE36" s="61"/>
      <c r="FDF36" s="1"/>
      <c r="FDG36" s="209"/>
      <c r="FDH36" s="1"/>
      <c r="FDI36" s="61"/>
      <c r="FDJ36" s="1"/>
      <c r="FDK36" s="209"/>
      <c r="FDL36" s="1"/>
      <c r="FDM36" s="61"/>
      <c r="FDN36" s="1"/>
      <c r="FDO36" s="209"/>
      <c r="FDP36" s="1"/>
      <c r="FDQ36" s="61"/>
      <c r="FDR36" s="1"/>
      <c r="FDS36" s="209"/>
      <c r="FDT36" s="1"/>
      <c r="FDU36" s="61"/>
      <c r="FDV36" s="1"/>
      <c r="FDW36" s="209"/>
      <c r="FDX36" s="1"/>
      <c r="FDY36" s="61"/>
      <c r="FDZ36" s="1"/>
      <c r="FEA36" s="209"/>
      <c r="FEB36" s="1"/>
      <c r="FEC36" s="61"/>
      <c r="FED36" s="1"/>
      <c r="FEE36" s="209"/>
      <c r="FEF36" s="1"/>
      <c r="FEG36" s="61"/>
      <c r="FEH36" s="1"/>
      <c r="FEI36" s="209"/>
      <c r="FEJ36" s="1"/>
      <c r="FEK36" s="61"/>
      <c r="FEL36" s="1"/>
      <c r="FEM36" s="209"/>
      <c r="FEN36" s="1"/>
      <c r="FEO36" s="61"/>
      <c r="FEP36" s="1"/>
      <c r="FEQ36" s="209"/>
      <c r="FER36" s="1"/>
      <c r="FES36" s="61"/>
      <c r="FET36" s="1"/>
      <c r="FEU36" s="209"/>
      <c r="FEV36" s="1"/>
      <c r="FEW36" s="61"/>
      <c r="FEX36" s="1"/>
      <c r="FEY36" s="209"/>
      <c r="FEZ36" s="1"/>
      <c r="FFA36" s="61"/>
      <c r="FFB36" s="1"/>
      <c r="FFC36" s="209"/>
      <c r="FFD36" s="1"/>
      <c r="FFE36" s="61"/>
      <c r="FFF36" s="1"/>
      <c r="FFG36" s="209"/>
      <c r="FFH36" s="1"/>
      <c r="FFI36" s="61"/>
      <c r="FFJ36" s="1"/>
      <c r="FFK36" s="209"/>
      <c r="FFL36" s="1"/>
      <c r="FFM36" s="61"/>
      <c r="FFN36" s="1"/>
      <c r="FFO36" s="209"/>
      <c r="FFP36" s="1"/>
      <c r="FFQ36" s="61"/>
      <c r="FFR36" s="1"/>
      <c r="FFS36" s="209"/>
      <c r="FFT36" s="1"/>
      <c r="FFU36" s="61"/>
      <c r="FFV36" s="1"/>
      <c r="FFW36" s="209"/>
      <c r="FFX36" s="1"/>
      <c r="FFY36" s="61"/>
      <c r="FFZ36" s="1"/>
      <c r="FGA36" s="209"/>
      <c r="FGB36" s="1"/>
      <c r="FGC36" s="61"/>
      <c r="FGD36" s="1"/>
      <c r="FGE36" s="209"/>
      <c r="FGF36" s="1"/>
      <c r="FGG36" s="61"/>
      <c r="FGH36" s="1"/>
      <c r="FGI36" s="209"/>
      <c r="FGJ36" s="1"/>
      <c r="FGK36" s="61"/>
      <c r="FGL36" s="1"/>
      <c r="FGM36" s="209"/>
      <c r="FGN36" s="1"/>
      <c r="FGO36" s="61"/>
      <c r="FGP36" s="1"/>
      <c r="FGQ36" s="209"/>
      <c r="FGR36" s="1"/>
      <c r="FGS36" s="61"/>
      <c r="FGT36" s="1"/>
      <c r="FGU36" s="209"/>
      <c r="FGV36" s="1"/>
      <c r="FGW36" s="61"/>
      <c r="FGX36" s="1"/>
      <c r="FGY36" s="209"/>
      <c r="FGZ36" s="1"/>
      <c r="FHA36" s="61"/>
      <c r="FHB36" s="1"/>
      <c r="FHC36" s="209"/>
      <c r="FHD36" s="1"/>
      <c r="FHE36" s="61"/>
      <c r="FHF36" s="1"/>
      <c r="FHG36" s="209"/>
      <c r="FHH36" s="1"/>
      <c r="FHI36" s="61"/>
      <c r="FHJ36" s="1"/>
      <c r="FHK36" s="209"/>
      <c r="FHL36" s="1"/>
      <c r="FHM36" s="61"/>
      <c r="FHN36" s="1"/>
      <c r="FHO36" s="209"/>
      <c r="FHP36" s="1"/>
      <c r="FHQ36" s="61"/>
      <c r="FHR36" s="1"/>
      <c r="FHS36" s="209"/>
      <c r="FHT36" s="1"/>
      <c r="FHU36" s="61"/>
      <c r="FHV36" s="1"/>
      <c r="FHW36" s="209"/>
      <c r="FHX36" s="1"/>
      <c r="FHY36" s="61"/>
      <c r="FHZ36" s="1"/>
      <c r="FIA36" s="209"/>
      <c r="FIB36" s="1"/>
      <c r="FIC36" s="61"/>
      <c r="FID36" s="1"/>
      <c r="FIE36" s="209"/>
      <c r="FIF36" s="1"/>
      <c r="FIG36" s="61"/>
      <c r="FIH36" s="1"/>
      <c r="FII36" s="209"/>
      <c r="FIJ36" s="1"/>
      <c r="FIK36" s="61"/>
      <c r="FIL36" s="1"/>
      <c r="FIM36" s="209"/>
      <c r="FIN36" s="1"/>
      <c r="FIO36" s="61"/>
      <c r="FIP36" s="1"/>
      <c r="FIQ36" s="209"/>
      <c r="FIR36" s="1"/>
      <c r="FIS36" s="61"/>
      <c r="FIT36" s="1"/>
      <c r="FIU36" s="209"/>
      <c r="FIV36" s="1"/>
      <c r="FIW36" s="61"/>
      <c r="FIX36" s="1"/>
      <c r="FIY36" s="209"/>
      <c r="FIZ36" s="1"/>
      <c r="FJA36" s="61"/>
      <c r="FJB36" s="1"/>
      <c r="FJC36" s="209"/>
      <c r="FJD36" s="1"/>
      <c r="FJE36" s="61"/>
      <c r="FJF36" s="1"/>
      <c r="FJG36" s="209"/>
      <c r="FJH36" s="1"/>
      <c r="FJI36" s="61"/>
      <c r="FJJ36" s="1"/>
      <c r="FJK36" s="209"/>
      <c r="FJL36" s="1"/>
      <c r="FJM36" s="61"/>
      <c r="FJN36" s="1"/>
      <c r="FJO36" s="209"/>
      <c r="FJP36" s="1"/>
      <c r="FJQ36" s="61"/>
      <c r="FJR36" s="1"/>
      <c r="FJS36" s="209"/>
      <c r="FJT36" s="1"/>
      <c r="FJU36" s="61"/>
      <c r="FJV36" s="1"/>
      <c r="FJW36" s="209"/>
      <c r="FJX36" s="1"/>
      <c r="FJY36" s="61"/>
      <c r="FJZ36" s="1"/>
      <c r="FKA36" s="209"/>
      <c r="FKB36" s="1"/>
      <c r="FKC36" s="61"/>
      <c r="FKD36" s="1"/>
      <c r="FKE36" s="209"/>
      <c r="FKF36" s="1"/>
      <c r="FKG36" s="61"/>
      <c r="FKH36" s="1"/>
      <c r="FKI36" s="209"/>
      <c r="FKJ36" s="1"/>
      <c r="FKK36" s="61"/>
      <c r="FKL36" s="1"/>
      <c r="FKM36" s="209"/>
      <c r="FKN36" s="1"/>
      <c r="FKO36" s="61"/>
      <c r="FKP36" s="1"/>
      <c r="FKQ36" s="209"/>
      <c r="FKR36" s="1"/>
      <c r="FKS36" s="61"/>
      <c r="FKT36" s="1"/>
      <c r="FKU36" s="209"/>
      <c r="FKV36" s="1"/>
      <c r="FKW36" s="61"/>
      <c r="FKX36" s="1"/>
      <c r="FKY36" s="209"/>
      <c r="FKZ36" s="1"/>
      <c r="FLA36" s="61"/>
      <c r="FLB36" s="1"/>
      <c r="FLC36" s="209"/>
      <c r="FLD36" s="1"/>
      <c r="FLE36" s="61"/>
      <c r="FLF36" s="1"/>
      <c r="FLG36" s="209"/>
      <c r="FLH36" s="1"/>
      <c r="FLI36" s="61"/>
      <c r="FLJ36" s="1"/>
      <c r="FLK36" s="209"/>
      <c r="FLL36" s="1"/>
      <c r="FLM36" s="61"/>
      <c r="FLN36" s="1"/>
      <c r="FLO36" s="209"/>
      <c r="FLP36" s="1"/>
      <c r="FLQ36" s="61"/>
      <c r="FLR36" s="1"/>
      <c r="FLS36" s="209"/>
      <c r="FLT36" s="1"/>
      <c r="FLU36" s="61"/>
      <c r="FLV36" s="1"/>
      <c r="FLW36" s="209"/>
      <c r="FLX36" s="1"/>
      <c r="FLY36" s="61"/>
      <c r="FLZ36" s="1"/>
      <c r="FMA36" s="209"/>
      <c r="FMB36" s="1"/>
      <c r="FMC36" s="61"/>
      <c r="FMD36" s="1"/>
      <c r="FME36" s="209"/>
      <c r="FMF36" s="1"/>
      <c r="FMG36" s="61"/>
      <c r="FMH36" s="1"/>
      <c r="FMI36" s="209"/>
      <c r="FMJ36" s="1"/>
      <c r="FMK36" s="61"/>
      <c r="FML36" s="1"/>
      <c r="FMM36" s="209"/>
      <c r="FMN36" s="1"/>
      <c r="FMO36" s="61"/>
      <c r="FMP36" s="1"/>
      <c r="FMQ36" s="209"/>
      <c r="FMR36" s="1"/>
      <c r="FMS36" s="61"/>
      <c r="FMT36" s="1"/>
      <c r="FMU36" s="209"/>
      <c r="FMV36" s="1"/>
      <c r="FMW36" s="61"/>
      <c r="FMX36" s="1"/>
      <c r="FMY36" s="209"/>
      <c r="FMZ36" s="1"/>
      <c r="FNA36" s="61"/>
      <c r="FNB36" s="1"/>
      <c r="FNC36" s="209"/>
      <c r="FND36" s="1"/>
      <c r="FNE36" s="61"/>
      <c r="FNF36" s="1"/>
      <c r="FNG36" s="209"/>
      <c r="FNH36" s="1"/>
      <c r="FNI36" s="61"/>
      <c r="FNJ36" s="1"/>
      <c r="FNK36" s="209"/>
      <c r="FNL36" s="1"/>
      <c r="FNM36" s="61"/>
      <c r="FNN36" s="1"/>
      <c r="FNO36" s="209"/>
      <c r="FNP36" s="1"/>
      <c r="FNQ36" s="61"/>
      <c r="FNR36" s="1"/>
      <c r="FNS36" s="209"/>
      <c r="FNT36" s="1"/>
      <c r="FNU36" s="61"/>
      <c r="FNV36" s="1"/>
      <c r="FNW36" s="209"/>
      <c r="FNX36" s="1"/>
      <c r="FNY36" s="61"/>
      <c r="FNZ36" s="1"/>
      <c r="FOA36" s="209"/>
      <c r="FOB36" s="1"/>
      <c r="FOC36" s="61"/>
      <c r="FOD36" s="1"/>
      <c r="FOE36" s="209"/>
      <c r="FOF36" s="1"/>
      <c r="FOG36" s="61"/>
      <c r="FOH36" s="1"/>
      <c r="FOI36" s="209"/>
      <c r="FOJ36" s="1"/>
      <c r="FOK36" s="61"/>
      <c r="FOL36" s="1"/>
      <c r="FOM36" s="209"/>
      <c r="FON36" s="1"/>
      <c r="FOO36" s="61"/>
      <c r="FOP36" s="1"/>
      <c r="FOQ36" s="209"/>
      <c r="FOR36" s="1"/>
      <c r="FOS36" s="61"/>
      <c r="FOT36" s="1"/>
      <c r="FOU36" s="209"/>
      <c r="FOV36" s="1"/>
      <c r="FOW36" s="61"/>
      <c r="FOX36" s="1"/>
      <c r="FOY36" s="209"/>
      <c r="FOZ36" s="1"/>
      <c r="FPA36" s="61"/>
      <c r="FPB36" s="1"/>
      <c r="FPC36" s="209"/>
      <c r="FPD36" s="1"/>
      <c r="FPE36" s="61"/>
      <c r="FPF36" s="1"/>
      <c r="FPG36" s="209"/>
      <c r="FPH36" s="1"/>
      <c r="FPI36" s="61"/>
      <c r="FPJ36" s="1"/>
      <c r="FPK36" s="209"/>
      <c r="FPL36" s="1"/>
      <c r="FPM36" s="61"/>
      <c r="FPN36" s="1"/>
      <c r="FPO36" s="209"/>
      <c r="FPP36" s="1"/>
      <c r="FPQ36" s="61"/>
      <c r="FPR36" s="1"/>
      <c r="FPS36" s="209"/>
      <c r="FPT36" s="1"/>
      <c r="FPU36" s="61"/>
      <c r="FPV36" s="1"/>
      <c r="FPW36" s="209"/>
      <c r="FPX36" s="1"/>
      <c r="FPY36" s="61"/>
      <c r="FPZ36" s="1"/>
      <c r="FQA36" s="209"/>
      <c r="FQB36" s="1"/>
      <c r="FQC36" s="61"/>
      <c r="FQD36" s="1"/>
      <c r="FQE36" s="209"/>
      <c r="FQF36" s="1"/>
      <c r="FQG36" s="61"/>
      <c r="FQH36" s="1"/>
      <c r="FQI36" s="209"/>
      <c r="FQJ36" s="1"/>
      <c r="FQK36" s="61"/>
      <c r="FQL36" s="1"/>
      <c r="FQM36" s="209"/>
      <c r="FQN36" s="1"/>
      <c r="FQO36" s="61"/>
      <c r="FQP36" s="1"/>
      <c r="FQQ36" s="209"/>
      <c r="FQR36" s="1"/>
      <c r="FQS36" s="61"/>
      <c r="FQT36" s="1"/>
      <c r="FQU36" s="209"/>
      <c r="FQV36" s="1"/>
      <c r="FQW36" s="61"/>
      <c r="FQX36" s="1"/>
      <c r="FQY36" s="209"/>
      <c r="FQZ36" s="1"/>
      <c r="FRA36" s="61"/>
      <c r="FRB36" s="1"/>
      <c r="FRC36" s="209"/>
      <c r="FRD36" s="1"/>
      <c r="FRE36" s="61"/>
      <c r="FRF36" s="1"/>
      <c r="FRG36" s="209"/>
      <c r="FRH36" s="1"/>
      <c r="FRI36" s="61"/>
      <c r="FRJ36" s="1"/>
      <c r="FRK36" s="209"/>
      <c r="FRL36" s="1"/>
      <c r="FRM36" s="61"/>
      <c r="FRN36" s="1"/>
      <c r="FRO36" s="209"/>
      <c r="FRP36" s="1"/>
      <c r="FRQ36" s="61"/>
      <c r="FRR36" s="1"/>
      <c r="FRS36" s="209"/>
      <c r="FRT36" s="1"/>
      <c r="FRU36" s="61"/>
      <c r="FRV36" s="1"/>
      <c r="FRW36" s="209"/>
      <c r="FRX36" s="1"/>
      <c r="FRY36" s="61"/>
      <c r="FRZ36" s="1"/>
      <c r="FSA36" s="209"/>
      <c r="FSB36" s="1"/>
      <c r="FSC36" s="61"/>
      <c r="FSD36" s="1"/>
      <c r="FSE36" s="209"/>
      <c r="FSF36" s="1"/>
      <c r="FSG36" s="61"/>
      <c r="FSH36" s="1"/>
      <c r="FSI36" s="209"/>
      <c r="FSJ36" s="1"/>
      <c r="FSK36" s="61"/>
      <c r="FSL36" s="1"/>
      <c r="FSM36" s="209"/>
      <c r="FSN36" s="1"/>
      <c r="FSO36" s="61"/>
      <c r="FSP36" s="1"/>
      <c r="FSQ36" s="209"/>
      <c r="FSR36" s="1"/>
      <c r="FSS36" s="61"/>
      <c r="FST36" s="1"/>
      <c r="FSU36" s="209"/>
      <c r="FSV36" s="1"/>
      <c r="FSW36" s="61"/>
      <c r="FSX36" s="1"/>
      <c r="FSY36" s="209"/>
      <c r="FSZ36" s="1"/>
      <c r="FTA36" s="61"/>
      <c r="FTB36" s="1"/>
      <c r="FTC36" s="209"/>
      <c r="FTD36" s="1"/>
      <c r="FTE36" s="61"/>
      <c r="FTF36" s="1"/>
      <c r="FTG36" s="209"/>
      <c r="FTH36" s="1"/>
      <c r="FTI36" s="61"/>
      <c r="FTJ36" s="1"/>
      <c r="FTK36" s="209"/>
      <c r="FTL36" s="1"/>
      <c r="FTM36" s="61"/>
      <c r="FTN36" s="1"/>
      <c r="FTO36" s="209"/>
      <c r="FTP36" s="1"/>
      <c r="FTQ36" s="61"/>
      <c r="FTR36" s="1"/>
      <c r="FTS36" s="209"/>
      <c r="FTT36" s="1"/>
      <c r="FTU36" s="61"/>
      <c r="FTV36" s="1"/>
      <c r="FTW36" s="209"/>
      <c r="FTX36" s="1"/>
      <c r="FTY36" s="61"/>
      <c r="FTZ36" s="1"/>
      <c r="FUA36" s="209"/>
      <c r="FUB36" s="1"/>
      <c r="FUC36" s="61"/>
      <c r="FUD36" s="1"/>
      <c r="FUE36" s="209"/>
      <c r="FUF36" s="1"/>
      <c r="FUG36" s="61"/>
      <c r="FUH36" s="1"/>
      <c r="FUI36" s="209"/>
      <c r="FUJ36" s="1"/>
      <c r="FUK36" s="61"/>
      <c r="FUL36" s="1"/>
      <c r="FUM36" s="209"/>
      <c r="FUN36" s="1"/>
      <c r="FUO36" s="61"/>
      <c r="FUP36" s="1"/>
      <c r="FUQ36" s="209"/>
      <c r="FUR36" s="1"/>
      <c r="FUS36" s="61"/>
      <c r="FUT36" s="1"/>
      <c r="FUU36" s="209"/>
      <c r="FUV36" s="1"/>
      <c r="FUW36" s="61"/>
      <c r="FUX36" s="1"/>
      <c r="FUY36" s="209"/>
      <c r="FUZ36" s="1"/>
      <c r="FVA36" s="61"/>
      <c r="FVB36" s="1"/>
      <c r="FVC36" s="209"/>
      <c r="FVD36" s="1"/>
      <c r="FVE36" s="61"/>
      <c r="FVF36" s="1"/>
      <c r="FVG36" s="209"/>
      <c r="FVH36" s="1"/>
      <c r="FVI36" s="61"/>
      <c r="FVJ36" s="1"/>
      <c r="FVK36" s="209"/>
      <c r="FVL36" s="1"/>
      <c r="FVM36" s="61"/>
      <c r="FVN36" s="1"/>
      <c r="FVO36" s="209"/>
      <c r="FVP36" s="1"/>
      <c r="FVQ36" s="61"/>
      <c r="FVR36" s="1"/>
      <c r="FVS36" s="209"/>
      <c r="FVT36" s="1"/>
      <c r="FVU36" s="61"/>
      <c r="FVV36" s="1"/>
      <c r="FVW36" s="209"/>
      <c r="FVX36" s="1"/>
      <c r="FVY36" s="61"/>
      <c r="FVZ36" s="1"/>
      <c r="FWA36" s="209"/>
      <c r="FWB36" s="1"/>
      <c r="FWC36" s="61"/>
      <c r="FWD36" s="1"/>
      <c r="FWE36" s="209"/>
      <c r="FWF36" s="1"/>
      <c r="FWG36" s="61"/>
      <c r="FWH36" s="1"/>
      <c r="FWI36" s="209"/>
      <c r="FWJ36" s="1"/>
      <c r="FWK36" s="61"/>
      <c r="FWL36" s="1"/>
      <c r="FWM36" s="209"/>
      <c r="FWN36" s="1"/>
      <c r="FWO36" s="61"/>
      <c r="FWP36" s="1"/>
      <c r="FWQ36" s="209"/>
      <c r="FWR36" s="1"/>
      <c r="FWS36" s="61"/>
      <c r="FWT36" s="1"/>
      <c r="FWU36" s="209"/>
      <c r="FWV36" s="1"/>
      <c r="FWW36" s="61"/>
      <c r="FWX36" s="1"/>
      <c r="FWY36" s="209"/>
      <c r="FWZ36" s="1"/>
      <c r="FXA36" s="61"/>
      <c r="FXB36" s="1"/>
      <c r="FXC36" s="209"/>
      <c r="FXD36" s="1"/>
      <c r="FXE36" s="61"/>
      <c r="FXF36" s="1"/>
      <c r="FXG36" s="209"/>
      <c r="FXH36" s="1"/>
      <c r="FXI36" s="61"/>
      <c r="FXJ36" s="1"/>
      <c r="FXK36" s="209"/>
      <c r="FXL36" s="1"/>
      <c r="FXM36" s="61"/>
      <c r="FXN36" s="1"/>
      <c r="FXO36" s="209"/>
      <c r="FXP36" s="1"/>
      <c r="FXQ36" s="61"/>
      <c r="FXR36" s="1"/>
      <c r="FXS36" s="209"/>
      <c r="FXT36" s="1"/>
      <c r="FXU36" s="61"/>
      <c r="FXV36" s="1"/>
      <c r="FXW36" s="209"/>
      <c r="FXX36" s="1"/>
      <c r="FXY36" s="61"/>
      <c r="FXZ36" s="1"/>
      <c r="FYA36" s="209"/>
      <c r="FYB36" s="1"/>
      <c r="FYC36" s="61"/>
      <c r="FYD36" s="1"/>
      <c r="FYE36" s="209"/>
      <c r="FYF36" s="1"/>
      <c r="FYG36" s="61"/>
      <c r="FYH36" s="1"/>
      <c r="FYI36" s="209"/>
      <c r="FYJ36" s="1"/>
      <c r="FYK36" s="61"/>
      <c r="FYL36" s="1"/>
      <c r="FYM36" s="209"/>
      <c r="FYN36" s="1"/>
      <c r="FYO36" s="61"/>
      <c r="FYP36" s="1"/>
      <c r="FYQ36" s="209"/>
      <c r="FYR36" s="1"/>
      <c r="FYS36" s="61"/>
      <c r="FYT36" s="1"/>
      <c r="FYU36" s="209"/>
      <c r="FYV36" s="1"/>
      <c r="FYW36" s="61"/>
      <c r="FYX36" s="1"/>
      <c r="FYY36" s="209"/>
      <c r="FYZ36" s="1"/>
      <c r="FZA36" s="61"/>
      <c r="FZB36" s="1"/>
      <c r="FZC36" s="209"/>
      <c r="FZD36" s="1"/>
      <c r="FZE36" s="61"/>
      <c r="FZF36" s="1"/>
      <c r="FZG36" s="209"/>
      <c r="FZH36" s="1"/>
      <c r="FZI36" s="61"/>
      <c r="FZJ36" s="1"/>
      <c r="FZK36" s="209"/>
      <c r="FZL36" s="1"/>
      <c r="FZM36" s="61"/>
      <c r="FZN36" s="1"/>
      <c r="FZO36" s="209"/>
      <c r="FZP36" s="1"/>
      <c r="FZQ36" s="61"/>
      <c r="FZR36" s="1"/>
      <c r="FZS36" s="209"/>
      <c r="FZT36" s="1"/>
      <c r="FZU36" s="61"/>
      <c r="FZV36" s="1"/>
      <c r="FZW36" s="209"/>
      <c r="FZX36" s="1"/>
      <c r="FZY36" s="61"/>
      <c r="FZZ36" s="1"/>
      <c r="GAA36" s="209"/>
      <c r="GAB36" s="1"/>
      <c r="GAC36" s="61"/>
      <c r="GAD36" s="1"/>
      <c r="GAE36" s="209"/>
      <c r="GAF36" s="1"/>
      <c r="GAG36" s="61"/>
      <c r="GAH36" s="1"/>
      <c r="GAI36" s="209"/>
      <c r="GAJ36" s="1"/>
      <c r="GAK36" s="61"/>
      <c r="GAL36" s="1"/>
      <c r="GAM36" s="209"/>
      <c r="GAN36" s="1"/>
      <c r="GAO36" s="61"/>
      <c r="GAP36" s="1"/>
      <c r="GAQ36" s="209"/>
      <c r="GAR36" s="1"/>
      <c r="GAS36" s="61"/>
      <c r="GAT36" s="1"/>
      <c r="GAU36" s="209"/>
      <c r="GAV36" s="1"/>
      <c r="GAW36" s="61"/>
      <c r="GAX36" s="1"/>
      <c r="GAY36" s="209"/>
      <c r="GAZ36" s="1"/>
      <c r="GBA36" s="61"/>
      <c r="GBB36" s="1"/>
      <c r="GBC36" s="209"/>
      <c r="GBD36" s="1"/>
      <c r="GBE36" s="61"/>
      <c r="GBF36" s="1"/>
      <c r="GBG36" s="209"/>
      <c r="GBH36" s="1"/>
      <c r="GBI36" s="61"/>
      <c r="GBJ36" s="1"/>
      <c r="GBK36" s="209"/>
      <c r="GBL36" s="1"/>
      <c r="GBM36" s="61"/>
      <c r="GBN36" s="1"/>
      <c r="GBO36" s="209"/>
      <c r="GBP36" s="1"/>
      <c r="GBQ36" s="61"/>
      <c r="GBR36" s="1"/>
      <c r="GBS36" s="209"/>
      <c r="GBT36" s="1"/>
      <c r="GBU36" s="61"/>
      <c r="GBV36" s="1"/>
      <c r="GBW36" s="209"/>
      <c r="GBX36" s="1"/>
      <c r="GBY36" s="61"/>
      <c r="GBZ36" s="1"/>
      <c r="GCA36" s="209"/>
      <c r="GCB36" s="1"/>
      <c r="GCC36" s="61"/>
      <c r="GCD36" s="1"/>
      <c r="GCE36" s="209"/>
      <c r="GCF36" s="1"/>
      <c r="GCG36" s="61"/>
      <c r="GCH36" s="1"/>
      <c r="GCI36" s="209"/>
      <c r="GCJ36" s="1"/>
      <c r="GCK36" s="61"/>
      <c r="GCL36" s="1"/>
      <c r="GCM36" s="209"/>
      <c r="GCN36" s="1"/>
      <c r="GCO36" s="61"/>
      <c r="GCP36" s="1"/>
      <c r="GCQ36" s="209"/>
      <c r="GCR36" s="1"/>
      <c r="GCS36" s="61"/>
      <c r="GCT36" s="1"/>
      <c r="GCU36" s="209"/>
      <c r="GCV36" s="1"/>
      <c r="GCW36" s="61"/>
      <c r="GCX36" s="1"/>
      <c r="GCY36" s="209"/>
      <c r="GCZ36" s="1"/>
      <c r="GDA36" s="61"/>
      <c r="GDB36" s="1"/>
      <c r="GDC36" s="209"/>
      <c r="GDD36" s="1"/>
      <c r="GDE36" s="61"/>
      <c r="GDF36" s="1"/>
      <c r="GDG36" s="209"/>
      <c r="GDH36" s="1"/>
      <c r="GDI36" s="61"/>
      <c r="GDJ36" s="1"/>
      <c r="GDK36" s="209"/>
      <c r="GDL36" s="1"/>
      <c r="GDM36" s="61"/>
      <c r="GDN36" s="1"/>
      <c r="GDO36" s="209"/>
      <c r="GDP36" s="1"/>
      <c r="GDQ36" s="61"/>
      <c r="GDR36" s="1"/>
      <c r="GDS36" s="209"/>
      <c r="GDT36" s="1"/>
      <c r="GDU36" s="61"/>
      <c r="GDV36" s="1"/>
      <c r="GDW36" s="209"/>
      <c r="GDX36" s="1"/>
      <c r="GDY36" s="61"/>
      <c r="GDZ36" s="1"/>
      <c r="GEA36" s="209"/>
      <c r="GEB36" s="1"/>
      <c r="GEC36" s="61"/>
      <c r="GED36" s="1"/>
      <c r="GEE36" s="209"/>
      <c r="GEF36" s="1"/>
      <c r="GEG36" s="61"/>
      <c r="GEH36" s="1"/>
      <c r="GEI36" s="209"/>
      <c r="GEJ36" s="1"/>
      <c r="GEK36" s="61"/>
      <c r="GEL36" s="1"/>
      <c r="GEM36" s="209"/>
      <c r="GEN36" s="1"/>
      <c r="GEO36" s="61"/>
      <c r="GEP36" s="1"/>
      <c r="GEQ36" s="209"/>
      <c r="GER36" s="1"/>
      <c r="GES36" s="61"/>
      <c r="GET36" s="1"/>
      <c r="GEU36" s="209"/>
      <c r="GEV36" s="1"/>
      <c r="GEW36" s="61"/>
      <c r="GEX36" s="1"/>
      <c r="GEY36" s="209"/>
      <c r="GEZ36" s="1"/>
      <c r="GFA36" s="61"/>
      <c r="GFB36" s="1"/>
      <c r="GFC36" s="209"/>
      <c r="GFD36" s="1"/>
      <c r="GFE36" s="61"/>
      <c r="GFF36" s="1"/>
      <c r="GFG36" s="209"/>
      <c r="GFH36" s="1"/>
      <c r="GFI36" s="61"/>
      <c r="GFJ36" s="1"/>
      <c r="GFK36" s="209"/>
      <c r="GFL36" s="1"/>
      <c r="GFM36" s="61"/>
      <c r="GFN36" s="1"/>
      <c r="GFO36" s="209"/>
      <c r="GFP36" s="1"/>
      <c r="GFQ36" s="61"/>
      <c r="GFR36" s="1"/>
      <c r="GFS36" s="209"/>
      <c r="GFT36" s="1"/>
      <c r="GFU36" s="61"/>
      <c r="GFV36" s="1"/>
      <c r="GFW36" s="209"/>
      <c r="GFX36" s="1"/>
      <c r="GFY36" s="61"/>
      <c r="GFZ36" s="1"/>
      <c r="GGA36" s="209"/>
      <c r="GGB36" s="1"/>
      <c r="GGC36" s="61"/>
      <c r="GGD36" s="1"/>
      <c r="GGE36" s="209"/>
      <c r="GGF36" s="1"/>
      <c r="GGG36" s="61"/>
      <c r="GGH36" s="1"/>
      <c r="GGI36" s="209"/>
      <c r="GGJ36" s="1"/>
      <c r="GGK36" s="61"/>
      <c r="GGL36" s="1"/>
      <c r="GGM36" s="209"/>
      <c r="GGN36" s="1"/>
      <c r="GGO36" s="61"/>
      <c r="GGP36" s="1"/>
      <c r="GGQ36" s="209"/>
      <c r="GGR36" s="1"/>
      <c r="GGS36" s="61"/>
      <c r="GGT36" s="1"/>
      <c r="GGU36" s="209"/>
      <c r="GGV36" s="1"/>
      <c r="GGW36" s="61"/>
      <c r="GGX36" s="1"/>
      <c r="GGY36" s="209"/>
      <c r="GGZ36" s="1"/>
      <c r="GHA36" s="61"/>
      <c r="GHB36" s="1"/>
      <c r="GHC36" s="209"/>
      <c r="GHD36" s="1"/>
      <c r="GHE36" s="61"/>
      <c r="GHF36" s="1"/>
      <c r="GHG36" s="209"/>
      <c r="GHH36" s="1"/>
      <c r="GHI36" s="61"/>
      <c r="GHJ36" s="1"/>
      <c r="GHK36" s="209"/>
      <c r="GHL36" s="1"/>
      <c r="GHM36" s="61"/>
      <c r="GHN36" s="1"/>
      <c r="GHO36" s="209"/>
      <c r="GHP36" s="1"/>
      <c r="GHQ36" s="61"/>
      <c r="GHR36" s="1"/>
      <c r="GHS36" s="209"/>
      <c r="GHT36" s="1"/>
      <c r="GHU36" s="61"/>
      <c r="GHV36" s="1"/>
      <c r="GHW36" s="209"/>
      <c r="GHX36" s="1"/>
      <c r="GHY36" s="61"/>
      <c r="GHZ36" s="1"/>
      <c r="GIA36" s="209"/>
      <c r="GIB36" s="1"/>
      <c r="GIC36" s="61"/>
      <c r="GID36" s="1"/>
      <c r="GIE36" s="209"/>
      <c r="GIF36" s="1"/>
      <c r="GIG36" s="61"/>
      <c r="GIH36" s="1"/>
      <c r="GII36" s="209"/>
      <c r="GIJ36" s="1"/>
      <c r="GIK36" s="61"/>
      <c r="GIL36" s="1"/>
      <c r="GIM36" s="209"/>
      <c r="GIN36" s="1"/>
      <c r="GIO36" s="61"/>
      <c r="GIP36" s="1"/>
      <c r="GIQ36" s="209"/>
      <c r="GIR36" s="1"/>
      <c r="GIS36" s="61"/>
      <c r="GIT36" s="1"/>
      <c r="GIU36" s="209"/>
      <c r="GIV36" s="1"/>
      <c r="GIW36" s="61"/>
      <c r="GIX36" s="1"/>
      <c r="GIY36" s="209"/>
      <c r="GIZ36" s="1"/>
      <c r="GJA36" s="61"/>
      <c r="GJB36" s="1"/>
      <c r="GJC36" s="209"/>
      <c r="GJD36" s="1"/>
      <c r="GJE36" s="61"/>
      <c r="GJF36" s="1"/>
      <c r="GJG36" s="209"/>
      <c r="GJH36" s="1"/>
      <c r="GJI36" s="61"/>
      <c r="GJJ36" s="1"/>
      <c r="GJK36" s="209"/>
      <c r="GJL36" s="1"/>
      <c r="GJM36" s="61"/>
      <c r="GJN36" s="1"/>
      <c r="GJO36" s="209"/>
      <c r="GJP36" s="1"/>
      <c r="GJQ36" s="61"/>
      <c r="GJR36" s="1"/>
      <c r="GJS36" s="209"/>
      <c r="GJT36" s="1"/>
      <c r="GJU36" s="61"/>
      <c r="GJV36" s="1"/>
      <c r="GJW36" s="209"/>
      <c r="GJX36" s="1"/>
      <c r="GJY36" s="61"/>
      <c r="GJZ36" s="1"/>
      <c r="GKA36" s="209"/>
      <c r="GKB36" s="1"/>
      <c r="GKC36" s="61"/>
      <c r="GKD36" s="1"/>
      <c r="GKE36" s="209"/>
      <c r="GKF36" s="1"/>
      <c r="GKG36" s="61"/>
      <c r="GKH36" s="1"/>
      <c r="GKI36" s="209"/>
      <c r="GKJ36" s="1"/>
      <c r="GKK36" s="61"/>
      <c r="GKL36" s="1"/>
      <c r="GKM36" s="209"/>
      <c r="GKN36" s="1"/>
      <c r="GKO36" s="61"/>
      <c r="GKP36" s="1"/>
      <c r="GKQ36" s="209"/>
      <c r="GKR36" s="1"/>
      <c r="GKS36" s="61"/>
      <c r="GKT36" s="1"/>
      <c r="GKU36" s="209"/>
      <c r="GKV36" s="1"/>
      <c r="GKW36" s="61"/>
      <c r="GKX36" s="1"/>
      <c r="GKY36" s="209"/>
      <c r="GKZ36" s="1"/>
      <c r="GLA36" s="61"/>
      <c r="GLB36" s="1"/>
      <c r="GLC36" s="209"/>
      <c r="GLD36" s="1"/>
      <c r="GLE36" s="61"/>
      <c r="GLF36" s="1"/>
      <c r="GLG36" s="209"/>
      <c r="GLH36" s="1"/>
      <c r="GLI36" s="61"/>
      <c r="GLJ36" s="1"/>
      <c r="GLK36" s="209"/>
      <c r="GLL36" s="1"/>
      <c r="GLM36" s="61"/>
      <c r="GLN36" s="1"/>
      <c r="GLO36" s="209"/>
      <c r="GLP36" s="1"/>
      <c r="GLQ36" s="61"/>
      <c r="GLR36" s="1"/>
      <c r="GLS36" s="209"/>
      <c r="GLT36" s="1"/>
      <c r="GLU36" s="61"/>
      <c r="GLV36" s="1"/>
      <c r="GLW36" s="209"/>
      <c r="GLX36" s="1"/>
      <c r="GLY36" s="61"/>
      <c r="GLZ36" s="1"/>
      <c r="GMA36" s="209"/>
      <c r="GMB36" s="1"/>
      <c r="GMC36" s="61"/>
      <c r="GMD36" s="1"/>
      <c r="GME36" s="209"/>
      <c r="GMF36" s="1"/>
      <c r="GMG36" s="61"/>
      <c r="GMH36" s="1"/>
      <c r="GMI36" s="209"/>
      <c r="GMJ36" s="1"/>
      <c r="GMK36" s="61"/>
      <c r="GML36" s="1"/>
      <c r="GMM36" s="209"/>
      <c r="GMN36" s="1"/>
      <c r="GMO36" s="61"/>
      <c r="GMP36" s="1"/>
      <c r="GMQ36" s="209"/>
      <c r="GMR36" s="1"/>
      <c r="GMS36" s="61"/>
      <c r="GMT36" s="1"/>
      <c r="GMU36" s="209"/>
      <c r="GMV36" s="1"/>
      <c r="GMW36" s="61"/>
      <c r="GMX36" s="1"/>
      <c r="GMY36" s="209"/>
      <c r="GMZ36" s="1"/>
      <c r="GNA36" s="61"/>
      <c r="GNB36" s="1"/>
      <c r="GNC36" s="209"/>
      <c r="GND36" s="1"/>
      <c r="GNE36" s="61"/>
      <c r="GNF36" s="1"/>
      <c r="GNG36" s="209"/>
      <c r="GNH36" s="1"/>
      <c r="GNI36" s="61"/>
      <c r="GNJ36" s="1"/>
      <c r="GNK36" s="209"/>
      <c r="GNL36" s="1"/>
      <c r="GNM36" s="61"/>
      <c r="GNN36" s="1"/>
      <c r="GNO36" s="209"/>
      <c r="GNP36" s="1"/>
      <c r="GNQ36" s="61"/>
      <c r="GNR36" s="1"/>
      <c r="GNS36" s="209"/>
      <c r="GNT36" s="1"/>
      <c r="GNU36" s="61"/>
      <c r="GNV36" s="1"/>
      <c r="GNW36" s="209"/>
      <c r="GNX36" s="1"/>
      <c r="GNY36" s="61"/>
      <c r="GNZ36" s="1"/>
      <c r="GOA36" s="209"/>
      <c r="GOB36" s="1"/>
      <c r="GOC36" s="61"/>
      <c r="GOD36" s="1"/>
      <c r="GOE36" s="209"/>
      <c r="GOF36" s="1"/>
      <c r="GOG36" s="61"/>
      <c r="GOH36" s="1"/>
      <c r="GOI36" s="209"/>
      <c r="GOJ36" s="1"/>
      <c r="GOK36" s="61"/>
      <c r="GOL36" s="1"/>
      <c r="GOM36" s="209"/>
      <c r="GON36" s="1"/>
      <c r="GOO36" s="61"/>
      <c r="GOP36" s="1"/>
      <c r="GOQ36" s="209"/>
      <c r="GOR36" s="1"/>
      <c r="GOS36" s="61"/>
      <c r="GOT36" s="1"/>
      <c r="GOU36" s="209"/>
      <c r="GOV36" s="1"/>
      <c r="GOW36" s="61"/>
      <c r="GOX36" s="1"/>
      <c r="GOY36" s="209"/>
      <c r="GOZ36" s="1"/>
      <c r="GPA36" s="61"/>
      <c r="GPB36" s="1"/>
      <c r="GPC36" s="209"/>
      <c r="GPD36" s="1"/>
      <c r="GPE36" s="61"/>
      <c r="GPF36" s="1"/>
      <c r="GPG36" s="209"/>
      <c r="GPH36" s="1"/>
      <c r="GPI36" s="61"/>
      <c r="GPJ36" s="1"/>
      <c r="GPK36" s="209"/>
      <c r="GPL36" s="1"/>
      <c r="GPM36" s="61"/>
      <c r="GPN36" s="1"/>
      <c r="GPO36" s="209"/>
      <c r="GPP36" s="1"/>
      <c r="GPQ36" s="61"/>
      <c r="GPR36" s="1"/>
      <c r="GPS36" s="209"/>
      <c r="GPT36" s="1"/>
      <c r="GPU36" s="61"/>
      <c r="GPV36" s="1"/>
      <c r="GPW36" s="209"/>
      <c r="GPX36" s="1"/>
      <c r="GPY36" s="61"/>
      <c r="GPZ36" s="1"/>
      <c r="GQA36" s="209"/>
      <c r="GQB36" s="1"/>
      <c r="GQC36" s="61"/>
      <c r="GQD36" s="1"/>
      <c r="GQE36" s="209"/>
      <c r="GQF36" s="1"/>
      <c r="GQG36" s="61"/>
      <c r="GQH36" s="1"/>
      <c r="GQI36" s="209"/>
      <c r="GQJ36" s="1"/>
      <c r="GQK36" s="61"/>
      <c r="GQL36" s="1"/>
      <c r="GQM36" s="209"/>
      <c r="GQN36" s="1"/>
      <c r="GQO36" s="61"/>
      <c r="GQP36" s="1"/>
      <c r="GQQ36" s="209"/>
      <c r="GQR36" s="1"/>
      <c r="GQS36" s="61"/>
      <c r="GQT36" s="1"/>
      <c r="GQU36" s="209"/>
      <c r="GQV36" s="1"/>
      <c r="GQW36" s="61"/>
      <c r="GQX36" s="1"/>
      <c r="GQY36" s="209"/>
      <c r="GQZ36" s="1"/>
      <c r="GRA36" s="61"/>
      <c r="GRB36" s="1"/>
      <c r="GRC36" s="209"/>
      <c r="GRD36" s="1"/>
      <c r="GRE36" s="61"/>
      <c r="GRF36" s="1"/>
      <c r="GRG36" s="209"/>
      <c r="GRH36" s="1"/>
      <c r="GRI36" s="61"/>
      <c r="GRJ36" s="1"/>
      <c r="GRK36" s="209"/>
      <c r="GRL36" s="1"/>
      <c r="GRM36" s="61"/>
      <c r="GRN36" s="1"/>
      <c r="GRO36" s="209"/>
      <c r="GRP36" s="1"/>
      <c r="GRQ36" s="61"/>
      <c r="GRR36" s="1"/>
      <c r="GRS36" s="209"/>
      <c r="GRT36" s="1"/>
      <c r="GRU36" s="61"/>
      <c r="GRV36" s="1"/>
      <c r="GRW36" s="209"/>
      <c r="GRX36" s="1"/>
      <c r="GRY36" s="61"/>
      <c r="GRZ36" s="1"/>
      <c r="GSA36" s="209"/>
      <c r="GSB36" s="1"/>
      <c r="GSC36" s="61"/>
      <c r="GSD36" s="1"/>
      <c r="GSE36" s="209"/>
      <c r="GSF36" s="1"/>
      <c r="GSG36" s="61"/>
      <c r="GSH36" s="1"/>
      <c r="GSI36" s="209"/>
      <c r="GSJ36" s="1"/>
      <c r="GSK36" s="61"/>
      <c r="GSL36" s="1"/>
      <c r="GSM36" s="209"/>
      <c r="GSN36" s="1"/>
      <c r="GSO36" s="61"/>
      <c r="GSP36" s="1"/>
      <c r="GSQ36" s="209"/>
      <c r="GSR36" s="1"/>
      <c r="GSS36" s="61"/>
      <c r="GST36" s="1"/>
      <c r="GSU36" s="209"/>
      <c r="GSV36" s="1"/>
      <c r="GSW36" s="61"/>
      <c r="GSX36" s="1"/>
      <c r="GSY36" s="209"/>
      <c r="GSZ36" s="1"/>
      <c r="GTA36" s="61"/>
      <c r="GTB36" s="1"/>
      <c r="GTC36" s="209"/>
      <c r="GTD36" s="1"/>
      <c r="GTE36" s="61"/>
      <c r="GTF36" s="1"/>
      <c r="GTG36" s="209"/>
      <c r="GTH36" s="1"/>
      <c r="GTI36" s="61"/>
      <c r="GTJ36" s="1"/>
      <c r="GTK36" s="209"/>
      <c r="GTL36" s="1"/>
      <c r="GTM36" s="61"/>
      <c r="GTN36" s="1"/>
      <c r="GTO36" s="209"/>
      <c r="GTP36" s="1"/>
      <c r="GTQ36" s="61"/>
      <c r="GTR36" s="1"/>
      <c r="GTS36" s="209"/>
      <c r="GTT36" s="1"/>
      <c r="GTU36" s="61"/>
      <c r="GTV36" s="1"/>
      <c r="GTW36" s="209"/>
      <c r="GTX36" s="1"/>
      <c r="GTY36" s="61"/>
      <c r="GTZ36" s="1"/>
      <c r="GUA36" s="209"/>
      <c r="GUB36" s="1"/>
      <c r="GUC36" s="61"/>
      <c r="GUD36" s="1"/>
      <c r="GUE36" s="209"/>
      <c r="GUF36" s="1"/>
      <c r="GUG36" s="61"/>
      <c r="GUH36" s="1"/>
      <c r="GUI36" s="209"/>
      <c r="GUJ36" s="1"/>
      <c r="GUK36" s="61"/>
      <c r="GUL36" s="1"/>
      <c r="GUM36" s="209"/>
      <c r="GUN36" s="1"/>
      <c r="GUO36" s="61"/>
      <c r="GUP36" s="1"/>
      <c r="GUQ36" s="209"/>
      <c r="GUR36" s="1"/>
      <c r="GUS36" s="61"/>
      <c r="GUT36" s="1"/>
      <c r="GUU36" s="209"/>
      <c r="GUV36" s="1"/>
      <c r="GUW36" s="61"/>
      <c r="GUX36" s="1"/>
      <c r="GUY36" s="209"/>
      <c r="GUZ36" s="1"/>
      <c r="GVA36" s="61"/>
      <c r="GVB36" s="1"/>
      <c r="GVC36" s="209"/>
      <c r="GVD36" s="1"/>
      <c r="GVE36" s="61"/>
      <c r="GVF36" s="1"/>
      <c r="GVG36" s="209"/>
      <c r="GVH36" s="1"/>
      <c r="GVI36" s="61"/>
      <c r="GVJ36" s="1"/>
      <c r="GVK36" s="209"/>
      <c r="GVL36" s="1"/>
      <c r="GVM36" s="61"/>
      <c r="GVN36" s="1"/>
      <c r="GVO36" s="209"/>
      <c r="GVP36" s="1"/>
      <c r="GVQ36" s="61"/>
      <c r="GVR36" s="1"/>
      <c r="GVS36" s="209"/>
      <c r="GVT36" s="1"/>
      <c r="GVU36" s="61"/>
      <c r="GVV36" s="1"/>
      <c r="GVW36" s="209"/>
      <c r="GVX36" s="1"/>
      <c r="GVY36" s="61"/>
      <c r="GVZ36" s="1"/>
      <c r="GWA36" s="209"/>
      <c r="GWB36" s="1"/>
      <c r="GWC36" s="61"/>
      <c r="GWD36" s="1"/>
      <c r="GWE36" s="209"/>
      <c r="GWF36" s="1"/>
      <c r="GWG36" s="61"/>
      <c r="GWH36" s="1"/>
      <c r="GWI36" s="209"/>
      <c r="GWJ36" s="1"/>
      <c r="GWK36" s="61"/>
      <c r="GWL36" s="1"/>
      <c r="GWM36" s="209"/>
      <c r="GWN36" s="1"/>
      <c r="GWO36" s="61"/>
      <c r="GWP36" s="1"/>
      <c r="GWQ36" s="209"/>
      <c r="GWR36" s="1"/>
      <c r="GWS36" s="61"/>
      <c r="GWT36" s="1"/>
      <c r="GWU36" s="209"/>
      <c r="GWV36" s="1"/>
      <c r="GWW36" s="61"/>
      <c r="GWX36" s="1"/>
      <c r="GWY36" s="209"/>
      <c r="GWZ36" s="1"/>
      <c r="GXA36" s="61"/>
      <c r="GXB36" s="1"/>
      <c r="GXC36" s="209"/>
      <c r="GXD36" s="1"/>
      <c r="GXE36" s="61"/>
      <c r="GXF36" s="1"/>
      <c r="GXG36" s="209"/>
      <c r="GXH36" s="1"/>
      <c r="GXI36" s="61"/>
      <c r="GXJ36" s="1"/>
      <c r="GXK36" s="209"/>
      <c r="GXL36" s="1"/>
      <c r="GXM36" s="61"/>
      <c r="GXN36" s="1"/>
      <c r="GXO36" s="209"/>
      <c r="GXP36" s="1"/>
      <c r="GXQ36" s="61"/>
      <c r="GXR36" s="1"/>
      <c r="GXS36" s="209"/>
      <c r="GXT36" s="1"/>
      <c r="GXU36" s="61"/>
      <c r="GXV36" s="1"/>
      <c r="GXW36" s="209"/>
      <c r="GXX36" s="1"/>
      <c r="GXY36" s="61"/>
      <c r="GXZ36" s="1"/>
      <c r="GYA36" s="209"/>
      <c r="GYB36" s="1"/>
      <c r="GYC36" s="61"/>
      <c r="GYD36" s="1"/>
      <c r="GYE36" s="209"/>
      <c r="GYF36" s="1"/>
      <c r="GYG36" s="61"/>
      <c r="GYH36" s="1"/>
      <c r="GYI36" s="209"/>
      <c r="GYJ36" s="1"/>
      <c r="GYK36" s="61"/>
      <c r="GYL36" s="1"/>
      <c r="GYM36" s="209"/>
      <c r="GYN36" s="1"/>
      <c r="GYO36" s="61"/>
      <c r="GYP36" s="1"/>
      <c r="GYQ36" s="209"/>
      <c r="GYR36" s="1"/>
      <c r="GYS36" s="61"/>
      <c r="GYT36" s="1"/>
      <c r="GYU36" s="209"/>
      <c r="GYV36" s="1"/>
      <c r="GYW36" s="61"/>
      <c r="GYX36" s="1"/>
      <c r="GYY36" s="209"/>
      <c r="GYZ36" s="1"/>
      <c r="GZA36" s="61"/>
      <c r="GZB36" s="1"/>
      <c r="GZC36" s="209"/>
      <c r="GZD36" s="1"/>
      <c r="GZE36" s="61"/>
      <c r="GZF36" s="1"/>
      <c r="GZG36" s="209"/>
      <c r="GZH36" s="1"/>
      <c r="GZI36" s="61"/>
      <c r="GZJ36" s="1"/>
      <c r="GZK36" s="209"/>
      <c r="GZL36" s="1"/>
      <c r="GZM36" s="61"/>
      <c r="GZN36" s="1"/>
      <c r="GZO36" s="209"/>
      <c r="GZP36" s="1"/>
      <c r="GZQ36" s="61"/>
      <c r="GZR36" s="1"/>
      <c r="GZS36" s="209"/>
      <c r="GZT36" s="1"/>
      <c r="GZU36" s="61"/>
      <c r="GZV36" s="1"/>
      <c r="GZW36" s="209"/>
      <c r="GZX36" s="1"/>
      <c r="GZY36" s="61"/>
      <c r="GZZ36" s="1"/>
      <c r="HAA36" s="209"/>
      <c r="HAB36" s="1"/>
      <c r="HAC36" s="61"/>
      <c r="HAD36" s="1"/>
      <c r="HAE36" s="209"/>
      <c r="HAF36" s="1"/>
      <c r="HAG36" s="61"/>
      <c r="HAH36" s="1"/>
      <c r="HAI36" s="209"/>
      <c r="HAJ36" s="1"/>
      <c r="HAK36" s="61"/>
      <c r="HAL36" s="1"/>
      <c r="HAM36" s="209"/>
      <c r="HAN36" s="1"/>
      <c r="HAO36" s="61"/>
      <c r="HAP36" s="1"/>
      <c r="HAQ36" s="209"/>
      <c r="HAR36" s="1"/>
      <c r="HAS36" s="61"/>
      <c r="HAT36" s="1"/>
      <c r="HAU36" s="209"/>
      <c r="HAV36" s="1"/>
      <c r="HAW36" s="61"/>
      <c r="HAX36" s="1"/>
      <c r="HAY36" s="209"/>
      <c r="HAZ36" s="1"/>
      <c r="HBA36" s="61"/>
      <c r="HBB36" s="1"/>
      <c r="HBC36" s="209"/>
      <c r="HBD36" s="1"/>
      <c r="HBE36" s="61"/>
      <c r="HBF36" s="1"/>
      <c r="HBG36" s="209"/>
      <c r="HBH36" s="1"/>
      <c r="HBI36" s="61"/>
      <c r="HBJ36" s="1"/>
      <c r="HBK36" s="209"/>
      <c r="HBL36" s="1"/>
      <c r="HBM36" s="61"/>
      <c r="HBN36" s="1"/>
      <c r="HBO36" s="209"/>
      <c r="HBP36" s="1"/>
      <c r="HBQ36" s="61"/>
      <c r="HBR36" s="1"/>
      <c r="HBS36" s="209"/>
      <c r="HBT36" s="1"/>
      <c r="HBU36" s="61"/>
      <c r="HBV36" s="1"/>
      <c r="HBW36" s="209"/>
      <c r="HBX36" s="1"/>
      <c r="HBY36" s="61"/>
      <c r="HBZ36" s="1"/>
      <c r="HCA36" s="209"/>
      <c r="HCB36" s="1"/>
      <c r="HCC36" s="61"/>
      <c r="HCD36" s="1"/>
      <c r="HCE36" s="209"/>
      <c r="HCF36" s="1"/>
      <c r="HCG36" s="61"/>
      <c r="HCH36" s="1"/>
      <c r="HCI36" s="209"/>
      <c r="HCJ36" s="1"/>
      <c r="HCK36" s="61"/>
      <c r="HCL36" s="1"/>
      <c r="HCM36" s="209"/>
      <c r="HCN36" s="1"/>
      <c r="HCO36" s="61"/>
      <c r="HCP36" s="1"/>
      <c r="HCQ36" s="209"/>
      <c r="HCR36" s="1"/>
      <c r="HCS36" s="61"/>
      <c r="HCT36" s="1"/>
      <c r="HCU36" s="209"/>
      <c r="HCV36" s="1"/>
      <c r="HCW36" s="61"/>
      <c r="HCX36" s="1"/>
      <c r="HCY36" s="209"/>
      <c r="HCZ36" s="1"/>
      <c r="HDA36" s="61"/>
      <c r="HDB36" s="1"/>
      <c r="HDC36" s="209"/>
      <c r="HDD36" s="1"/>
      <c r="HDE36" s="61"/>
      <c r="HDF36" s="1"/>
      <c r="HDG36" s="209"/>
      <c r="HDH36" s="1"/>
      <c r="HDI36" s="61"/>
      <c r="HDJ36" s="1"/>
      <c r="HDK36" s="209"/>
      <c r="HDL36" s="1"/>
      <c r="HDM36" s="61"/>
      <c r="HDN36" s="1"/>
      <c r="HDO36" s="209"/>
      <c r="HDP36" s="1"/>
      <c r="HDQ36" s="61"/>
      <c r="HDR36" s="1"/>
      <c r="HDS36" s="209"/>
      <c r="HDT36" s="1"/>
      <c r="HDU36" s="61"/>
      <c r="HDV36" s="1"/>
      <c r="HDW36" s="209"/>
      <c r="HDX36" s="1"/>
      <c r="HDY36" s="61"/>
      <c r="HDZ36" s="1"/>
      <c r="HEA36" s="209"/>
      <c r="HEB36" s="1"/>
      <c r="HEC36" s="61"/>
      <c r="HED36" s="1"/>
      <c r="HEE36" s="209"/>
      <c r="HEF36" s="1"/>
      <c r="HEG36" s="61"/>
      <c r="HEH36" s="1"/>
      <c r="HEI36" s="209"/>
      <c r="HEJ36" s="1"/>
      <c r="HEK36" s="61"/>
      <c r="HEL36" s="1"/>
      <c r="HEM36" s="209"/>
      <c r="HEN36" s="1"/>
      <c r="HEO36" s="61"/>
      <c r="HEP36" s="1"/>
      <c r="HEQ36" s="209"/>
      <c r="HER36" s="1"/>
      <c r="HES36" s="61"/>
      <c r="HET36" s="1"/>
      <c r="HEU36" s="209"/>
      <c r="HEV36" s="1"/>
      <c r="HEW36" s="61"/>
      <c r="HEX36" s="1"/>
      <c r="HEY36" s="209"/>
      <c r="HEZ36" s="1"/>
      <c r="HFA36" s="61"/>
      <c r="HFB36" s="1"/>
      <c r="HFC36" s="209"/>
      <c r="HFD36" s="1"/>
      <c r="HFE36" s="61"/>
      <c r="HFF36" s="1"/>
      <c r="HFG36" s="209"/>
      <c r="HFH36" s="1"/>
      <c r="HFI36" s="61"/>
      <c r="HFJ36" s="1"/>
      <c r="HFK36" s="209"/>
      <c r="HFL36" s="1"/>
      <c r="HFM36" s="61"/>
      <c r="HFN36" s="1"/>
      <c r="HFO36" s="209"/>
      <c r="HFP36" s="1"/>
      <c r="HFQ36" s="61"/>
      <c r="HFR36" s="1"/>
      <c r="HFS36" s="209"/>
      <c r="HFT36" s="1"/>
      <c r="HFU36" s="61"/>
      <c r="HFV36" s="1"/>
      <c r="HFW36" s="209"/>
      <c r="HFX36" s="1"/>
      <c r="HFY36" s="61"/>
      <c r="HFZ36" s="1"/>
      <c r="HGA36" s="209"/>
      <c r="HGB36" s="1"/>
      <c r="HGC36" s="61"/>
      <c r="HGD36" s="1"/>
      <c r="HGE36" s="209"/>
      <c r="HGF36" s="1"/>
      <c r="HGG36" s="61"/>
      <c r="HGH36" s="1"/>
      <c r="HGI36" s="209"/>
      <c r="HGJ36" s="1"/>
      <c r="HGK36" s="61"/>
      <c r="HGL36" s="1"/>
      <c r="HGM36" s="209"/>
      <c r="HGN36" s="1"/>
      <c r="HGO36" s="61"/>
      <c r="HGP36" s="1"/>
      <c r="HGQ36" s="209"/>
      <c r="HGR36" s="1"/>
      <c r="HGS36" s="61"/>
      <c r="HGT36" s="1"/>
      <c r="HGU36" s="209"/>
      <c r="HGV36" s="1"/>
      <c r="HGW36" s="61"/>
      <c r="HGX36" s="1"/>
      <c r="HGY36" s="209"/>
      <c r="HGZ36" s="1"/>
      <c r="HHA36" s="61"/>
      <c r="HHB36" s="1"/>
      <c r="HHC36" s="209"/>
      <c r="HHD36" s="1"/>
      <c r="HHE36" s="61"/>
      <c r="HHF36" s="1"/>
      <c r="HHG36" s="209"/>
      <c r="HHH36" s="1"/>
      <c r="HHI36" s="61"/>
      <c r="HHJ36" s="1"/>
      <c r="HHK36" s="209"/>
      <c r="HHL36" s="1"/>
      <c r="HHM36" s="61"/>
      <c r="HHN36" s="1"/>
      <c r="HHO36" s="209"/>
      <c r="HHP36" s="1"/>
      <c r="HHQ36" s="61"/>
      <c r="HHR36" s="1"/>
      <c r="HHS36" s="209"/>
      <c r="HHT36" s="1"/>
      <c r="HHU36" s="61"/>
      <c r="HHV36" s="1"/>
      <c r="HHW36" s="209"/>
      <c r="HHX36" s="1"/>
      <c r="HHY36" s="61"/>
      <c r="HHZ36" s="1"/>
      <c r="HIA36" s="209"/>
      <c r="HIB36" s="1"/>
      <c r="HIC36" s="61"/>
      <c r="HID36" s="1"/>
      <c r="HIE36" s="209"/>
      <c r="HIF36" s="1"/>
      <c r="HIG36" s="61"/>
      <c r="HIH36" s="1"/>
      <c r="HII36" s="209"/>
      <c r="HIJ36" s="1"/>
      <c r="HIK36" s="61"/>
      <c r="HIL36" s="1"/>
      <c r="HIM36" s="209"/>
      <c r="HIN36" s="1"/>
      <c r="HIO36" s="61"/>
      <c r="HIP36" s="1"/>
      <c r="HIQ36" s="209"/>
      <c r="HIR36" s="1"/>
      <c r="HIS36" s="61"/>
      <c r="HIT36" s="1"/>
      <c r="HIU36" s="209"/>
      <c r="HIV36" s="1"/>
      <c r="HIW36" s="61"/>
      <c r="HIX36" s="1"/>
      <c r="HIY36" s="209"/>
      <c r="HIZ36" s="1"/>
      <c r="HJA36" s="61"/>
      <c r="HJB36" s="1"/>
      <c r="HJC36" s="209"/>
      <c r="HJD36" s="1"/>
      <c r="HJE36" s="61"/>
      <c r="HJF36" s="1"/>
      <c r="HJG36" s="209"/>
      <c r="HJH36" s="1"/>
      <c r="HJI36" s="61"/>
      <c r="HJJ36" s="1"/>
      <c r="HJK36" s="209"/>
      <c r="HJL36" s="1"/>
      <c r="HJM36" s="61"/>
      <c r="HJN36" s="1"/>
      <c r="HJO36" s="209"/>
      <c r="HJP36" s="1"/>
      <c r="HJQ36" s="61"/>
      <c r="HJR36" s="1"/>
      <c r="HJS36" s="209"/>
      <c r="HJT36" s="1"/>
      <c r="HJU36" s="61"/>
      <c r="HJV36" s="1"/>
      <c r="HJW36" s="209"/>
      <c r="HJX36" s="1"/>
      <c r="HJY36" s="61"/>
      <c r="HJZ36" s="1"/>
      <c r="HKA36" s="209"/>
      <c r="HKB36" s="1"/>
      <c r="HKC36" s="61"/>
      <c r="HKD36" s="1"/>
      <c r="HKE36" s="209"/>
      <c r="HKF36" s="1"/>
      <c r="HKG36" s="61"/>
      <c r="HKH36" s="1"/>
      <c r="HKI36" s="209"/>
      <c r="HKJ36" s="1"/>
      <c r="HKK36" s="61"/>
      <c r="HKL36" s="1"/>
      <c r="HKM36" s="209"/>
      <c r="HKN36" s="1"/>
      <c r="HKO36" s="61"/>
      <c r="HKP36" s="1"/>
      <c r="HKQ36" s="209"/>
      <c r="HKR36" s="1"/>
      <c r="HKS36" s="61"/>
      <c r="HKT36" s="1"/>
      <c r="HKU36" s="209"/>
      <c r="HKV36" s="1"/>
      <c r="HKW36" s="61"/>
      <c r="HKX36" s="1"/>
      <c r="HKY36" s="209"/>
      <c r="HKZ36" s="1"/>
      <c r="HLA36" s="61"/>
      <c r="HLB36" s="1"/>
      <c r="HLC36" s="209"/>
      <c r="HLD36" s="1"/>
      <c r="HLE36" s="61"/>
      <c r="HLF36" s="1"/>
      <c r="HLG36" s="209"/>
      <c r="HLH36" s="1"/>
      <c r="HLI36" s="61"/>
      <c r="HLJ36" s="1"/>
      <c r="HLK36" s="209"/>
      <c r="HLL36" s="1"/>
      <c r="HLM36" s="61"/>
      <c r="HLN36" s="1"/>
      <c r="HLO36" s="209"/>
      <c r="HLP36" s="1"/>
      <c r="HLQ36" s="61"/>
      <c r="HLR36" s="1"/>
      <c r="HLS36" s="209"/>
      <c r="HLT36" s="1"/>
      <c r="HLU36" s="61"/>
      <c r="HLV36" s="1"/>
      <c r="HLW36" s="209"/>
      <c r="HLX36" s="1"/>
      <c r="HLY36" s="61"/>
      <c r="HLZ36" s="1"/>
      <c r="HMA36" s="209"/>
      <c r="HMB36" s="1"/>
      <c r="HMC36" s="61"/>
      <c r="HMD36" s="1"/>
      <c r="HME36" s="209"/>
      <c r="HMF36" s="1"/>
      <c r="HMG36" s="61"/>
      <c r="HMH36" s="1"/>
      <c r="HMI36" s="209"/>
      <c r="HMJ36" s="1"/>
      <c r="HMK36" s="61"/>
      <c r="HML36" s="1"/>
      <c r="HMM36" s="209"/>
      <c r="HMN36" s="1"/>
      <c r="HMO36" s="61"/>
      <c r="HMP36" s="1"/>
      <c r="HMQ36" s="209"/>
      <c r="HMR36" s="1"/>
      <c r="HMS36" s="61"/>
      <c r="HMT36" s="1"/>
      <c r="HMU36" s="209"/>
      <c r="HMV36" s="1"/>
      <c r="HMW36" s="61"/>
      <c r="HMX36" s="1"/>
      <c r="HMY36" s="209"/>
      <c r="HMZ36" s="1"/>
      <c r="HNA36" s="61"/>
      <c r="HNB36" s="1"/>
      <c r="HNC36" s="209"/>
      <c r="HND36" s="1"/>
      <c r="HNE36" s="61"/>
      <c r="HNF36" s="1"/>
      <c r="HNG36" s="209"/>
      <c r="HNH36" s="1"/>
      <c r="HNI36" s="61"/>
      <c r="HNJ36" s="1"/>
      <c r="HNK36" s="209"/>
      <c r="HNL36" s="1"/>
      <c r="HNM36" s="61"/>
      <c r="HNN36" s="1"/>
      <c r="HNO36" s="209"/>
      <c r="HNP36" s="1"/>
      <c r="HNQ36" s="61"/>
      <c r="HNR36" s="1"/>
      <c r="HNS36" s="209"/>
      <c r="HNT36" s="1"/>
      <c r="HNU36" s="61"/>
      <c r="HNV36" s="1"/>
      <c r="HNW36" s="209"/>
      <c r="HNX36" s="1"/>
      <c r="HNY36" s="61"/>
      <c r="HNZ36" s="1"/>
      <c r="HOA36" s="209"/>
      <c r="HOB36" s="1"/>
      <c r="HOC36" s="61"/>
      <c r="HOD36" s="1"/>
      <c r="HOE36" s="209"/>
      <c r="HOF36" s="1"/>
      <c r="HOG36" s="61"/>
      <c r="HOH36" s="1"/>
      <c r="HOI36" s="209"/>
      <c r="HOJ36" s="1"/>
      <c r="HOK36" s="61"/>
      <c r="HOL36" s="1"/>
      <c r="HOM36" s="209"/>
      <c r="HON36" s="1"/>
      <c r="HOO36" s="61"/>
      <c r="HOP36" s="1"/>
      <c r="HOQ36" s="209"/>
      <c r="HOR36" s="1"/>
      <c r="HOS36" s="61"/>
      <c r="HOT36" s="1"/>
      <c r="HOU36" s="209"/>
      <c r="HOV36" s="1"/>
      <c r="HOW36" s="61"/>
      <c r="HOX36" s="1"/>
      <c r="HOY36" s="209"/>
      <c r="HOZ36" s="1"/>
      <c r="HPA36" s="61"/>
      <c r="HPB36" s="1"/>
      <c r="HPC36" s="209"/>
      <c r="HPD36" s="1"/>
      <c r="HPE36" s="61"/>
      <c r="HPF36" s="1"/>
      <c r="HPG36" s="209"/>
      <c r="HPH36" s="1"/>
      <c r="HPI36" s="61"/>
      <c r="HPJ36" s="1"/>
      <c r="HPK36" s="209"/>
      <c r="HPL36" s="1"/>
      <c r="HPM36" s="61"/>
      <c r="HPN36" s="1"/>
      <c r="HPO36" s="209"/>
      <c r="HPP36" s="1"/>
      <c r="HPQ36" s="61"/>
      <c r="HPR36" s="1"/>
      <c r="HPS36" s="209"/>
      <c r="HPT36" s="1"/>
      <c r="HPU36" s="61"/>
      <c r="HPV36" s="1"/>
      <c r="HPW36" s="209"/>
      <c r="HPX36" s="1"/>
      <c r="HPY36" s="61"/>
      <c r="HPZ36" s="1"/>
      <c r="HQA36" s="209"/>
      <c r="HQB36" s="1"/>
      <c r="HQC36" s="61"/>
      <c r="HQD36" s="1"/>
      <c r="HQE36" s="209"/>
      <c r="HQF36" s="1"/>
      <c r="HQG36" s="61"/>
      <c r="HQH36" s="1"/>
      <c r="HQI36" s="209"/>
      <c r="HQJ36" s="1"/>
      <c r="HQK36" s="61"/>
      <c r="HQL36" s="1"/>
      <c r="HQM36" s="209"/>
      <c r="HQN36" s="1"/>
      <c r="HQO36" s="61"/>
      <c r="HQP36" s="1"/>
      <c r="HQQ36" s="209"/>
      <c r="HQR36" s="1"/>
      <c r="HQS36" s="61"/>
      <c r="HQT36" s="1"/>
      <c r="HQU36" s="209"/>
      <c r="HQV36" s="1"/>
      <c r="HQW36" s="61"/>
      <c r="HQX36" s="1"/>
      <c r="HQY36" s="209"/>
      <c r="HQZ36" s="1"/>
      <c r="HRA36" s="61"/>
      <c r="HRB36" s="1"/>
      <c r="HRC36" s="209"/>
      <c r="HRD36" s="1"/>
      <c r="HRE36" s="61"/>
      <c r="HRF36" s="1"/>
      <c r="HRG36" s="209"/>
      <c r="HRH36" s="1"/>
      <c r="HRI36" s="61"/>
      <c r="HRJ36" s="1"/>
      <c r="HRK36" s="209"/>
      <c r="HRL36" s="1"/>
      <c r="HRM36" s="61"/>
      <c r="HRN36" s="1"/>
      <c r="HRO36" s="209"/>
      <c r="HRP36" s="1"/>
      <c r="HRQ36" s="61"/>
      <c r="HRR36" s="1"/>
      <c r="HRS36" s="209"/>
      <c r="HRT36" s="1"/>
      <c r="HRU36" s="61"/>
      <c r="HRV36" s="1"/>
      <c r="HRW36" s="209"/>
      <c r="HRX36" s="1"/>
      <c r="HRY36" s="61"/>
      <c r="HRZ36" s="1"/>
      <c r="HSA36" s="209"/>
      <c r="HSB36" s="1"/>
      <c r="HSC36" s="61"/>
      <c r="HSD36" s="1"/>
      <c r="HSE36" s="209"/>
      <c r="HSF36" s="1"/>
      <c r="HSG36" s="61"/>
      <c r="HSH36" s="1"/>
      <c r="HSI36" s="209"/>
      <c r="HSJ36" s="1"/>
      <c r="HSK36" s="61"/>
      <c r="HSL36" s="1"/>
      <c r="HSM36" s="209"/>
      <c r="HSN36" s="1"/>
      <c r="HSO36" s="61"/>
      <c r="HSP36" s="1"/>
      <c r="HSQ36" s="209"/>
      <c r="HSR36" s="1"/>
      <c r="HSS36" s="61"/>
      <c r="HST36" s="1"/>
      <c r="HSU36" s="209"/>
      <c r="HSV36" s="1"/>
      <c r="HSW36" s="61"/>
      <c r="HSX36" s="1"/>
      <c r="HSY36" s="209"/>
      <c r="HSZ36" s="1"/>
      <c r="HTA36" s="61"/>
      <c r="HTB36" s="1"/>
      <c r="HTC36" s="209"/>
      <c r="HTD36" s="1"/>
      <c r="HTE36" s="61"/>
      <c r="HTF36" s="1"/>
      <c r="HTG36" s="209"/>
      <c r="HTH36" s="1"/>
      <c r="HTI36" s="61"/>
      <c r="HTJ36" s="1"/>
      <c r="HTK36" s="209"/>
      <c r="HTL36" s="1"/>
      <c r="HTM36" s="61"/>
      <c r="HTN36" s="1"/>
      <c r="HTO36" s="209"/>
      <c r="HTP36" s="1"/>
      <c r="HTQ36" s="61"/>
      <c r="HTR36" s="1"/>
      <c r="HTS36" s="209"/>
      <c r="HTT36" s="1"/>
      <c r="HTU36" s="61"/>
      <c r="HTV36" s="1"/>
      <c r="HTW36" s="209"/>
      <c r="HTX36" s="1"/>
      <c r="HTY36" s="61"/>
      <c r="HTZ36" s="1"/>
      <c r="HUA36" s="209"/>
      <c r="HUB36" s="1"/>
      <c r="HUC36" s="61"/>
      <c r="HUD36" s="1"/>
      <c r="HUE36" s="209"/>
      <c r="HUF36" s="1"/>
      <c r="HUG36" s="61"/>
      <c r="HUH36" s="1"/>
      <c r="HUI36" s="209"/>
      <c r="HUJ36" s="1"/>
      <c r="HUK36" s="61"/>
      <c r="HUL36" s="1"/>
      <c r="HUM36" s="209"/>
      <c r="HUN36" s="1"/>
      <c r="HUO36" s="61"/>
      <c r="HUP36" s="1"/>
      <c r="HUQ36" s="209"/>
      <c r="HUR36" s="1"/>
      <c r="HUS36" s="61"/>
      <c r="HUT36" s="1"/>
      <c r="HUU36" s="209"/>
      <c r="HUV36" s="1"/>
      <c r="HUW36" s="61"/>
      <c r="HUX36" s="1"/>
      <c r="HUY36" s="209"/>
      <c r="HUZ36" s="1"/>
      <c r="HVA36" s="61"/>
      <c r="HVB36" s="1"/>
      <c r="HVC36" s="209"/>
      <c r="HVD36" s="1"/>
      <c r="HVE36" s="61"/>
      <c r="HVF36" s="1"/>
      <c r="HVG36" s="209"/>
      <c r="HVH36" s="1"/>
      <c r="HVI36" s="61"/>
      <c r="HVJ36" s="1"/>
      <c r="HVK36" s="209"/>
      <c r="HVL36" s="1"/>
      <c r="HVM36" s="61"/>
      <c r="HVN36" s="1"/>
      <c r="HVO36" s="209"/>
      <c r="HVP36" s="1"/>
      <c r="HVQ36" s="61"/>
      <c r="HVR36" s="1"/>
      <c r="HVS36" s="209"/>
      <c r="HVT36" s="1"/>
      <c r="HVU36" s="61"/>
      <c r="HVV36" s="1"/>
      <c r="HVW36" s="209"/>
      <c r="HVX36" s="1"/>
      <c r="HVY36" s="61"/>
      <c r="HVZ36" s="1"/>
      <c r="HWA36" s="209"/>
      <c r="HWB36" s="1"/>
      <c r="HWC36" s="61"/>
      <c r="HWD36" s="1"/>
      <c r="HWE36" s="209"/>
      <c r="HWF36" s="1"/>
      <c r="HWG36" s="61"/>
      <c r="HWH36" s="1"/>
      <c r="HWI36" s="209"/>
      <c r="HWJ36" s="1"/>
      <c r="HWK36" s="61"/>
      <c r="HWL36" s="1"/>
      <c r="HWM36" s="209"/>
      <c r="HWN36" s="1"/>
      <c r="HWO36" s="61"/>
      <c r="HWP36" s="1"/>
      <c r="HWQ36" s="209"/>
      <c r="HWR36" s="1"/>
      <c r="HWS36" s="61"/>
      <c r="HWT36" s="1"/>
      <c r="HWU36" s="209"/>
      <c r="HWV36" s="1"/>
      <c r="HWW36" s="61"/>
      <c r="HWX36" s="1"/>
      <c r="HWY36" s="209"/>
      <c r="HWZ36" s="1"/>
      <c r="HXA36" s="61"/>
      <c r="HXB36" s="1"/>
      <c r="HXC36" s="209"/>
      <c r="HXD36" s="1"/>
      <c r="HXE36" s="61"/>
      <c r="HXF36" s="1"/>
      <c r="HXG36" s="209"/>
      <c r="HXH36" s="1"/>
      <c r="HXI36" s="61"/>
      <c r="HXJ36" s="1"/>
      <c r="HXK36" s="209"/>
      <c r="HXL36" s="1"/>
      <c r="HXM36" s="61"/>
      <c r="HXN36" s="1"/>
      <c r="HXO36" s="209"/>
      <c r="HXP36" s="1"/>
      <c r="HXQ36" s="61"/>
      <c r="HXR36" s="1"/>
      <c r="HXS36" s="209"/>
      <c r="HXT36" s="1"/>
      <c r="HXU36" s="61"/>
      <c r="HXV36" s="1"/>
      <c r="HXW36" s="209"/>
      <c r="HXX36" s="1"/>
      <c r="HXY36" s="61"/>
      <c r="HXZ36" s="1"/>
      <c r="HYA36" s="209"/>
      <c r="HYB36" s="1"/>
      <c r="HYC36" s="61"/>
      <c r="HYD36" s="1"/>
      <c r="HYE36" s="209"/>
      <c r="HYF36" s="1"/>
      <c r="HYG36" s="61"/>
      <c r="HYH36" s="1"/>
      <c r="HYI36" s="209"/>
      <c r="HYJ36" s="1"/>
      <c r="HYK36" s="61"/>
      <c r="HYL36" s="1"/>
      <c r="HYM36" s="209"/>
      <c r="HYN36" s="1"/>
      <c r="HYO36" s="61"/>
      <c r="HYP36" s="1"/>
      <c r="HYQ36" s="209"/>
      <c r="HYR36" s="1"/>
      <c r="HYS36" s="61"/>
      <c r="HYT36" s="1"/>
      <c r="HYU36" s="209"/>
      <c r="HYV36" s="1"/>
      <c r="HYW36" s="61"/>
      <c r="HYX36" s="1"/>
      <c r="HYY36" s="209"/>
      <c r="HYZ36" s="1"/>
      <c r="HZA36" s="61"/>
      <c r="HZB36" s="1"/>
      <c r="HZC36" s="209"/>
      <c r="HZD36" s="1"/>
      <c r="HZE36" s="61"/>
      <c r="HZF36" s="1"/>
      <c r="HZG36" s="209"/>
      <c r="HZH36" s="1"/>
      <c r="HZI36" s="61"/>
      <c r="HZJ36" s="1"/>
      <c r="HZK36" s="209"/>
      <c r="HZL36" s="1"/>
      <c r="HZM36" s="61"/>
      <c r="HZN36" s="1"/>
      <c r="HZO36" s="209"/>
      <c r="HZP36" s="1"/>
      <c r="HZQ36" s="61"/>
      <c r="HZR36" s="1"/>
      <c r="HZS36" s="209"/>
      <c r="HZT36" s="1"/>
      <c r="HZU36" s="61"/>
      <c r="HZV36" s="1"/>
      <c r="HZW36" s="209"/>
      <c r="HZX36" s="1"/>
      <c r="HZY36" s="61"/>
      <c r="HZZ36" s="1"/>
      <c r="IAA36" s="209"/>
      <c r="IAB36" s="1"/>
      <c r="IAC36" s="61"/>
      <c r="IAD36" s="1"/>
      <c r="IAE36" s="209"/>
      <c r="IAF36" s="1"/>
      <c r="IAG36" s="61"/>
      <c r="IAH36" s="1"/>
      <c r="IAI36" s="209"/>
      <c r="IAJ36" s="1"/>
      <c r="IAK36" s="61"/>
      <c r="IAL36" s="1"/>
      <c r="IAM36" s="209"/>
      <c r="IAN36" s="1"/>
      <c r="IAO36" s="61"/>
      <c r="IAP36" s="1"/>
      <c r="IAQ36" s="209"/>
      <c r="IAR36" s="1"/>
      <c r="IAS36" s="61"/>
      <c r="IAT36" s="1"/>
      <c r="IAU36" s="209"/>
      <c r="IAV36" s="1"/>
      <c r="IAW36" s="61"/>
      <c r="IAX36" s="1"/>
      <c r="IAY36" s="209"/>
      <c r="IAZ36" s="1"/>
      <c r="IBA36" s="61"/>
      <c r="IBB36" s="1"/>
      <c r="IBC36" s="209"/>
      <c r="IBD36" s="1"/>
      <c r="IBE36" s="61"/>
      <c r="IBF36" s="1"/>
      <c r="IBG36" s="209"/>
      <c r="IBH36" s="1"/>
      <c r="IBI36" s="61"/>
      <c r="IBJ36" s="1"/>
      <c r="IBK36" s="209"/>
      <c r="IBL36" s="1"/>
      <c r="IBM36" s="61"/>
      <c r="IBN36" s="1"/>
      <c r="IBO36" s="209"/>
      <c r="IBP36" s="1"/>
      <c r="IBQ36" s="61"/>
      <c r="IBR36" s="1"/>
      <c r="IBS36" s="209"/>
      <c r="IBT36" s="1"/>
      <c r="IBU36" s="61"/>
      <c r="IBV36" s="1"/>
      <c r="IBW36" s="209"/>
      <c r="IBX36" s="1"/>
      <c r="IBY36" s="61"/>
      <c r="IBZ36" s="1"/>
      <c r="ICA36" s="209"/>
      <c r="ICB36" s="1"/>
      <c r="ICC36" s="61"/>
      <c r="ICD36" s="1"/>
      <c r="ICE36" s="209"/>
      <c r="ICF36" s="1"/>
      <c r="ICG36" s="61"/>
      <c r="ICH36" s="1"/>
      <c r="ICI36" s="209"/>
      <c r="ICJ36" s="1"/>
      <c r="ICK36" s="61"/>
      <c r="ICL36" s="1"/>
      <c r="ICM36" s="209"/>
      <c r="ICN36" s="1"/>
      <c r="ICO36" s="61"/>
      <c r="ICP36" s="1"/>
      <c r="ICQ36" s="209"/>
      <c r="ICR36" s="1"/>
      <c r="ICS36" s="61"/>
      <c r="ICT36" s="1"/>
      <c r="ICU36" s="209"/>
      <c r="ICV36" s="1"/>
      <c r="ICW36" s="61"/>
      <c r="ICX36" s="1"/>
      <c r="ICY36" s="209"/>
      <c r="ICZ36" s="1"/>
      <c r="IDA36" s="61"/>
      <c r="IDB36" s="1"/>
      <c r="IDC36" s="209"/>
      <c r="IDD36" s="1"/>
      <c r="IDE36" s="61"/>
      <c r="IDF36" s="1"/>
      <c r="IDG36" s="209"/>
      <c r="IDH36" s="1"/>
      <c r="IDI36" s="61"/>
      <c r="IDJ36" s="1"/>
      <c r="IDK36" s="209"/>
      <c r="IDL36" s="1"/>
      <c r="IDM36" s="61"/>
      <c r="IDN36" s="1"/>
      <c r="IDO36" s="209"/>
      <c r="IDP36" s="1"/>
      <c r="IDQ36" s="61"/>
      <c r="IDR36" s="1"/>
      <c r="IDS36" s="209"/>
      <c r="IDT36" s="1"/>
      <c r="IDU36" s="61"/>
      <c r="IDV36" s="1"/>
      <c r="IDW36" s="209"/>
      <c r="IDX36" s="1"/>
      <c r="IDY36" s="61"/>
      <c r="IDZ36" s="1"/>
      <c r="IEA36" s="209"/>
      <c r="IEB36" s="1"/>
      <c r="IEC36" s="61"/>
      <c r="IED36" s="1"/>
      <c r="IEE36" s="209"/>
      <c r="IEF36" s="1"/>
      <c r="IEG36" s="61"/>
      <c r="IEH36" s="1"/>
      <c r="IEI36" s="209"/>
      <c r="IEJ36" s="1"/>
      <c r="IEK36" s="61"/>
      <c r="IEL36" s="1"/>
      <c r="IEM36" s="209"/>
      <c r="IEN36" s="1"/>
      <c r="IEO36" s="61"/>
      <c r="IEP36" s="1"/>
      <c r="IEQ36" s="209"/>
      <c r="IER36" s="1"/>
      <c r="IES36" s="61"/>
      <c r="IET36" s="1"/>
      <c r="IEU36" s="209"/>
      <c r="IEV36" s="1"/>
      <c r="IEW36" s="61"/>
      <c r="IEX36" s="1"/>
      <c r="IEY36" s="209"/>
      <c r="IEZ36" s="1"/>
      <c r="IFA36" s="61"/>
      <c r="IFB36" s="1"/>
      <c r="IFC36" s="209"/>
      <c r="IFD36" s="1"/>
      <c r="IFE36" s="61"/>
      <c r="IFF36" s="1"/>
      <c r="IFG36" s="209"/>
      <c r="IFH36" s="1"/>
      <c r="IFI36" s="61"/>
      <c r="IFJ36" s="1"/>
      <c r="IFK36" s="209"/>
      <c r="IFL36" s="1"/>
      <c r="IFM36" s="61"/>
      <c r="IFN36" s="1"/>
      <c r="IFO36" s="209"/>
      <c r="IFP36" s="1"/>
      <c r="IFQ36" s="61"/>
      <c r="IFR36" s="1"/>
      <c r="IFS36" s="209"/>
      <c r="IFT36" s="1"/>
      <c r="IFU36" s="61"/>
      <c r="IFV36" s="1"/>
      <c r="IFW36" s="209"/>
      <c r="IFX36" s="1"/>
      <c r="IFY36" s="61"/>
      <c r="IFZ36" s="1"/>
      <c r="IGA36" s="209"/>
      <c r="IGB36" s="1"/>
      <c r="IGC36" s="61"/>
      <c r="IGD36" s="1"/>
      <c r="IGE36" s="209"/>
      <c r="IGF36" s="1"/>
      <c r="IGG36" s="61"/>
      <c r="IGH36" s="1"/>
      <c r="IGI36" s="209"/>
      <c r="IGJ36" s="1"/>
      <c r="IGK36" s="61"/>
      <c r="IGL36" s="1"/>
      <c r="IGM36" s="209"/>
      <c r="IGN36" s="1"/>
      <c r="IGO36" s="61"/>
      <c r="IGP36" s="1"/>
      <c r="IGQ36" s="209"/>
      <c r="IGR36" s="1"/>
      <c r="IGS36" s="61"/>
      <c r="IGT36" s="1"/>
      <c r="IGU36" s="209"/>
      <c r="IGV36" s="1"/>
      <c r="IGW36" s="61"/>
      <c r="IGX36" s="1"/>
      <c r="IGY36" s="209"/>
      <c r="IGZ36" s="1"/>
      <c r="IHA36" s="61"/>
      <c r="IHB36" s="1"/>
      <c r="IHC36" s="209"/>
      <c r="IHD36" s="1"/>
      <c r="IHE36" s="61"/>
      <c r="IHF36" s="1"/>
      <c r="IHG36" s="209"/>
      <c r="IHH36" s="1"/>
      <c r="IHI36" s="61"/>
      <c r="IHJ36" s="1"/>
      <c r="IHK36" s="209"/>
      <c r="IHL36" s="1"/>
      <c r="IHM36" s="61"/>
      <c r="IHN36" s="1"/>
      <c r="IHO36" s="209"/>
      <c r="IHP36" s="1"/>
      <c r="IHQ36" s="61"/>
      <c r="IHR36" s="1"/>
      <c r="IHS36" s="209"/>
      <c r="IHT36" s="1"/>
      <c r="IHU36" s="61"/>
      <c r="IHV36" s="1"/>
      <c r="IHW36" s="209"/>
      <c r="IHX36" s="1"/>
      <c r="IHY36" s="61"/>
      <c r="IHZ36" s="1"/>
      <c r="IIA36" s="209"/>
      <c r="IIB36" s="1"/>
      <c r="IIC36" s="61"/>
      <c r="IID36" s="1"/>
      <c r="IIE36" s="209"/>
      <c r="IIF36" s="1"/>
      <c r="IIG36" s="61"/>
      <c r="IIH36" s="1"/>
      <c r="III36" s="209"/>
      <c r="IIJ36" s="1"/>
      <c r="IIK36" s="61"/>
      <c r="IIL36" s="1"/>
      <c r="IIM36" s="209"/>
      <c r="IIN36" s="1"/>
      <c r="IIO36" s="61"/>
      <c r="IIP36" s="1"/>
      <c r="IIQ36" s="209"/>
      <c r="IIR36" s="1"/>
      <c r="IIS36" s="61"/>
      <c r="IIT36" s="1"/>
      <c r="IIU36" s="209"/>
      <c r="IIV36" s="1"/>
      <c r="IIW36" s="61"/>
      <c r="IIX36" s="1"/>
      <c r="IIY36" s="209"/>
      <c r="IIZ36" s="1"/>
      <c r="IJA36" s="61"/>
      <c r="IJB36" s="1"/>
      <c r="IJC36" s="209"/>
      <c r="IJD36" s="1"/>
      <c r="IJE36" s="61"/>
      <c r="IJF36" s="1"/>
      <c r="IJG36" s="209"/>
      <c r="IJH36" s="1"/>
      <c r="IJI36" s="61"/>
      <c r="IJJ36" s="1"/>
      <c r="IJK36" s="209"/>
      <c r="IJL36" s="1"/>
      <c r="IJM36" s="61"/>
      <c r="IJN36" s="1"/>
      <c r="IJO36" s="209"/>
      <c r="IJP36" s="1"/>
      <c r="IJQ36" s="61"/>
      <c r="IJR36" s="1"/>
      <c r="IJS36" s="209"/>
      <c r="IJT36" s="1"/>
      <c r="IJU36" s="61"/>
      <c r="IJV36" s="1"/>
      <c r="IJW36" s="209"/>
      <c r="IJX36" s="1"/>
      <c r="IJY36" s="61"/>
      <c r="IJZ36" s="1"/>
      <c r="IKA36" s="209"/>
      <c r="IKB36" s="1"/>
      <c r="IKC36" s="61"/>
      <c r="IKD36" s="1"/>
      <c r="IKE36" s="209"/>
      <c r="IKF36" s="1"/>
      <c r="IKG36" s="61"/>
      <c r="IKH36" s="1"/>
      <c r="IKI36" s="209"/>
      <c r="IKJ36" s="1"/>
      <c r="IKK36" s="61"/>
      <c r="IKL36" s="1"/>
      <c r="IKM36" s="209"/>
      <c r="IKN36" s="1"/>
      <c r="IKO36" s="61"/>
      <c r="IKP36" s="1"/>
      <c r="IKQ36" s="209"/>
      <c r="IKR36" s="1"/>
      <c r="IKS36" s="61"/>
      <c r="IKT36" s="1"/>
      <c r="IKU36" s="209"/>
      <c r="IKV36" s="1"/>
      <c r="IKW36" s="61"/>
      <c r="IKX36" s="1"/>
      <c r="IKY36" s="209"/>
      <c r="IKZ36" s="1"/>
      <c r="ILA36" s="61"/>
      <c r="ILB36" s="1"/>
      <c r="ILC36" s="209"/>
      <c r="ILD36" s="1"/>
      <c r="ILE36" s="61"/>
      <c r="ILF36" s="1"/>
      <c r="ILG36" s="209"/>
      <c r="ILH36" s="1"/>
      <c r="ILI36" s="61"/>
      <c r="ILJ36" s="1"/>
      <c r="ILK36" s="209"/>
      <c r="ILL36" s="1"/>
      <c r="ILM36" s="61"/>
      <c r="ILN36" s="1"/>
      <c r="ILO36" s="209"/>
      <c r="ILP36" s="1"/>
      <c r="ILQ36" s="61"/>
      <c r="ILR36" s="1"/>
      <c r="ILS36" s="209"/>
      <c r="ILT36" s="1"/>
      <c r="ILU36" s="61"/>
      <c r="ILV36" s="1"/>
      <c r="ILW36" s="209"/>
      <c r="ILX36" s="1"/>
      <c r="ILY36" s="61"/>
      <c r="ILZ36" s="1"/>
      <c r="IMA36" s="209"/>
      <c r="IMB36" s="1"/>
      <c r="IMC36" s="61"/>
      <c r="IMD36" s="1"/>
      <c r="IME36" s="209"/>
      <c r="IMF36" s="1"/>
      <c r="IMG36" s="61"/>
      <c r="IMH36" s="1"/>
      <c r="IMI36" s="209"/>
      <c r="IMJ36" s="1"/>
      <c r="IMK36" s="61"/>
      <c r="IML36" s="1"/>
      <c r="IMM36" s="209"/>
      <c r="IMN36" s="1"/>
      <c r="IMO36" s="61"/>
      <c r="IMP36" s="1"/>
      <c r="IMQ36" s="209"/>
      <c r="IMR36" s="1"/>
      <c r="IMS36" s="61"/>
      <c r="IMT36" s="1"/>
      <c r="IMU36" s="209"/>
      <c r="IMV36" s="1"/>
      <c r="IMW36" s="61"/>
      <c r="IMX36" s="1"/>
      <c r="IMY36" s="209"/>
      <c r="IMZ36" s="1"/>
      <c r="INA36" s="61"/>
      <c r="INB36" s="1"/>
      <c r="INC36" s="209"/>
      <c r="IND36" s="1"/>
      <c r="INE36" s="61"/>
      <c r="INF36" s="1"/>
      <c r="ING36" s="209"/>
      <c r="INH36" s="1"/>
      <c r="INI36" s="61"/>
      <c r="INJ36" s="1"/>
      <c r="INK36" s="209"/>
      <c r="INL36" s="1"/>
      <c r="INM36" s="61"/>
      <c r="INN36" s="1"/>
      <c r="INO36" s="209"/>
      <c r="INP36" s="1"/>
      <c r="INQ36" s="61"/>
      <c r="INR36" s="1"/>
      <c r="INS36" s="209"/>
      <c r="INT36" s="1"/>
      <c r="INU36" s="61"/>
      <c r="INV36" s="1"/>
      <c r="INW36" s="209"/>
      <c r="INX36" s="1"/>
      <c r="INY36" s="61"/>
      <c r="INZ36" s="1"/>
      <c r="IOA36" s="209"/>
      <c r="IOB36" s="1"/>
      <c r="IOC36" s="61"/>
      <c r="IOD36" s="1"/>
      <c r="IOE36" s="209"/>
      <c r="IOF36" s="1"/>
      <c r="IOG36" s="61"/>
      <c r="IOH36" s="1"/>
      <c r="IOI36" s="209"/>
      <c r="IOJ36" s="1"/>
      <c r="IOK36" s="61"/>
      <c r="IOL36" s="1"/>
      <c r="IOM36" s="209"/>
      <c r="ION36" s="1"/>
      <c r="IOO36" s="61"/>
      <c r="IOP36" s="1"/>
      <c r="IOQ36" s="209"/>
      <c r="IOR36" s="1"/>
      <c r="IOS36" s="61"/>
      <c r="IOT36" s="1"/>
      <c r="IOU36" s="209"/>
      <c r="IOV36" s="1"/>
      <c r="IOW36" s="61"/>
      <c r="IOX36" s="1"/>
      <c r="IOY36" s="209"/>
      <c r="IOZ36" s="1"/>
      <c r="IPA36" s="61"/>
      <c r="IPB36" s="1"/>
      <c r="IPC36" s="209"/>
      <c r="IPD36" s="1"/>
      <c r="IPE36" s="61"/>
      <c r="IPF36" s="1"/>
      <c r="IPG36" s="209"/>
      <c r="IPH36" s="1"/>
      <c r="IPI36" s="61"/>
      <c r="IPJ36" s="1"/>
      <c r="IPK36" s="209"/>
      <c r="IPL36" s="1"/>
      <c r="IPM36" s="61"/>
      <c r="IPN36" s="1"/>
      <c r="IPO36" s="209"/>
      <c r="IPP36" s="1"/>
      <c r="IPQ36" s="61"/>
      <c r="IPR36" s="1"/>
      <c r="IPS36" s="209"/>
      <c r="IPT36" s="1"/>
      <c r="IPU36" s="61"/>
      <c r="IPV36" s="1"/>
      <c r="IPW36" s="209"/>
      <c r="IPX36" s="1"/>
      <c r="IPY36" s="61"/>
      <c r="IPZ36" s="1"/>
      <c r="IQA36" s="209"/>
      <c r="IQB36" s="1"/>
      <c r="IQC36" s="61"/>
      <c r="IQD36" s="1"/>
      <c r="IQE36" s="209"/>
      <c r="IQF36" s="1"/>
      <c r="IQG36" s="61"/>
      <c r="IQH36" s="1"/>
      <c r="IQI36" s="209"/>
      <c r="IQJ36" s="1"/>
      <c r="IQK36" s="61"/>
      <c r="IQL36" s="1"/>
      <c r="IQM36" s="209"/>
      <c r="IQN36" s="1"/>
      <c r="IQO36" s="61"/>
      <c r="IQP36" s="1"/>
      <c r="IQQ36" s="209"/>
      <c r="IQR36" s="1"/>
      <c r="IQS36" s="61"/>
      <c r="IQT36" s="1"/>
      <c r="IQU36" s="209"/>
      <c r="IQV36" s="1"/>
      <c r="IQW36" s="61"/>
      <c r="IQX36" s="1"/>
      <c r="IQY36" s="209"/>
      <c r="IQZ36" s="1"/>
      <c r="IRA36" s="61"/>
      <c r="IRB36" s="1"/>
      <c r="IRC36" s="209"/>
      <c r="IRD36" s="1"/>
      <c r="IRE36" s="61"/>
      <c r="IRF36" s="1"/>
      <c r="IRG36" s="209"/>
      <c r="IRH36" s="1"/>
      <c r="IRI36" s="61"/>
      <c r="IRJ36" s="1"/>
      <c r="IRK36" s="209"/>
      <c r="IRL36" s="1"/>
      <c r="IRM36" s="61"/>
      <c r="IRN36" s="1"/>
      <c r="IRO36" s="209"/>
      <c r="IRP36" s="1"/>
      <c r="IRQ36" s="61"/>
      <c r="IRR36" s="1"/>
      <c r="IRS36" s="209"/>
      <c r="IRT36" s="1"/>
      <c r="IRU36" s="61"/>
      <c r="IRV36" s="1"/>
      <c r="IRW36" s="209"/>
      <c r="IRX36" s="1"/>
      <c r="IRY36" s="61"/>
      <c r="IRZ36" s="1"/>
      <c r="ISA36" s="209"/>
      <c r="ISB36" s="1"/>
      <c r="ISC36" s="61"/>
      <c r="ISD36" s="1"/>
      <c r="ISE36" s="209"/>
      <c r="ISF36" s="1"/>
      <c r="ISG36" s="61"/>
      <c r="ISH36" s="1"/>
      <c r="ISI36" s="209"/>
      <c r="ISJ36" s="1"/>
      <c r="ISK36" s="61"/>
      <c r="ISL36" s="1"/>
      <c r="ISM36" s="209"/>
      <c r="ISN36" s="1"/>
      <c r="ISO36" s="61"/>
      <c r="ISP36" s="1"/>
      <c r="ISQ36" s="209"/>
      <c r="ISR36" s="1"/>
      <c r="ISS36" s="61"/>
      <c r="IST36" s="1"/>
      <c r="ISU36" s="209"/>
      <c r="ISV36" s="1"/>
      <c r="ISW36" s="61"/>
      <c r="ISX36" s="1"/>
      <c r="ISY36" s="209"/>
      <c r="ISZ36" s="1"/>
      <c r="ITA36" s="61"/>
      <c r="ITB36" s="1"/>
      <c r="ITC36" s="209"/>
      <c r="ITD36" s="1"/>
      <c r="ITE36" s="61"/>
      <c r="ITF36" s="1"/>
      <c r="ITG36" s="209"/>
      <c r="ITH36" s="1"/>
      <c r="ITI36" s="61"/>
      <c r="ITJ36" s="1"/>
      <c r="ITK36" s="209"/>
      <c r="ITL36" s="1"/>
      <c r="ITM36" s="61"/>
      <c r="ITN36" s="1"/>
      <c r="ITO36" s="209"/>
      <c r="ITP36" s="1"/>
      <c r="ITQ36" s="61"/>
      <c r="ITR36" s="1"/>
      <c r="ITS36" s="209"/>
      <c r="ITT36" s="1"/>
      <c r="ITU36" s="61"/>
      <c r="ITV36" s="1"/>
      <c r="ITW36" s="209"/>
      <c r="ITX36" s="1"/>
      <c r="ITY36" s="61"/>
      <c r="ITZ36" s="1"/>
      <c r="IUA36" s="209"/>
      <c r="IUB36" s="1"/>
      <c r="IUC36" s="61"/>
      <c r="IUD36" s="1"/>
      <c r="IUE36" s="209"/>
      <c r="IUF36" s="1"/>
      <c r="IUG36" s="61"/>
      <c r="IUH36" s="1"/>
      <c r="IUI36" s="209"/>
      <c r="IUJ36" s="1"/>
      <c r="IUK36" s="61"/>
      <c r="IUL36" s="1"/>
      <c r="IUM36" s="209"/>
      <c r="IUN36" s="1"/>
      <c r="IUO36" s="61"/>
      <c r="IUP36" s="1"/>
      <c r="IUQ36" s="209"/>
      <c r="IUR36" s="1"/>
      <c r="IUS36" s="61"/>
      <c r="IUT36" s="1"/>
      <c r="IUU36" s="209"/>
      <c r="IUV36" s="1"/>
      <c r="IUW36" s="61"/>
      <c r="IUX36" s="1"/>
      <c r="IUY36" s="209"/>
      <c r="IUZ36" s="1"/>
      <c r="IVA36" s="61"/>
      <c r="IVB36" s="1"/>
      <c r="IVC36" s="209"/>
      <c r="IVD36" s="1"/>
      <c r="IVE36" s="61"/>
      <c r="IVF36" s="1"/>
      <c r="IVG36" s="209"/>
      <c r="IVH36" s="1"/>
      <c r="IVI36" s="61"/>
      <c r="IVJ36" s="1"/>
      <c r="IVK36" s="209"/>
      <c r="IVL36" s="1"/>
      <c r="IVM36" s="61"/>
      <c r="IVN36" s="1"/>
      <c r="IVO36" s="209"/>
      <c r="IVP36" s="1"/>
      <c r="IVQ36" s="61"/>
      <c r="IVR36" s="1"/>
      <c r="IVS36" s="209"/>
      <c r="IVT36" s="1"/>
      <c r="IVU36" s="61"/>
      <c r="IVV36" s="1"/>
      <c r="IVW36" s="209"/>
      <c r="IVX36" s="1"/>
      <c r="IVY36" s="61"/>
      <c r="IVZ36" s="1"/>
      <c r="IWA36" s="209"/>
      <c r="IWB36" s="1"/>
      <c r="IWC36" s="61"/>
      <c r="IWD36" s="1"/>
      <c r="IWE36" s="209"/>
      <c r="IWF36" s="1"/>
      <c r="IWG36" s="61"/>
      <c r="IWH36" s="1"/>
      <c r="IWI36" s="209"/>
      <c r="IWJ36" s="1"/>
      <c r="IWK36" s="61"/>
      <c r="IWL36" s="1"/>
      <c r="IWM36" s="209"/>
      <c r="IWN36" s="1"/>
      <c r="IWO36" s="61"/>
      <c r="IWP36" s="1"/>
      <c r="IWQ36" s="209"/>
      <c r="IWR36" s="1"/>
      <c r="IWS36" s="61"/>
      <c r="IWT36" s="1"/>
      <c r="IWU36" s="209"/>
      <c r="IWV36" s="1"/>
      <c r="IWW36" s="61"/>
      <c r="IWX36" s="1"/>
      <c r="IWY36" s="209"/>
      <c r="IWZ36" s="1"/>
      <c r="IXA36" s="61"/>
      <c r="IXB36" s="1"/>
      <c r="IXC36" s="209"/>
      <c r="IXD36" s="1"/>
      <c r="IXE36" s="61"/>
      <c r="IXF36" s="1"/>
      <c r="IXG36" s="209"/>
      <c r="IXH36" s="1"/>
      <c r="IXI36" s="61"/>
      <c r="IXJ36" s="1"/>
      <c r="IXK36" s="209"/>
      <c r="IXL36" s="1"/>
      <c r="IXM36" s="61"/>
      <c r="IXN36" s="1"/>
      <c r="IXO36" s="209"/>
      <c r="IXP36" s="1"/>
      <c r="IXQ36" s="61"/>
      <c r="IXR36" s="1"/>
      <c r="IXS36" s="209"/>
      <c r="IXT36" s="1"/>
      <c r="IXU36" s="61"/>
      <c r="IXV36" s="1"/>
      <c r="IXW36" s="209"/>
      <c r="IXX36" s="1"/>
      <c r="IXY36" s="61"/>
      <c r="IXZ36" s="1"/>
      <c r="IYA36" s="209"/>
      <c r="IYB36" s="1"/>
      <c r="IYC36" s="61"/>
      <c r="IYD36" s="1"/>
      <c r="IYE36" s="209"/>
      <c r="IYF36" s="1"/>
      <c r="IYG36" s="61"/>
      <c r="IYH36" s="1"/>
      <c r="IYI36" s="209"/>
      <c r="IYJ36" s="1"/>
      <c r="IYK36" s="61"/>
      <c r="IYL36" s="1"/>
      <c r="IYM36" s="209"/>
      <c r="IYN36" s="1"/>
      <c r="IYO36" s="61"/>
      <c r="IYP36" s="1"/>
      <c r="IYQ36" s="209"/>
      <c r="IYR36" s="1"/>
      <c r="IYS36" s="61"/>
      <c r="IYT36" s="1"/>
      <c r="IYU36" s="209"/>
      <c r="IYV36" s="1"/>
      <c r="IYW36" s="61"/>
      <c r="IYX36" s="1"/>
      <c r="IYY36" s="209"/>
      <c r="IYZ36" s="1"/>
      <c r="IZA36" s="61"/>
      <c r="IZB36" s="1"/>
      <c r="IZC36" s="209"/>
      <c r="IZD36" s="1"/>
      <c r="IZE36" s="61"/>
      <c r="IZF36" s="1"/>
      <c r="IZG36" s="209"/>
      <c r="IZH36" s="1"/>
      <c r="IZI36" s="61"/>
      <c r="IZJ36" s="1"/>
      <c r="IZK36" s="209"/>
      <c r="IZL36" s="1"/>
      <c r="IZM36" s="61"/>
      <c r="IZN36" s="1"/>
      <c r="IZO36" s="209"/>
      <c r="IZP36" s="1"/>
      <c r="IZQ36" s="61"/>
      <c r="IZR36" s="1"/>
      <c r="IZS36" s="209"/>
      <c r="IZT36" s="1"/>
      <c r="IZU36" s="61"/>
      <c r="IZV36" s="1"/>
      <c r="IZW36" s="209"/>
      <c r="IZX36" s="1"/>
      <c r="IZY36" s="61"/>
      <c r="IZZ36" s="1"/>
      <c r="JAA36" s="209"/>
      <c r="JAB36" s="1"/>
      <c r="JAC36" s="61"/>
      <c r="JAD36" s="1"/>
      <c r="JAE36" s="209"/>
      <c r="JAF36" s="1"/>
      <c r="JAG36" s="61"/>
      <c r="JAH36" s="1"/>
      <c r="JAI36" s="209"/>
      <c r="JAJ36" s="1"/>
      <c r="JAK36" s="61"/>
      <c r="JAL36" s="1"/>
      <c r="JAM36" s="209"/>
      <c r="JAN36" s="1"/>
      <c r="JAO36" s="61"/>
      <c r="JAP36" s="1"/>
      <c r="JAQ36" s="209"/>
      <c r="JAR36" s="1"/>
      <c r="JAS36" s="61"/>
      <c r="JAT36" s="1"/>
      <c r="JAU36" s="209"/>
      <c r="JAV36" s="1"/>
      <c r="JAW36" s="61"/>
      <c r="JAX36" s="1"/>
      <c r="JAY36" s="209"/>
      <c r="JAZ36" s="1"/>
      <c r="JBA36" s="61"/>
      <c r="JBB36" s="1"/>
      <c r="JBC36" s="209"/>
      <c r="JBD36" s="1"/>
      <c r="JBE36" s="61"/>
      <c r="JBF36" s="1"/>
      <c r="JBG36" s="209"/>
      <c r="JBH36" s="1"/>
      <c r="JBI36" s="61"/>
      <c r="JBJ36" s="1"/>
      <c r="JBK36" s="209"/>
      <c r="JBL36" s="1"/>
      <c r="JBM36" s="61"/>
      <c r="JBN36" s="1"/>
      <c r="JBO36" s="209"/>
      <c r="JBP36" s="1"/>
      <c r="JBQ36" s="61"/>
      <c r="JBR36" s="1"/>
      <c r="JBS36" s="209"/>
      <c r="JBT36" s="1"/>
      <c r="JBU36" s="61"/>
      <c r="JBV36" s="1"/>
      <c r="JBW36" s="209"/>
      <c r="JBX36" s="1"/>
      <c r="JBY36" s="61"/>
      <c r="JBZ36" s="1"/>
      <c r="JCA36" s="209"/>
      <c r="JCB36" s="1"/>
      <c r="JCC36" s="61"/>
      <c r="JCD36" s="1"/>
      <c r="JCE36" s="209"/>
      <c r="JCF36" s="1"/>
      <c r="JCG36" s="61"/>
      <c r="JCH36" s="1"/>
      <c r="JCI36" s="209"/>
      <c r="JCJ36" s="1"/>
      <c r="JCK36" s="61"/>
      <c r="JCL36" s="1"/>
      <c r="JCM36" s="209"/>
      <c r="JCN36" s="1"/>
      <c r="JCO36" s="61"/>
      <c r="JCP36" s="1"/>
      <c r="JCQ36" s="209"/>
      <c r="JCR36" s="1"/>
      <c r="JCS36" s="61"/>
      <c r="JCT36" s="1"/>
      <c r="JCU36" s="209"/>
      <c r="JCV36" s="1"/>
      <c r="JCW36" s="61"/>
      <c r="JCX36" s="1"/>
      <c r="JCY36" s="209"/>
      <c r="JCZ36" s="1"/>
      <c r="JDA36" s="61"/>
      <c r="JDB36" s="1"/>
      <c r="JDC36" s="209"/>
      <c r="JDD36" s="1"/>
      <c r="JDE36" s="61"/>
      <c r="JDF36" s="1"/>
      <c r="JDG36" s="209"/>
      <c r="JDH36" s="1"/>
      <c r="JDI36" s="61"/>
      <c r="JDJ36" s="1"/>
      <c r="JDK36" s="209"/>
      <c r="JDL36" s="1"/>
      <c r="JDM36" s="61"/>
      <c r="JDN36" s="1"/>
      <c r="JDO36" s="209"/>
      <c r="JDP36" s="1"/>
      <c r="JDQ36" s="61"/>
      <c r="JDR36" s="1"/>
      <c r="JDS36" s="209"/>
      <c r="JDT36" s="1"/>
      <c r="JDU36" s="61"/>
      <c r="JDV36" s="1"/>
      <c r="JDW36" s="209"/>
      <c r="JDX36" s="1"/>
      <c r="JDY36" s="61"/>
      <c r="JDZ36" s="1"/>
      <c r="JEA36" s="209"/>
      <c r="JEB36" s="1"/>
      <c r="JEC36" s="61"/>
      <c r="JED36" s="1"/>
      <c r="JEE36" s="209"/>
      <c r="JEF36" s="1"/>
      <c r="JEG36" s="61"/>
      <c r="JEH36" s="1"/>
      <c r="JEI36" s="209"/>
      <c r="JEJ36" s="1"/>
      <c r="JEK36" s="61"/>
      <c r="JEL36" s="1"/>
      <c r="JEM36" s="209"/>
      <c r="JEN36" s="1"/>
      <c r="JEO36" s="61"/>
      <c r="JEP36" s="1"/>
      <c r="JEQ36" s="209"/>
      <c r="JER36" s="1"/>
      <c r="JES36" s="61"/>
      <c r="JET36" s="1"/>
      <c r="JEU36" s="209"/>
      <c r="JEV36" s="1"/>
      <c r="JEW36" s="61"/>
      <c r="JEX36" s="1"/>
      <c r="JEY36" s="209"/>
      <c r="JEZ36" s="1"/>
      <c r="JFA36" s="61"/>
      <c r="JFB36" s="1"/>
      <c r="JFC36" s="209"/>
      <c r="JFD36" s="1"/>
      <c r="JFE36" s="61"/>
      <c r="JFF36" s="1"/>
      <c r="JFG36" s="209"/>
      <c r="JFH36" s="1"/>
      <c r="JFI36" s="61"/>
      <c r="JFJ36" s="1"/>
      <c r="JFK36" s="209"/>
      <c r="JFL36" s="1"/>
      <c r="JFM36" s="61"/>
      <c r="JFN36" s="1"/>
      <c r="JFO36" s="209"/>
      <c r="JFP36" s="1"/>
      <c r="JFQ36" s="61"/>
      <c r="JFR36" s="1"/>
      <c r="JFS36" s="209"/>
      <c r="JFT36" s="1"/>
      <c r="JFU36" s="61"/>
      <c r="JFV36" s="1"/>
      <c r="JFW36" s="209"/>
      <c r="JFX36" s="1"/>
      <c r="JFY36" s="61"/>
      <c r="JFZ36" s="1"/>
      <c r="JGA36" s="209"/>
      <c r="JGB36" s="1"/>
      <c r="JGC36" s="61"/>
      <c r="JGD36" s="1"/>
      <c r="JGE36" s="209"/>
      <c r="JGF36" s="1"/>
      <c r="JGG36" s="61"/>
      <c r="JGH36" s="1"/>
      <c r="JGI36" s="209"/>
      <c r="JGJ36" s="1"/>
      <c r="JGK36" s="61"/>
      <c r="JGL36" s="1"/>
      <c r="JGM36" s="209"/>
      <c r="JGN36" s="1"/>
      <c r="JGO36" s="61"/>
      <c r="JGP36" s="1"/>
      <c r="JGQ36" s="209"/>
      <c r="JGR36" s="1"/>
      <c r="JGS36" s="61"/>
      <c r="JGT36" s="1"/>
      <c r="JGU36" s="209"/>
      <c r="JGV36" s="1"/>
      <c r="JGW36" s="61"/>
      <c r="JGX36" s="1"/>
      <c r="JGY36" s="209"/>
      <c r="JGZ36" s="1"/>
      <c r="JHA36" s="61"/>
      <c r="JHB36" s="1"/>
      <c r="JHC36" s="209"/>
      <c r="JHD36" s="1"/>
      <c r="JHE36" s="61"/>
      <c r="JHF36" s="1"/>
      <c r="JHG36" s="209"/>
      <c r="JHH36" s="1"/>
      <c r="JHI36" s="61"/>
      <c r="JHJ36" s="1"/>
      <c r="JHK36" s="209"/>
      <c r="JHL36" s="1"/>
      <c r="JHM36" s="61"/>
      <c r="JHN36" s="1"/>
      <c r="JHO36" s="209"/>
      <c r="JHP36" s="1"/>
      <c r="JHQ36" s="61"/>
      <c r="JHR36" s="1"/>
      <c r="JHS36" s="209"/>
      <c r="JHT36" s="1"/>
      <c r="JHU36" s="61"/>
      <c r="JHV36" s="1"/>
      <c r="JHW36" s="209"/>
      <c r="JHX36" s="1"/>
      <c r="JHY36" s="61"/>
      <c r="JHZ36" s="1"/>
      <c r="JIA36" s="209"/>
      <c r="JIB36" s="1"/>
      <c r="JIC36" s="61"/>
      <c r="JID36" s="1"/>
      <c r="JIE36" s="209"/>
      <c r="JIF36" s="1"/>
      <c r="JIG36" s="61"/>
      <c r="JIH36" s="1"/>
      <c r="JII36" s="209"/>
      <c r="JIJ36" s="1"/>
      <c r="JIK36" s="61"/>
      <c r="JIL36" s="1"/>
      <c r="JIM36" s="209"/>
      <c r="JIN36" s="1"/>
      <c r="JIO36" s="61"/>
      <c r="JIP36" s="1"/>
      <c r="JIQ36" s="209"/>
      <c r="JIR36" s="1"/>
      <c r="JIS36" s="61"/>
      <c r="JIT36" s="1"/>
      <c r="JIU36" s="209"/>
      <c r="JIV36" s="1"/>
      <c r="JIW36" s="61"/>
      <c r="JIX36" s="1"/>
      <c r="JIY36" s="209"/>
      <c r="JIZ36" s="1"/>
      <c r="JJA36" s="61"/>
      <c r="JJB36" s="1"/>
      <c r="JJC36" s="209"/>
      <c r="JJD36" s="1"/>
      <c r="JJE36" s="61"/>
      <c r="JJF36" s="1"/>
      <c r="JJG36" s="209"/>
      <c r="JJH36" s="1"/>
      <c r="JJI36" s="61"/>
      <c r="JJJ36" s="1"/>
      <c r="JJK36" s="209"/>
      <c r="JJL36" s="1"/>
      <c r="JJM36" s="61"/>
      <c r="JJN36" s="1"/>
      <c r="JJO36" s="209"/>
      <c r="JJP36" s="1"/>
      <c r="JJQ36" s="61"/>
      <c r="JJR36" s="1"/>
      <c r="JJS36" s="209"/>
      <c r="JJT36" s="1"/>
      <c r="JJU36" s="61"/>
      <c r="JJV36" s="1"/>
      <c r="JJW36" s="209"/>
      <c r="JJX36" s="1"/>
      <c r="JJY36" s="61"/>
      <c r="JJZ36" s="1"/>
      <c r="JKA36" s="209"/>
      <c r="JKB36" s="1"/>
      <c r="JKC36" s="61"/>
      <c r="JKD36" s="1"/>
      <c r="JKE36" s="209"/>
      <c r="JKF36" s="1"/>
      <c r="JKG36" s="61"/>
      <c r="JKH36" s="1"/>
      <c r="JKI36" s="209"/>
      <c r="JKJ36" s="1"/>
      <c r="JKK36" s="61"/>
      <c r="JKL36" s="1"/>
      <c r="JKM36" s="209"/>
      <c r="JKN36" s="1"/>
      <c r="JKO36" s="61"/>
      <c r="JKP36" s="1"/>
      <c r="JKQ36" s="209"/>
      <c r="JKR36" s="1"/>
      <c r="JKS36" s="61"/>
      <c r="JKT36" s="1"/>
      <c r="JKU36" s="209"/>
      <c r="JKV36" s="1"/>
      <c r="JKW36" s="61"/>
      <c r="JKX36" s="1"/>
      <c r="JKY36" s="209"/>
      <c r="JKZ36" s="1"/>
      <c r="JLA36" s="61"/>
      <c r="JLB36" s="1"/>
      <c r="JLC36" s="209"/>
      <c r="JLD36" s="1"/>
      <c r="JLE36" s="61"/>
      <c r="JLF36" s="1"/>
      <c r="JLG36" s="209"/>
      <c r="JLH36" s="1"/>
      <c r="JLI36" s="61"/>
      <c r="JLJ36" s="1"/>
      <c r="JLK36" s="209"/>
      <c r="JLL36" s="1"/>
      <c r="JLM36" s="61"/>
      <c r="JLN36" s="1"/>
      <c r="JLO36" s="209"/>
      <c r="JLP36" s="1"/>
      <c r="JLQ36" s="61"/>
      <c r="JLR36" s="1"/>
      <c r="JLS36" s="209"/>
      <c r="JLT36" s="1"/>
      <c r="JLU36" s="61"/>
      <c r="JLV36" s="1"/>
      <c r="JLW36" s="209"/>
      <c r="JLX36" s="1"/>
      <c r="JLY36" s="61"/>
      <c r="JLZ36" s="1"/>
      <c r="JMA36" s="209"/>
      <c r="JMB36" s="1"/>
      <c r="JMC36" s="61"/>
      <c r="JMD36" s="1"/>
      <c r="JME36" s="209"/>
      <c r="JMF36" s="1"/>
      <c r="JMG36" s="61"/>
      <c r="JMH36" s="1"/>
      <c r="JMI36" s="209"/>
      <c r="JMJ36" s="1"/>
      <c r="JMK36" s="61"/>
      <c r="JML36" s="1"/>
      <c r="JMM36" s="209"/>
      <c r="JMN36" s="1"/>
      <c r="JMO36" s="61"/>
      <c r="JMP36" s="1"/>
      <c r="JMQ36" s="209"/>
      <c r="JMR36" s="1"/>
      <c r="JMS36" s="61"/>
      <c r="JMT36" s="1"/>
      <c r="JMU36" s="209"/>
      <c r="JMV36" s="1"/>
      <c r="JMW36" s="61"/>
      <c r="JMX36" s="1"/>
      <c r="JMY36" s="209"/>
      <c r="JMZ36" s="1"/>
      <c r="JNA36" s="61"/>
      <c r="JNB36" s="1"/>
      <c r="JNC36" s="209"/>
      <c r="JND36" s="1"/>
      <c r="JNE36" s="61"/>
      <c r="JNF36" s="1"/>
      <c r="JNG36" s="209"/>
      <c r="JNH36" s="1"/>
      <c r="JNI36" s="61"/>
      <c r="JNJ36" s="1"/>
      <c r="JNK36" s="209"/>
      <c r="JNL36" s="1"/>
      <c r="JNM36" s="61"/>
      <c r="JNN36" s="1"/>
      <c r="JNO36" s="209"/>
      <c r="JNP36" s="1"/>
      <c r="JNQ36" s="61"/>
      <c r="JNR36" s="1"/>
      <c r="JNS36" s="209"/>
      <c r="JNT36" s="1"/>
      <c r="JNU36" s="61"/>
      <c r="JNV36" s="1"/>
      <c r="JNW36" s="209"/>
      <c r="JNX36" s="1"/>
      <c r="JNY36" s="61"/>
      <c r="JNZ36" s="1"/>
      <c r="JOA36" s="209"/>
      <c r="JOB36" s="1"/>
      <c r="JOC36" s="61"/>
      <c r="JOD36" s="1"/>
      <c r="JOE36" s="209"/>
      <c r="JOF36" s="1"/>
      <c r="JOG36" s="61"/>
      <c r="JOH36" s="1"/>
      <c r="JOI36" s="209"/>
      <c r="JOJ36" s="1"/>
      <c r="JOK36" s="61"/>
      <c r="JOL36" s="1"/>
      <c r="JOM36" s="209"/>
      <c r="JON36" s="1"/>
      <c r="JOO36" s="61"/>
      <c r="JOP36" s="1"/>
      <c r="JOQ36" s="209"/>
      <c r="JOR36" s="1"/>
      <c r="JOS36" s="61"/>
      <c r="JOT36" s="1"/>
      <c r="JOU36" s="209"/>
      <c r="JOV36" s="1"/>
      <c r="JOW36" s="61"/>
      <c r="JOX36" s="1"/>
      <c r="JOY36" s="209"/>
      <c r="JOZ36" s="1"/>
      <c r="JPA36" s="61"/>
      <c r="JPB36" s="1"/>
      <c r="JPC36" s="209"/>
      <c r="JPD36" s="1"/>
      <c r="JPE36" s="61"/>
      <c r="JPF36" s="1"/>
      <c r="JPG36" s="209"/>
      <c r="JPH36" s="1"/>
      <c r="JPI36" s="61"/>
      <c r="JPJ36" s="1"/>
      <c r="JPK36" s="209"/>
      <c r="JPL36" s="1"/>
      <c r="JPM36" s="61"/>
      <c r="JPN36" s="1"/>
      <c r="JPO36" s="209"/>
      <c r="JPP36" s="1"/>
      <c r="JPQ36" s="61"/>
      <c r="JPR36" s="1"/>
      <c r="JPS36" s="209"/>
      <c r="JPT36" s="1"/>
      <c r="JPU36" s="61"/>
      <c r="JPV36" s="1"/>
      <c r="JPW36" s="209"/>
      <c r="JPX36" s="1"/>
      <c r="JPY36" s="61"/>
      <c r="JPZ36" s="1"/>
      <c r="JQA36" s="209"/>
      <c r="JQB36" s="1"/>
      <c r="JQC36" s="61"/>
      <c r="JQD36" s="1"/>
      <c r="JQE36" s="209"/>
      <c r="JQF36" s="1"/>
      <c r="JQG36" s="61"/>
      <c r="JQH36" s="1"/>
      <c r="JQI36" s="209"/>
      <c r="JQJ36" s="1"/>
      <c r="JQK36" s="61"/>
      <c r="JQL36" s="1"/>
      <c r="JQM36" s="209"/>
      <c r="JQN36" s="1"/>
      <c r="JQO36" s="61"/>
      <c r="JQP36" s="1"/>
      <c r="JQQ36" s="209"/>
      <c r="JQR36" s="1"/>
      <c r="JQS36" s="61"/>
      <c r="JQT36" s="1"/>
      <c r="JQU36" s="209"/>
      <c r="JQV36" s="1"/>
      <c r="JQW36" s="61"/>
      <c r="JQX36" s="1"/>
      <c r="JQY36" s="209"/>
      <c r="JQZ36" s="1"/>
      <c r="JRA36" s="61"/>
      <c r="JRB36" s="1"/>
      <c r="JRC36" s="209"/>
      <c r="JRD36" s="1"/>
      <c r="JRE36" s="61"/>
      <c r="JRF36" s="1"/>
      <c r="JRG36" s="209"/>
      <c r="JRH36" s="1"/>
      <c r="JRI36" s="61"/>
      <c r="JRJ36" s="1"/>
      <c r="JRK36" s="209"/>
      <c r="JRL36" s="1"/>
      <c r="JRM36" s="61"/>
      <c r="JRN36" s="1"/>
      <c r="JRO36" s="209"/>
      <c r="JRP36" s="1"/>
      <c r="JRQ36" s="61"/>
      <c r="JRR36" s="1"/>
      <c r="JRS36" s="209"/>
      <c r="JRT36" s="1"/>
      <c r="JRU36" s="61"/>
      <c r="JRV36" s="1"/>
      <c r="JRW36" s="209"/>
      <c r="JRX36" s="1"/>
      <c r="JRY36" s="61"/>
      <c r="JRZ36" s="1"/>
      <c r="JSA36" s="209"/>
      <c r="JSB36" s="1"/>
      <c r="JSC36" s="61"/>
      <c r="JSD36" s="1"/>
      <c r="JSE36" s="209"/>
      <c r="JSF36" s="1"/>
      <c r="JSG36" s="61"/>
      <c r="JSH36" s="1"/>
      <c r="JSI36" s="209"/>
      <c r="JSJ36" s="1"/>
      <c r="JSK36" s="61"/>
      <c r="JSL36" s="1"/>
      <c r="JSM36" s="209"/>
      <c r="JSN36" s="1"/>
      <c r="JSO36" s="61"/>
      <c r="JSP36" s="1"/>
      <c r="JSQ36" s="209"/>
      <c r="JSR36" s="1"/>
      <c r="JSS36" s="61"/>
      <c r="JST36" s="1"/>
      <c r="JSU36" s="209"/>
      <c r="JSV36" s="1"/>
      <c r="JSW36" s="61"/>
      <c r="JSX36" s="1"/>
      <c r="JSY36" s="209"/>
      <c r="JSZ36" s="1"/>
      <c r="JTA36" s="61"/>
      <c r="JTB36" s="1"/>
      <c r="JTC36" s="209"/>
      <c r="JTD36" s="1"/>
      <c r="JTE36" s="61"/>
      <c r="JTF36" s="1"/>
      <c r="JTG36" s="209"/>
      <c r="JTH36" s="1"/>
      <c r="JTI36" s="61"/>
      <c r="JTJ36" s="1"/>
      <c r="JTK36" s="209"/>
      <c r="JTL36" s="1"/>
      <c r="JTM36" s="61"/>
      <c r="JTN36" s="1"/>
      <c r="JTO36" s="209"/>
      <c r="JTP36" s="1"/>
      <c r="JTQ36" s="61"/>
      <c r="JTR36" s="1"/>
      <c r="JTS36" s="209"/>
      <c r="JTT36" s="1"/>
      <c r="JTU36" s="61"/>
      <c r="JTV36" s="1"/>
      <c r="JTW36" s="209"/>
      <c r="JTX36" s="1"/>
      <c r="JTY36" s="61"/>
      <c r="JTZ36" s="1"/>
      <c r="JUA36" s="209"/>
      <c r="JUB36" s="1"/>
      <c r="JUC36" s="61"/>
      <c r="JUD36" s="1"/>
      <c r="JUE36" s="209"/>
      <c r="JUF36" s="1"/>
      <c r="JUG36" s="61"/>
      <c r="JUH36" s="1"/>
      <c r="JUI36" s="209"/>
      <c r="JUJ36" s="1"/>
      <c r="JUK36" s="61"/>
      <c r="JUL36" s="1"/>
      <c r="JUM36" s="209"/>
      <c r="JUN36" s="1"/>
      <c r="JUO36" s="61"/>
      <c r="JUP36" s="1"/>
      <c r="JUQ36" s="209"/>
      <c r="JUR36" s="1"/>
      <c r="JUS36" s="61"/>
      <c r="JUT36" s="1"/>
      <c r="JUU36" s="209"/>
      <c r="JUV36" s="1"/>
      <c r="JUW36" s="61"/>
      <c r="JUX36" s="1"/>
      <c r="JUY36" s="209"/>
      <c r="JUZ36" s="1"/>
      <c r="JVA36" s="61"/>
      <c r="JVB36" s="1"/>
      <c r="JVC36" s="209"/>
      <c r="JVD36" s="1"/>
      <c r="JVE36" s="61"/>
      <c r="JVF36" s="1"/>
      <c r="JVG36" s="209"/>
      <c r="JVH36" s="1"/>
      <c r="JVI36" s="61"/>
      <c r="JVJ36" s="1"/>
      <c r="JVK36" s="209"/>
      <c r="JVL36" s="1"/>
      <c r="JVM36" s="61"/>
      <c r="JVN36" s="1"/>
      <c r="JVO36" s="209"/>
      <c r="JVP36" s="1"/>
      <c r="JVQ36" s="61"/>
      <c r="JVR36" s="1"/>
      <c r="JVS36" s="209"/>
      <c r="JVT36" s="1"/>
      <c r="JVU36" s="61"/>
      <c r="JVV36" s="1"/>
      <c r="JVW36" s="209"/>
      <c r="JVX36" s="1"/>
      <c r="JVY36" s="61"/>
      <c r="JVZ36" s="1"/>
      <c r="JWA36" s="209"/>
      <c r="JWB36" s="1"/>
      <c r="JWC36" s="61"/>
      <c r="JWD36" s="1"/>
      <c r="JWE36" s="209"/>
      <c r="JWF36" s="1"/>
      <c r="JWG36" s="61"/>
      <c r="JWH36" s="1"/>
      <c r="JWI36" s="209"/>
      <c r="JWJ36" s="1"/>
      <c r="JWK36" s="61"/>
      <c r="JWL36" s="1"/>
      <c r="JWM36" s="209"/>
      <c r="JWN36" s="1"/>
      <c r="JWO36" s="61"/>
      <c r="JWP36" s="1"/>
      <c r="JWQ36" s="209"/>
      <c r="JWR36" s="1"/>
      <c r="JWS36" s="61"/>
      <c r="JWT36" s="1"/>
      <c r="JWU36" s="209"/>
      <c r="JWV36" s="1"/>
      <c r="JWW36" s="61"/>
      <c r="JWX36" s="1"/>
      <c r="JWY36" s="209"/>
      <c r="JWZ36" s="1"/>
      <c r="JXA36" s="61"/>
      <c r="JXB36" s="1"/>
      <c r="JXC36" s="209"/>
      <c r="JXD36" s="1"/>
      <c r="JXE36" s="61"/>
      <c r="JXF36" s="1"/>
      <c r="JXG36" s="209"/>
      <c r="JXH36" s="1"/>
      <c r="JXI36" s="61"/>
      <c r="JXJ36" s="1"/>
      <c r="JXK36" s="209"/>
      <c r="JXL36" s="1"/>
      <c r="JXM36" s="61"/>
      <c r="JXN36" s="1"/>
      <c r="JXO36" s="209"/>
      <c r="JXP36" s="1"/>
      <c r="JXQ36" s="61"/>
      <c r="JXR36" s="1"/>
      <c r="JXS36" s="209"/>
      <c r="JXT36" s="1"/>
      <c r="JXU36" s="61"/>
      <c r="JXV36" s="1"/>
      <c r="JXW36" s="209"/>
      <c r="JXX36" s="1"/>
      <c r="JXY36" s="61"/>
      <c r="JXZ36" s="1"/>
      <c r="JYA36" s="209"/>
      <c r="JYB36" s="1"/>
      <c r="JYC36" s="61"/>
      <c r="JYD36" s="1"/>
      <c r="JYE36" s="209"/>
      <c r="JYF36" s="1"/>
      <c r="JYG36" s="61"/>
      <c r="JYH36" s="1"/>
      <c r="JYI36" s="209"/>
      <c r="JYJ36" s="1"/>
      <c r="JYK36" s="61"/>
      <c r="JYL36" s="1"/>
      <c r="JYM36" s="209"/>
      <c r="JYN36" s="1"/>
      <c r="JYO36" s="61"/>
      <c r="JYP36" s="1"/>
      <c r="JYQ36" s="209"/>
      <c r="JYR36" s="1"/>
      <c r="JYS36" s="61"/>
      <c r="JYT36" s="1"/>
      <c r="JYU36" s="209"/>
      <c r="JYV36" s="1"/>
      <c r="JYW36" s="61"/>
      <c r="JYX36" s="1"/>
      <c r="JYY36" s="209"/>
      <c r="JYZ36" s="1"/>
      <c r="JZA36" s="61"/>
      <c r="JZB36" s="1"/>
      <c r="JZC36" s="209"/>
      <c r="JZD36" s="1"/>
      <c r="JZE36" s="61"/>
      <c r="JZF36" s="1"/>
      <c r="JZG36" s="209"/>
      <c r="JZH36" s="1"/>
      <c r="JZI36" s="61"/>
      <c r="JZJ36" s="1"/>
      <c r="JZK36" s="209"/>
      <c r="JZL36" s="1"/>
      <c r="JZM36" s="61"/>
      <c r="JZN36" s="1"/>
      <c r="JZO36" s="209"/>
      <c r="JZP36" s="1"/>
      <c r="JZQ36" s="61"/>
      <c r="JZR36" s="1"/>
      <c r="JZS36" s="209"/>
      <c r="JZT36" s="1"/>
      <c r="JZU36" s="61"/>
      <c r="JZV36" s="1"/>
      <c r="JZW36" s="209"/>
      <c r="JZX36" s="1"/>
      <c r="JZY36" s="61"/>
      <c r="JZZ36" s="1"/>
      <c r="KAA36" s="209"/>
      <c r="KAB36" s="1"/>
      <c r="KAC36" s="61"/>
      <c r="KAD36" s="1"/>
      <c r="KAE36" s="209"/>
      <c r="KAF36" s="1"/>
      <c r="KAG36" s="61"/>
      <c r="KAH36" s="1"/>
      <c r="KAI36" s="209"/>
      <c r="KAJ36" s="1"/>
      <c r="KAK36" s="61"/>
      <c r="KAL36" s="1"/>
      <c r="KAM36" s="209"/>
      <c r="KAN36" s="1"/>
      <c r="KAO36" s="61"/>
      <c r="KAP36" s="1"/>
      <c r="KAQ36" s="209"/>
      <c r="KAR36" s="1"/>
      <c r="KAS36" s="61"/>
      <c r="KAT36" s="1"/>
      <c r="KAU36" s="209"/>
      <c r="KAV36" s="1"/>
      <c r="KAW36" s="61"/>
      <c r="KAX36" s="1"/>
      <c r="KAY36" s="209"/>
      <c r="KAZ36" s="1"/>
      <c r="KBA36" s="61"/>
      <c r="KBB36" s="1"/>
      <c r="KBC36" s="209"/>
      <c r="KBD36" s="1"/>
      <c r="KBE36" s="61"/>
      <c r="KBF36" s="1"/>
      <c r="KBG36" s="209"/>
      <c r="KBH36" s="1"/>
      <c r="KBI36" s="61"/>
      <c r="KBJ36" s="1"/>
      <c r="KBK36" s="209"/>
      <c r="KBL36" s="1"/>
      <c r="KBM36" s="61"/>
      <c r="KBN36" s="1"/>
      <c r="KBO36" s="209"/>
      <c r="KBP36" s="1"/>
      <c r="KBQ36" s="61"/>
      <c r="KBR36" s="1"/>
      <c r="KBS36" s="209"/>
      <c r="KBT36" s="1"/>
      <c r="KBU36" s="61"/>
      <c r="KBV36" s="1"/>
      <c r="KBW36" s="209"/>
      <c r="KBX36" s="1"/>
      <c r="KBY36" s="61"/>
      <c r="KBZ36" s="1"/>
      <c r="KCA36" s="209"/>
      <c r="KCB36" s="1"/>
      <c r="KCC36" s="61"/>
      <c r="KCD36" s="1"/>
      <c r="KCE36" s="209"/>
      <c r="KCF36" s="1"/>
      <c r="KCG36" s="61"/>
      <c r="KCH36" s="1"/>
      <c r="KCI36" s="209"/>
      <c r="KCJ36" s="1"/>
      <c r="KCK36" s="61"/>
      <c r="KCL36" s="1"/>
      <c r="KCM36" s="209"/>
      <c r="KCN36" s="1"/>
      <c r="KCO36" s="61"/>
      <c r="KCP36" s="1"/>
      <c r="KCQ36" s="209"/>
      <c r="KCR36" s="1"/>
      <c r="KCS36" s="61"/>
      <c r="KCT36" s="1"/>
      <c r="KCU36" s="209"/>
      <c r="KCV36" s="1"/>
      <c r="KCW36" s="61"/>
      <c r="KCX36" s="1"/>
      <c r="KCY36" s="209"/>
      <c r="KCZ36" s="1"/>
      <c r="KDA36" s="61"/>
      <c r="KDB36" s="1"/>
      <c r="KDC36" s="209"/>
      <c r="KDD36" s="1"/>
      <c r="KDE36" s="61"/>
      <c r="KDF36" s="1"/>
      <c r="KDG36" s="209"/>
      <c r="KDH36" s="1"/>
      <c r="KDI36" s="61"/>
      <c r="KDJ36" s="1"/>
      <c r="KDK36" s="209"/>
      <c r="KDL36" s="1"/>
      <c r="KDM36" s="61"/>
      <c r="KDN36" s="1"/>
      <c r="KDO36" s="209"/>
      <c r="KDP36" s="1"/>
      <c r="KDQ36" s="61"/>
      <c r="KDR36" s="1"/>
      <c r="KDS36" s="209"/>
      <c r="KDT36" s="1"/>
      <c r="KDU36" s="61"/>
      <c r="KDV36" s="1"/>
      <c r="KDW36" s="209"/>
      <c r="KDX36" s="1"/>
      <c r="KDY36" s="61"/>
      <c r="KDZ36" s="1"/>
      <c r="KEA36" s="209"/>
      <c r="KEB36" s="1"/>
      <c r="KEC36" s="61"/>
      <c r="KED36" s="1"/>
      <c r="KEE36" s="209"/>
      <c r="KEF36" s="1"/>
      <c r="KEG36" s="61"/>
      <c r="KEH36" s="1"/>
      <c r="KEI36" s="209"/>
      <c r="KEJ36" s="1"/>
      <c r="KEK36" s="61"/>
      <c r="KEL36" s="1"/>
      <c r="KEM36" s="209"/>
      <c r="KEN36" s="1"/>
      <c r="KEO36" s="61"/>
      <c r="KEP36" s="1"/>
      <c r="KEQ36" s="209"/>
      <c r="KER36" s="1"/>
      <c r="KES36" s="61"/>
      <c r="KET36" s="1"/>
      <c r="KEU36" s="209"/>
      <c r="KEV36" s="1"/>
      <c r="KEW36" s="61"/>
      <c r="KEX36" s="1"/>
      <c r="KEY36" s="209"/>
      <c r="KEZ36" s="1"/>
      <c r="KFA36" s="61"/>
      <c r="KFB36" s="1"/>
      <c r="KFC36" s="209"/>
      <c r="KFD36" s="1"/>
      <c r="KFE36" s="61"/>
      <c r="KFF36" s="1"/>
      <c r="KFG36" s="209"/>
      <c r="KFH36" s="1"/>
      <c r="KFI36" s="61"/>
      <c r="KFJ36" s="1"/>
      <c r="KFK36" s="209"/>
      <c r="KFL36" s="1"/>
      <c r="KFM36" s="61"/>
      <c r="KFN36" s="1"/>
      <c r="KFO36" s="209"/>
      <c r="KFP36" s="1"/>
      <c r="KFQ36" s="61"/>
      <c r="KFR36" s="1"/>
      <c r="KFS36" s="209"/>
      <c r="KFT36" s="1"/>
      <c r="KFU36" s="61"/>
      <c r="KFV36" s="1"/>
      <c r="KFW36" s="209"/>
      <c r="KFX36" s="1"/>
      <c r="KFY36" s="61"/>
      <c r="KFZ36" s="1"/>
      <c r="KGA36" s="209"/>
      <c r="KGB36" s="1"/>
      <c r="KGC36" s="61"/>
      <c r="KGD36" s="1"/>
      <c r="KGE36" s="209"/>
      <c r="KGF36" s="1"/>
      <c r="KGG36" s="61"/>
      <c r="KGH36" s="1"/>
      <c r="KGI36" s="209"/>
      <c r="KGJ36" s="1"/>
      <c r="KGK36" s="61"/>
      <c r="KGL36" s="1"/>
      <c r="KGM36" s="209"/>
      <c r="KGN36" s="1"/>
      <c r="KGO36" s="61"/>
      <c r="KGP36" s="1"/>
      <c r="KGQ36" s="209"/>
      <c r="KGR36" s="1"/>
      <c r="KGS36" s="61"/>
      <c r="KGT36" s="1"/>
      <c r="KGU36" s="209"/>
      <c r="KGV36" s="1"/>
      <c r="KGW36" s="61"/>
      <c r="KGX36" s="1"/>
      <c r="KGY36" s="209"/>
      <c r="KGZ36" s="1"/>
      <c r="KHA36" s="61"/>
      <c r="KHB36" s="1"/>
      <c r="KHC36" s="209"/>
      <c r="KHD36" s="1"/>
      <c r="KHE36" s="61"/>
      <c r="KHF36" s="1"/>
      <c r="KHG36" s="209"/>
      <c r="KHH36" s="1"/>
      <c r="KHI36" s="61"/>
      <c r="KHJ36" s="1"/>
      <c r="KHK36" s="209"/>
      <c r="KHL36" s="1"/>
      <c r="KHM36" s="61"/>
      <c r="KHN36" s="1"/>
      <c r="KHO36" s="209"/>
      <c r="KHP36" s="1"/>
      <c r="KHQ36" s="61"/>
      <c r="KHR36" s="1"/>
      <c r="KHS36" s="209"/>
      <c r="KHT36" s="1"/>
      <c r="KHU36" s="61"/>
      <c r="KHV36" s="1"/>
      <c r="KHW36" s="209"/>
      <c r="KHX36" s="1"/>
      <c r="KHY36" s="61"/>
      <c r="KHZ36" s="1"/>
      <c r="KIA36" s="209"/>
      <c r="KIB36" s="1"/>
      <c r="KIC36" s="61"/>
      <c r="KID36" s="1"/>
      <c r="KIE36" s="209"/>
      <c r="KIF36" s="1"/>
      <c r="KIG36" s="61"/>
      <c r="KIH36" s="1"/>
      <c r="KII36" s="209"/>
      <c r="KIJ36" s="1"/>
      <c r="KIK36" s="61"/>
      <c r="KIL36" s="1"/>
      <c r="KIM36" s="209"/>
      <c r="KIN36" s="1"/>
      <c r="KIO36" s="61"/>
      <c r="KIP36" s="1"/>
      <c r="KIQ36" s="209"/>
      <c r="KIR36" s="1"/>
      <c r="KIS36" s="61"/>
      <c r="KIT36" s="1"/>
      <c r="KIU36" s="209"/>
      <c r="KIV36" s="1"/>
      <c r="KIW36" s="61"/>
      <c r="KIX36" s="1"/>
      <c r="KIY36" s="209"/>
      <c r="KIZ36" s="1"/>
      <c r="KJA36" s="61"/>
      <c r="KJB36" s="1"/>
      <c r="KJC36" s="209"/>
      <c r="KJD36" s="1"/>
      <c r="KJE36" s="61"/>
      <c r="KJF36" s="1"/>
      <c r="KJG36" s="209"/>
      <c r="KJH36" s="1"/>
      <c r="KJI36" s="61"/>
      <c r="KJJ36" s="1"/>
      <c r="KJK36" s="209"/>
      <c r="KJL36" s="1"/>
      <c r="KJM36" s="61"/>
      <c r="KJN36" s="1"/>
      <c r="KJO36" s="209"/>
      <c r="KJP36" s="1"/>
      <c r="KJQ36" s="61"/>
      <c r="KJR36" s="1"/>
      <c r="KJS36" s="209"/>
      <c r="KJT36" s="1"/>
      <c r="KJU36" s="61"/>
      <c r="KJV36" s="1"/>
      <c r="KJW36" s="209"/>
      <c r="KJX36" s="1"/>
      <c r="KJY36" s="61"/>
      <c r="KJZ36" s="1"/>
      <c r="KKA36" s="209"/>
      <c r="KKB36" s="1"/>
      <c r="KKC36" s="61"/>
      <c r="KKD36" s="1"/>
      <c r="KKE36" s="209"/>
      <c r="KKF36" s="1"/>
      <c r="KKG36" s="61"/>
      <c r="KKH36" s="1"/>
      <c r="KKI36" s="209"/>
      <c r="KKJ36" s="1"/>
      <c r="KKK36" s="61"/>
      <c r="KKL36" s="1"/>
      <c r="KKM36" s="209"/>
      <c r="KKN36" s="1"/>
      <c r="KKO36" s="61"/>
      <c r="KKP36" s="1"/>
      <c r="KKQ36" s="209"/>
      <c r="KKR36" s="1"/>
      <c r="KKS36" s="61"/>
      <c r="KKT36" s="1"/>
      <c r="KKU36" s="209"/>
      <c r="KKV36" s="1"/>
      <c r="KKW36" s="61"/>
      <c r="KKX36" s="1"/>
      <c r="KKY36" s="209"/>
      <c r="KKZ36" s="1"/>
      <c r="KLA36" s="61"/>
      <c r="KLB36" s="1"/>
      <c r="KLC36" s="209"/>
      <c r="KLD36" s="1"/>
      <c r="KLE36" s="61"/>
      <c r="KLF36" s="1"/>
      <c r="KLG36" s="209"/>
      <c r="KLH36" s="1"/>
      <c r="KLI36" s="61"/>
      <c r="KLJ36" s="1"/>
      <c r="KLK36" s="209"/>
      <c r="KLL36" s="1"/>
      <c r="KLM36" s="61"/>
      <c r="KLN36" s="1"/>
      <c r="KLO36" s="209"/>
      <c r="KLP36" s="1"/>
      <c r="KLQ36" s="61"/>
      <c r="KLR36" s="1"/>
      <c r="KLS36" s="209"/>
      <c r="KLT36" s="1"/>
      <c r="KLU36" s="61"/>
      <c r="KLV36" s="1"/>
      <c r="KLW36" s="209"/>
      <c r="KLX36" s="1"/>
      <c r="KLY36" s="61"/>
      <c r="KLZ36" s="1"/>
      <c r="KMA36" s="209"/>
      <c r="KMB36" s="1"/>
      <c r="KMC36" s="61"/>
      <c r="KMD36" s="1"/>
      <c r="KME36" s="209"/>
      <c r="KMF36" s="1"/>
      <c r="KMG36" s="61"/>
      <c r="KMH36" s="1"/>
      <c r="KMI36" s="209"/>
      <c r="KMJ36" s="1"/>
      <c r="KMK36" s="61"/>
      <c r="KML36" s="1"/>
      <c r="KMM36" s="209"/>
      <c r="KMN36" s="1"/>
      <c r="KMO36" s="61"/>
      <c r="KMP36" s="1"/>
      <c r="KMQ36" s="209"/>
      <c r="KMR36" s="1"/>
      <c r="KMS36" s="61"/>
      <c r="KMT36" s="1"/>
      <c r="KMU36" s="209"/>
      <c r="KMV36" s="1"/>
      <c r="KMW36" s="61"/>
      <c r="KMX36" s="1"/>
      <c r="KMY36" s="209"/>
      <c r="KMZ36" s="1"/>
      <c r="KNA36" s="61"/>
      <c r="KNB36" s="1"/>
      <c r="KNC36" s="209"/>
      <c r="KND36" s="1"/>
      <c r="KNE36" s="61"/>
      <c r="KNF36" s="1"/>
      <c r="KNG36" s="209"/>
      <c r="KNH36" s="1"/>
      <c r="KNI36" s="61"/>
      <c r="KNJ36" s="1"/>
      <c r="KNK36" s="209"/>
      <c r="KNL36" s="1"/>
      <c r="KNM36" s="61"/>
      <c r="KNN36" s="1"/>
      <c r="KNO36" s="209"/>
      <c r="KNP36" s="1"/>
      <c r="KNQ36" s="61"/>
      <c r="KNR36" s="1"/>
      <c r="KNS36" s="209"/>
      <c r="KNT36" s="1"/>
      <c r="KNU36" s="61"/>
      <c r="KNV36" s="1"/>
      <c r="KNW36" s="209"/>
      <c r="KNX36" s="1"/>
      <c r="KNY36" s="61"/>
      <c r="KNZ36" s="1"/>
      <c r="KOA36" s="209"/>
      <c r="KOB36" s="1"/>
      <c r="KOC36" s="61"/>
      <c r="KOD36" s="1"/>
      <c r="KOE36" s="209"/>
      <c r="KOF36" s="1"/>
      <c r="KOG36" s="61"/>
      <c r="KOH36" s="1"/>
      <c r="KOI36" s="209"/>
      <c r="KOJ36" s="1"/>
      <c r="KOK36" s="61"/>
      <c r="KOL36" s="1"/>
      <c r="KOM36" s="209"/>
      <c r="KON36" s="1"/>
      <c r="KOO36" s="61"/>
      <c r="KOP36" s="1"/>
      <c r="KOQ36" s="209"/>
      <c r="KOR36" s="1"/>
      <c r="KOS36" s="61"/>
      <c r="KOT36" s="1"/>
      <c r="KOU36" s="209"/>
      <c r="KOV36" s="1"/>
      <c r="KOW36" s="61"/>
      <c r="KOX36" s="1"/>
      <c r="KOY36" s="209"/>
      <c r="KOZ36" s="1"/>
      <c r="KPA36" s="61"/>
      <c r="KPB36" s="1"/>
      <c r="KPC36" s="209"/>
      <c r="KPD36" s="1"/>
      <c r="KPE36" s="61"/>
      <c r="KPF36" s="1"/>
      <c r="KPG36" s="209"/>
      <c r="KPH36" s="1"/>
      <c r="KPI36" s="61"/>
      <c r="KPJ36" s="1"/>
      <c r="KPK36" s="209"/>
      <c r="KPL36" s="1"/>
      <c r="KPM36" s="61"/>
      <c r="KPN36" s="1"/>
      <c r="KPO36" s="209"/>
      <c r="KPP36" s="1"/>
      <c r="KPQ36" s="61"/>
      <c r="KPR36" s="1"/>
      <c r="KPS36" s="209"/>
      <c r="KPT36" s="1"/>
      <c r="KPU36" s="61"/>
      <c r="KPV36" s="1"/>
      <c r="KPW36" s="209"/>
      <c r="KPX36" s="1"/>
      <c r="KPY36" s="61"/>
      <c r="KPZ36" s="1"/>
      <c r="KQA36" s="209"/>
      <c r="KQB36" s="1"/>
      <c r="KQC36" s="61"/>
      <c r="KQD36" s="1"/>
      <c r="KQE36" s="209"/>
      <c r="KQF36" s="1"/>
      <c r="KQG36" s="61"/>
      <c r="KQH36" s="1"/>
      <c r="KQI36" s="209"/>
      <c r="KQJ36" s="1"/>
      <c r="KQK36" s="61"/>
      <c r="KQL36" s="1"/>
      <c r="KQM36" s="209"/>
      <c r="KQN36" s="1"/>
      <c r="KQO36" s="61"/>
      <c r="KQP36" s="1"/>
      <c r="KQQ36" s="209"/>
      <c r="KQR36" s="1"/>
      <c r="KQS36" s="61"/>
      <c r="KQT36" s="1"/>
      <c r="KQU36" s="209"/>
      <c r="KQV36" s="1"/>
      <c r="KQW36" s="61"/>
      <c r="KQX36" s="1"/>
      <c r="KQY36" s="209"/>
      <c r="KQZ36" s="1"/>
      <c r="KRA36" s="61"/>
      <c r="KRB36" s="1"/>
      <c r="KRC36" s="209"/>
      <c r="KRD36" s="1"/>
      <c r="KRE36" s="61"/>
      <c r="KRF36" s="1"/>
      <c r="KRG36" s="209"/>
      <c r="KRH36" s="1"/>
      <c r="KRI36" s="61"/>
      <c r="KRJ36" s="1"/>
      <c r="KRK36" s="209"/>
      <c r="KRL36" s="1"/>
      <c r="KRM36" s="61"/>
      <c r="KRN36" s="1"/>
      <c r="KRO36" s="209"/>
      <c r="KRP36" s="1"/>
      <c r="KRQ36" s="61"/>
      <c r="KRR36" s="1"/>
      <c r="KRS36" s="209"/>
      <c r="KRT36" s="1"/>
      <c r="KRU36" s="61"/>
      <c r="KRV36" s="1"/>
      <c r="KRW36" s="209"/>
      <c r="KRX36" s="1"/>
      <c r="KRY36" s="61"/>
      <c r="KRZ36" s="1"/>
      <c r="KSA36" s="209"/>
      <c r="KSB36" s="1"/>
      <c r="KSC36" s="61"/>
      <c r="KSD36" s="1"/>
      <c r="KSE36" s="209"/>
      <c r="KSF36" s="1"/>
      <c r="KSG36" s="61"/>
      <c r="KSH36" s="1"/>
      <c r="KSI36" s="209"/>
      <c r="KSJ36" s="1"/>
      <c r="KSK36" s="61"/>
      <c r="KSL36" s="1"/>
      <c r="KSM36" s="209"/>
      <c r="KSN36" s="1"/>
      <c r="KSO36" s="61"/>
      <c r="KSP36" s="1"/>
      <c r="KSQ36" s="209"/>
      <c r="KSR36" s="1"/>
      <c r="KSS36" s="61"/>
      <c r="KST36" s="1"/>
      <c r="KSU36" s="209"/>
      <c r="KSV36" s="1"/>
      <c r="KSW36" s="61"/>
      <c r="KSX36" s="1"/>
      <c r="KSY36" s="209"/>
      <c r="KSZ36" s="1"/>
      <c r="KTA36" s="61"/>
      <c r="KTB36" s="1"/>
      <c r="KTC36" s="209"/>
      <c r="KTD36" s="1"/>
      <c r="KTE36" s="61"/>
      <c r="KTF36" s="1"/>
      <c r="KTG36" s="209"/>
      <c r="KTH36" s="1"/>
      <c r="KTI36" s="61"/>
      <c r="KTJ36" s="1"/>
      <c r="KTK36" s="209"/>
      <c r="KTL36" s="1"/>
      <c r="KTM36" s="61"/>
      <c r="KTN36" s="1"/>
      <c r="KTO36" s="209"/>
      <c r="KTP36" s="1"/>
      <c r="KTQ36" s="61"/>
      <c r="KTR36" s="1"/>
      <c r="KTS36" s="209"/>
      <c r="KTT36" s="1"/>
      <c r="KTU36" s="61"/>
      <c r="KTV36" s="1"/>
      <c r="KTW36" s="209"/>
      <c r="KTX36" s="1"/>
      <c r="KTY36" s="61"/>
      <c r="KTZ36" s="1"/>
      <c r="KUA36" s="209"/>
      <c r="KUB36" s="1"/>
      <c r="KUC36" s="61"/>
      <c r="KUD36" s="1"/>
      <c r="KUE36" s="209"/>
      <c r="KUF36" s="1"/>
      <c r="KUG36" s="61"/>
      <c r="KUH36" s="1"/>
      <c r="KUI36" s="209"/>
      <c r="KUJ36" s="1"/>
      <c r="KUK36" s="61"/>
      <c r="KUL36" s="1"/>
      <c r="KUM36" s="209"/>
      <c r="KUN36" s="1"/>
      <c r="KUO36" s="61"/>
      <c r="KUP36" s="1"/>
      <c r="KUQ36" s="209"/>
      <c r="KUR36" s="1"/>
      <c r="KUS36" s="61"/>
      <c r="KUT36" s="1"/>
      <c r="KUU36" s="209"/>
      <c r="KUV36" s="1"/>
      <c r="KUW36" s="61"/>
      <c r="KUX36" s="1"/>
      <c r="KUY36" s="209"/>
      <c r="KUZ36" s="1"/>
      <c r="KVA36" s="61"/>
      <c r="KVB36" s="1"/>
      <c r="KVC36" s="209"/>
      <c r="KVD36" s="1"/>
      <c r="KVE36" s="61"/>
      <c r="KVF36" s="1"/>
      <c r="KVG36" s="209"/>
      <c r="KVH36" s="1"/>
      <c r="KVI36" s="61"/>
      <c r="KVJ36" s="1"/>
      <c r="KVK36" s="209"/>
      <c r="KVL36" s="1"/>
      <c r="KVM36" s="61"/>
      <c r="KVN36" s="1"/>
      <c r="KVO36" s="209"/>
      <c r="KVP36" s="1"/>
      <c r="KVQ36" s="61"/>
      <c r="KVR36" s="1"/>
      <c r="KVS36" s="209"/>
      <c r="KVT36" s="1"/>
      <c r="KVU36" s="61"/>
      <c r="KVV36" s="1"/>
      <c r="KVW36" s="209"/>
      <c r="KVX36" s="1"/>
      <c r="KVY36" s="61"/>
      <c r="KVZ36" s="1"/>
      <c r="KWA36" s="209"/>
      <c r="KWB36" s="1"/>
      <c r="KWC36" s="61"/>
      <c r="KWD36" s="1"/>
      <c r="KWE36" s="209"/>
      <c r="KWF36" s="1"/>
      <c r="KWG36" s="61"/>
      <c r="KWH36" s="1"/>
      <c r="KWI36" s="209"/>
      <c r="KWJ36" s="1"/>
      <c r="KWK36" s="61"/>
      <c r="KWL36" s="1"/>
      <c r="KWM36" s="209"/>
      <c r="KWN36" s="1"/>
      <c r="KWO36" s="61"/>
      <c r="KWP36" s="1"/>
      <c r="KWQ36" s="209"/>
      <c r="KWR36" s="1"/>
      <c r="KWS36" s="61"/>
      <c r="KWT36" s="1"/>
      <c r="KWU36" s="209"/>
      <c r="KWV36" s="1"/>
      <c r="KWW36" s="61"/>
      <c r="KWX36" s="1"/>
      <c r="KWY36" s="209"/>
      <c r="KWZ36" s="1"/>
      <c r="KXA36" s="61"/>
      <c r="KXB36" s="1"/>
      <c r="KXC36" s="209"/>
      <c r="KXD36" s="1"/>
      <c r="KXE36" s="61"/>
      <c r="KXF36" s="1"/>
      <c r="KXG36" s="209"/>
      <c r="KXH36" s="1"/>
      <c r="KXI36" s="61"/>
      <c r="KXJ36" s="1"/>
      <c r="KXK36" s="209"/>
      <c r="KXL36" s="1"/>
      <c r="KXM36" s="61"/>
      <c r="KXN36" s="1"/>
      <c r="KXO36" s="209"/>
      <c r="KXP36" s="1"/>
      <c r="KXQ36" s="61"/>
      <c r="KXR36" s="1"/>
      <c r="KXS36" s="209"/>
      <c r="KXT36" s="1"/>
      <c r="KXU36" s="61"/>
      <c r="KXV36" s="1"/>
      <c r="KXW36" s="209"/>
      <c r="KXX36" s="1"/>
      <c r="KXY36" s="61"/>
      <c r="KXZ36" s="1"/>
      <c r="KYA36" s="209"/>
      <c r="KYB36" s="1"/>
      <c r="KYC36" s="61"/>
      <c r="KYD36" s="1"/>
      <c r="KYE36" s="209"/>
      <c r="KYF36" s="1"/>
      <c r="KYG36" s="61"/>
      <c r="KYH36" s="1"/>
      <c r="KYI36" s="209"/>
      <c r="KYJ36" s="1"/>
      <c r="KYK36" s="61"/>
      <c r="KYL36" s="1"/>
      <c r="KYM36" s="209"/>
      <c r="KYN36" s="1"/>
      <c r="KYO36" s="61"/>
      <c r="KYP36" s="1"/>
      <c r="KYQ36" s="209"/>
      <c r="KYR36" s="1"/>
      <c r="KYS36" s="61"/>
      <c r="KYT36" s="1"/>
      <c r="KYU36" s="209"/>
      <c r="KYV36" s="1"/>
      <c r="KYW36" s="61"/>
      <c r="KYX36" s="1"/>
      <c r="KYY36" s="209"/>
      <c r="KYZ36" s="1"/>
      <c r="KZA36" s="61"/>
      <c r="KZB36" s="1"/>
      <c r="KZC36" s="209"/>
      <c r="KZD36" s="1"/>
      <c r="KZE36" s="61"/>
      <c r="KZF36" s="1"/>
      <c r="KZG36" s="209"/>
      <c r="KZH36" s="1"/>
      <c r="KZI36" s="61"/>
      <c r="KZJ36" s="1"/>
      <c r="KZK36" s="209"/>
      <c r="KZL36" s="1"/>
      <c r="KZM36" s="61"/>
      <c r="KZN36" s="1"/>
      <c r="KZO36" s="209"/>
      <c r="KZP36" s="1"/>
      <c r="KZQ36" s="61"/>
      <c r="KZR36" s="1"/>
      <c r="KZS36" s="209"/>
      <c r="KZT36" s="1"/>
      <c r="KZU36" s="61"/>
      <c r="KZV36" s="1"/>
      <c r="KZW36" s="209"/>
      <c r="KZX36" s="1"/>
      <c r="KZY36" s="61"/>
      <c r="KZZ36" s="1"/>
      <c r="LAA36" s="209"/>
      <c r="LAB36" s="1"/>
      <c r="LAC36" s="61"/>
      <c r="LAD36" s="1"/>
      <c r="LAE36" s="209"/>
      <c r="LAF36" s="1"/>
      <c r="LAG36" s="61"/>
      <c r="LAH36" s="1"/>
      <c r="LAI36" s="209"/>
      <c r="LAJ36" s="1"/>
      <c r="LAK36" s="61"/>
      <c r="LAL36" s="1"/>
      <c r="LAM36" s="209"/>
      <c r="LAN36" s="1"/>
      <c r="LAO36" s="61"/>
      <c r="LAP36" s="1"/>
      <c r="LAQ36" s="209"/>
      <c r="LAR36" s="1"/>
      <c r="LAS36" s="61"/>
      <c r="LAT36" s="1"/>
      <c r="LAU36" s="209"/>
      <c r="LAV36" s="1"/>
      <c r="LAW36" s="61"/>
      <c r="LAX36" s="1"/>
      <c r="LAY36" s="209"/>
      <c r="LAZ36" s="1"/>
      <c r="LBA36" s="61"/>
      <c r="LBB36" s="1"/>
      <c r="LBC36" s="209"/>
      <c r="LBD36" s="1"/>
      <c r="LBE36" s="61"/>
      <c r="LBF36" s="1"/>
      <c r="LBG36" s="209"/>
      <c r="LBH36" s="1"/>
      <c r="LBI36" s="61"/>
      <c r="LBJ36" s="1"/>
      <c r="LBK36" s="209"/>
      <c r="LBL36" s="1"/>
      <c r="LBM36" s="61"/>
      <c r="LBN36" s="1"/>
      <c r="LBO36" s="209"/>
      <c r="LBP36" s="1"/>
      <c r="LBQ36" s="61"/>
      <c r="LBR36" s="1"/>
      <c r="LBS36" s="209"/>
      <c r="LBT36" s="1"/>
      <c r="LBU36" s="61"/>
      <c r="LBV36" s="1"/>
      <c r="LBW36" s="209"/>
      <c r="LBX36" s="1"/>
      <c r="LBY36" s="61"/>
      <c r="LBZ36" s="1"/>
      <c r="LCA36" s="209"/>
      <c r="LCB36" s="1"/>
      <c r="LCC36" s="61"/>
      <c r="LCD36" s="1"/>
      <c r="LCE36" s="209"/>
      <c r="LCF36" s="1"/>
      <c r="LCG36" s="61"/>
      <c r="LCH36" s="1"/>
      <c r="LCI36" s="209"/>
      <c r="LCJ36" s="1"/>
      <c r="LCK36" s="61"/>
      <c r="LCL36" s="1"/>
      <c r="LCM36" s="209"/>
      <c r="LCN36" s="1"/>
      <c r="LCO36" s="61"/>
      <c r="LCP36" s="1"/>
      <c r="LCQ36" s="209"/>
      <c r="LCR36" s="1"/>
      <c r="LCS36" s="61"/>
      <c r="LCT36" s="1"/>
      <c r="LCU36" s="209"/>
      <c r="LCV36" s="1"/>
      <c r="LCW36" s="61"/>
      <c r="LCX36" s="1"/>
      <c r="LCY36" s="209"/>
      <c r="LCZ36" s="1"/>
      <c r="LDA36" s="61"/>
      <c r="LDB36" s="1"/>
      <c r="LDC36" s="209"/>
      <c r="LDD36" s="1"/>
      <c r="LDE36" s="61"/>
      <c r="LDF36" s="1"/>
      <c r="LDG36" s="209"/>
      <c r="LDH36" s="1"/>
      <c r="LDI36" s="61"/>
      <c r="LDJ36" s="1"/>
      <c r="LDK36" s="209"/>
      <c r="LDL36" s="1"/>
      <c r="LDM36" s="61"/>
      <c r="LDN36" s="1"/>
      <c r="LDO36" s="209"/>
      <c r="LDP36" s="1"/>
      <c r="LDQ36" s="61"/>
      <c r="LDR36" s="1"/>
      <c r="LDS36" s="209"/>
      <c r="LDT36" s="1"/>
      <c r="LDU36" s="61"/>
      <c r="LDV36" s="1"/>
      <c r="LDW36" s="209"/>
      <c r="LDX36" s="1"/>
      <c r="LDY36" s="61"/>
      <c r="LDZ36" s="1"/>
      <c r="LEA36" s="209"/>
      <c r="LEB36" s="1"/>
      <c r="LEC36" s="61"/>
      <c r="LED36" s="1"/>
      <c r="LEE36" s="209"/>
      <c r="LEF36" s="1"/>
      <c r="LEG36" s="61"/>
      <c r="LEH36" s="1"/>
      <c r="LEI36" s="209"/>
      <c r="LEJ36" s="1"/>
      <c r="LEK36" s="61"/>
      <c r="LEL36" s="1"/>
      <c r="LEM36" s="209"/>
      <c r="LEN36" s="1"/>
      <c r="LEO36" s="61"/>
      <c r="LEP36" s="1"/>
      <c r="LEQ36" s="209"/>
      <c r="LER36" s="1"/>
      <c r="LES36" s="61"/>
      <c r="LET36" s="1"/>
      <c r="LEU36" s="209"/>
      <c r="LEV36" s="1"/>
      <c r="LEW36" s="61"/>
      <c r="LEX36" s="1"/>
      <c r="LEY36" s="209"/>
      <c r="LEZ36" s="1"/>
      <c r="LFA36" s="61"/>
      <c r="LFB36" s="1"/>
      <c r="LFC36" s="209"/>
      <c r="LFD36" s="1"/>
      <c r="LFE36" s="61"/>
      <c r="LFF36" s="1"/>
      <c r="LFG36" s="209"/>
      <c r="LFH36" s="1"/>
      <c r="LFI36" s="61"/>
      <c r="LFJ36" s="1"/>
      <c r="LFK36" s="209"/>
      <c r="LFL36" s="1"/>
      <c r="LFM36" s="61"/>
      <c r="LFN36" s="1"/>
      <c r="LFO36" s="209"/>
      <c r="LFP36" s="1"/>
      <c r="LFQ36" s="61"/>
      <c r="LFR36" s="1"/>
      <c r="LFS36" s="209"/>
      <c r="LFT36" s="1"/>
      <c r="LFU36" s="61"/>
      <c r="LFV36" s="1"/>
      <c r="LFW36" s="209"/>
      <c r="LFX36" s="1"/>
      <c r="LFY36" s="61"/>
      <c r="LFZ36" s="1"/>
      <c r="LGA36" s="209"/>
      <c r="LGB36" s="1"/>
      <c r="LGC36" s="61"/>
      <c r="LGD36" s="1"/>
      <c r="LGE36" s="209"/>
      <c r="LGF36" s="1"/>
      <c r="LGG36" s="61"/>
      <c r="LGH36" s="1"/>
      <c r="LGI36" s="209"/>
      <c r="LGJ36" s="1"/>
      <c r="LGK36" s="61"/>
      <c r="LGL36" s="1"/>
      <c r="LGM36" s="209"/>
      <c r="LGN36" s="1"/>
      <c r="LGO36" s="61"/>
      <c r="LGP36" s="1"/>
      <c r="LGQ36" s="209"/>
      <c r="LGR36" s="1"/>
      <c r="LGS36" s="61"/>
      <c r="LGT36" s="1"/>
      <c r="LGU36" s="209"/>
      <c r="LGV36" s="1"/>
      <c r="LGW36" s="61"/>
      <c r="LGX36" s="1"/>
      <c r="LGY36" s="209"/>
      <c r="LGZ36" s="1"/>
      <c r="LHA36" s="61"/>
      <c r="LHB36" s="1"/>
      <c r="LHC36" s="209"/>
      <c r="LHD36" s="1"/>
      <c r="LHE36" s="61"/>
      <c r="LHF36" s="1"/>
      <c r="LHG36" s="209"/>
      <c r="LHH36" s="1"/>
      <c r="LHI36" s="61"/>
      <c r="LHJ36" s="1"/>
      <c r="LHK36" s="209"/>
      <c r="LHL36" s="1"/>
      <c r="LHM36" s="61"/>
      <c r="LHN36" s="1"/>
      <c r="LHO36" s="209"/>
      <c r="LHP36" s="1"/>
      <c r="LHQ36" s="61"/>
      <c r="LHR36" s="1"/>
      <c r="LHS36" s="209"/>
      <c r="LHT36" s="1"/>
      <c r="LHU36" s="61"/>
      <c r="LHV36" s="1"/>
      <c r="LHW36" s="209"/>
      <c r="LHX36" s="1"/>
      <c r="LHY36" s="61"/>
      <c r="LHZ36" s="1"/>
      <c r="LIA36" s="209"/>
      <c r="LIB36" s="1"/>
      <c r="LIC36" s="61"/>
      <c r="LID36" s="1"/>
      <c r="LIE36" s="209"/>
      <c r="LIF36" s="1"/>
      <c r="LIG36" s="61"/>
      <c r="LIH36" s="1"/>
      <c r="LII36" s="209"/>
      <c r="LIJ36" s="1"/>
      <c r="LIK36" s="61"/>
      <c r="LIL36" s="1"/>
      <c r="LIM36" s="209"/>
      <c r="LIN36" s="1"/>
      <c r="LIO36" s="61"/>
      <c r="LIP36" s="1"/>
      <c r="LIQ36" s="209"/>
      <c r="LIR36" s="1"/>
      <c r="LIS36" s="61"/>
      <c r="LIT36" s="1"/>
      <c r="LIU36" s="209"/>
      <c r="LIV36" s="1"/>
      <c r="LIW36" s="61"/>
      <c r="LIX36" s="1"/>
      <c r="LIY36" s="209"/>
      <c r="LIZ36" s="1"/>
      <c r="LJA36" s="61"/>
      <c r="LJB36" s="1"/>
      <c r="LJC36" s="209"/>
      <c r="LJD36" s="1"/>
      <c r="LJE36" s="61"/>
      <c r="LJF36" s="1"/>
      <c r="LJG36" s="209"/>
      <c r="LJH36" s="1"/>
      <c r="LJI36" s="61"/>
      <c r="LJJ36" s="1"/>
      <c r="LJK36" s="209"/>
      <c r="LJL36" s="1"/>
      <c r="LJM36" s="61"/>
      <c r="LJN36" s="1"/>
      <c r="LJO36" s="209"/>
      <c r="LJP36" s="1"/>
      <c r="LJQ36" s="61"/>
      <c r="LJR36" s="1"/>
      <c r="LJS36" s="209"/>
      <c r="LJT36" s="1"/>
      <c r="LJU36" s="61"/>
      <c r="LJV36" s="1"/>
      <c r="LJW36" s="209"/>
      <c r="LJX36" s="1"/>
      <c r="LJY36" s="61"/>
      <c r="LJZ36" s="1"/>
      <c r="LKA36" s="209"/>
      <c r="LKB36" s="1"/>
      <c r="LKC36" s="61"/>
      <c r="LKD36" s="1"/>
      <c r="LKE36" s="209"/>
      <c r="LKF36" s="1"/>
      <c r="LKG36" s="61"/>
      <c r="LKH36" s="1"/>
      <c r="LKI36" s="209"/>
      <c r="LKJ36" s="1"/>
      <c r="LKK36" s="61"/>
      <c r="LKL36" s="1"/>
      <c r="LKM36" s="209"/>
      <c r="LKN36" s="1"/>
      <c r="LKO36" s="61"/>
      <c r="LKP36" s="1"/>
      <c r="LKQ36" s="209"/>
      <c r="LKR36" s="1"/>
      <c r="LKS36" s="61"/>
      <c r="LKT36" s="1"/>
      <c r="LKU36" s="209"/>
      <c r="LKV36" s="1"/>
      <c r="LKW36" s="61"/>
      <c r="LKX36" s="1"/>
      <c r="LKY36" s="209"/>
      <c r="LKZ36" s="1"/>
      <c r="LLA36" s="61"/>
      <c r="LLB36" s="1"/>
      <c r="LLC36" s="209"/>
      <c r="LLD36" s="1"/>
      <c r="LLE36" s="61"/>
      <c r="LLF36" s="1"/>
      <c r="LLG36" s="209"/>
      <c r="LLH36" s="1"/>
      <c r="LLI36" s="61"/>
      <c r="LLJ36" s="1"/>
      <c r="LLK36" s="209"/>
      <c r="LLL36" s="1"/>
      <c r="LLM36" s="61"/>
      <c r="LLN36" s="1"/>
      <c r="LLO36" s="209"/>
      <c r="LLP36" s="1"/>
      <c r="LLQ36" s="61"/>
      <c r="LLR36" s="1"/>
      <c r="LLS36" s="209"/>
      <c r="LLT36" s="1"/>
      <c r="LLU36" s="61"/>
      <c r="LLV36" s="1"/>
      <c r="LLW36" s="209"/>
      <c r="LLX36" s="1"/>
      <c r="LLY36" s="61"/>
      <c r="LLZ36" s="1"/>
      <c r="LMA36" s="209"/>
      <c r="LMB36" s="1"/>
      <c r="LMC36" s="61"/>
      <c r="LMD36" s="1"/>
      <c r="LME36" s="209"/>
      <c r="LMF36" s="1"/>
      <c r="LMG36" s="61"/>
      <c r="LMH36" s="1"/>
      <c r="LMI36" s="209"/>
      <c r="LMJ36" s="1"/>
      <c r="LMK36" s="61"/>
      <c r="LML36" s="1"/>
      <c r="LMM36" s="209"/>
      <c r="LMN36" s="1"/>
      <c r="LMO36" s="61"/>
      <c r="LMP36" s="1"/>
      <c r="LMQ36" s="209"/>
      <c r="LMR36" s="1"/>
      <c r="LMS36" s="61"/>
      <c r="LMT36" s="1"/>
      <c r="LMU36" s="209"/>
      <c r="LMV36" s="1"/>
      <c r="LMW36" s="61"/>
      <c r="LMX36" s="1"/>
      <c r="LMY36" s="209"/>
      <c r="LMZ36" s="1"/>
      <c r="LNA36" s="61"/>
      <c r="LNB36" s="1"/>
      <c r="LNC36" s="209"/>
      <c r="LND36" s="1"/>
      <c r="LNE36" s="61"/>
      <c r="LNF36" s="1"/>
      <c r="LNG36" s="209"/>
      <c r="LNH36" s="1"/>
      <c r="LNI36" s="61"/>
      <c r="LNJ36" s="1"/>
      <c r="LNK36" s="209"/>
      <c r="LNL36" s="1"/>
      <c r="LNM36" s="61"/>
      <c r="LNN36" s="1"/>
      <c r="LNO36" s="209"/>
      <c r="LNP36" s="1"/>
      <c r="LNQ36" s="61"/>
      <c r="LNR36" s="1"/>
      <c r="LNS36" s="209"/>
      <c r="LNT36" s="1"/>
      <c r="LNU36" s="61"/>
      <c r="LNV36" s="1"/>
      <c r="LNW36" s="209"/>
      <c r="LNX36" s="1"/>
      <c r="LNY36" s="61"/>
      <c r="LNZ36" s="1"/>
      <c r="LOA36" s="209"/>
      <c r="LOB36" s="1"/>
      <c r="LOC36" s="61"/>
      <c r="LOD36" s="1"/>
      <c r="LOE36" s="209"/>
      <c r="LOF36" s="1"/>
      <c r="LOG36" s="61"/>
      <c r="LOH36" s="1"/>
      <c r="LOI36" s="209"/>
      <c r="LOJ36" s="1"/>
      <c r="LOK36" s="61"/>
      <c r="LOL36" s="1"/>
      <c r="LOM36" s="209"/>
      <c r="LON36" s="1"/>
      <c r="LOO36" s="61"/>
      <c r="LOP36" s="1"/>
      <c r="LOQ36" s="209"/>
      <c r="LOR36" s="1"/>
      <c r="LOS36" s="61"/>
      <c r="LOT36" s="1"/>
      <c r="LOU36" s="209"/>
      <c r="LOV36" s="1"/>
      <c r="LOW36" s="61"/>
      <c r="LOX36" s="1"/>
      <c r="LOY36" s="209"/>
      <c r="LOZ36" s="1"/>
      <c r="LPA36" s="61"/>
      <c r="LPB36" s="1"/>
      <c r="LPC36" s="209"/>
      <c r="LPD36" s="1"/>
      <c r="LPE36" s="61"/>
      <c r="LPF36" s="1"/>
      <c r="LPG36" s="209"/>
      <c r="LPH36" s="1"/>
      <c r="LPI36" s="61"/>
      <c r="LPJ36" s="1"/>
      <c r="LPK36" s="209"/>
      <c r="LPL36" s="1"/>
      <c r="LPM36" s="61"/>
      <c r="LPN36" s="1"/>
      <c r="LPO36" s="209"/>
      <c r="LPP36" s="1"/>
      <c r="LPQ36" s="61"/>
      <c r="LPR36" s="1"/>
      <c r="LPS36" s="209"/>
      <c r="LPT36" s="1"/>
      <c r="LPU36" s="61"/>
      <c r="LPV36" s="1"/>
      <c r="LPW36" s="209"/>
      <c r="LPX36" s="1"/>
      <c r="LPY36" s="61"/>
      <c r="LPZ36" s="1"/>
      <c r="LQA36" s="209"/>
      <c r="LQB36" s="1"/>
      <c r="LQC36" s="61"/>
      <c r="LQD36" s="1"/>
      <c r="LQE36" s="209"/>
      <c r="LQF36" s="1"/>
      <c r="LQG36" s="61"/>
      <c r="LQH36" s="1"/>
      <c r="LQI36" s="209"/>
      <c r="LQJ36" s="1"/>
      <c r="LQK36" s="61"/>
      <c r="LQL36" s="1"/>
      <c r="LQM36" s="209"/>
      <c r="LQN36" s="1"/>
      <c r="LQO36" s="61"/>
      <c r="LQP36" s="1"/>
      <c r="LQQ36" s="209"/>
      <c r="LQR36" s="1"/>
      <c r="LQS36" s="61"/>
      <c r="LQT36" s="1"/>
      <c r="LQU36" s="209"/>
      <c r="LQV36" s="1"/>
      <c r="LQW36" s="61"/>
      <c r="LQX36" s="1"/>
      <c r="LQY36" s="209"/>
      <c r="LQZ36" s="1"/>
      <c r="LRA36" s="61"/>
      <c r="LRB36" s="1"/>
      <c r="LRC36" s="209"/>
      <c r="LRD36" s="1"/>
      <c r="LRE36" s="61"/>
      <c r="LRF36" s="1"/>
      <c r="LRG36" s="209"/>
      <c r="LRH36" s="1"/>
      <c r="LRI36" s="61"/>
      <c r="LRJ36" s="1"/>
      <c r="LRK36" s="209"/>
      <c r="LRL36" s="1"/>
      <c r="LRM36" s="61"/>
      <c r="LRN36" s="1"/>
      <c r="LRO36" s="209"/>
      <c r="LRP36" s="1"/>
      <c r="LRQ36" s="61"/>
      <c r="LRR36" s="1"/>
      <c r="LRS36" s="209"/>
      <c r="LRT36" s="1"/>
      <c r="LRU36" s="61"/>
      <c r="LRV36" s="1"/>
      <c r="LRW36" s="209"/>
      <c r="LRX36" s="1"/>
      <c r="LRY36" s="61"/>
      <c r="LRZ36" s="1"/>
      <c r="LSA36" s="209"/>
      <c r="LSB36" s="1"/>
      <c r="LSC36" s="61"/>
      <c r="LSD36" s="1"/>
      <c r="LSE36" s="209"/>
      <c r="LSF36" s="1"/>
      <c r="LSG36" s="61"/>
      <c r="LSH36" s="1"/>
      <c r="LSI36" s="209"/>
      <c r="LSJ36" s="1"/>
      <c r="LSK36" s="61"/>
      <c r="LSL36" s="1"/>
      <c r="LSM36" s="209"/>
      <c r="LSN36" s="1"/>
      <c r="LSO36" s="61"/>
      <c r="LSP36" s="1"/>
      <c r="LSQ36" s="209"/>
      <c r="LSR36" s="1"/>
      <c r="LSS36" s="61"/>
      <c r="LST36" s="1"/>
      <c r="LSU36" s="209"/>
      <c r="LSV36" s="1"/>
      <c r="LSW36" s="61"/>
      <c r="LSX36" s="1"/>
      <c r="LSY36" s="209"/>
      <c r="LSZ36" s="1"/>
      <c r="LTA36" s="61"/>
      <c r="LTB36" s="1"/>
      <c r="LTC36" s="209"/>
      <c r="LTD36" s="1"/>
      <c r="LTE36" s="61"/>
      <c r="LTF36" s="1"/>
      <c r="LTG36" s="209"/>
      <c r="LTH36" s="1"/>
      <c r="LTI36" s="61"/>
      <c r="LTJ36" s="1"/>
      <c r="LTK36" s="209"/>
      <c r="LTL36" s="1"/>
      <c r="LTM36" s="61"/>
      <c r="LTN36" s="1"/>
      <c r="LTO36" s="209"/>
      <c r="LTP36" s="1"/>
      <c r="LTQ36" s="61"/>
      <c r="LTR36" s="1"/>
      <c r="LTS36" s="209"/>
      <c r="LTT36" s="1"/>
      <c r="LTU36" s="61"/>
      <c r="LTV36" s="1"/>
      <c r="LTW36" s="209"/>
      <c r="LTX36" s="1"/>
      <c r="LTY36" s="61"/>
      <c r="LTZ36" s="1"/>
      <c r="LUA36" s="209"/>
      <c r="LUB36" s="1"/>
      <c r="LUC36" s="61"/>
      <c r="LUD36" s="1"/>
      <c r="LUE36" s="209"/>
      <c r="LUF36" s="1"/>
      <c r="LUG36" s="61"/>
      <c r="LUH36" s="1"/>
      <c r="LUI36" s="209"/>
      <c r="LUJ36" s="1"/>
      <c r="LUK36" s="61"/>
      <c r="LUL36" s="1"/>
      <c r="LUM36" s="209"/>
      <c r="LUN36" s="1"/>
      <c r="LUO36" s="61"/>
      <c r="LUP36" s="1"/>
      <c r="LUQ36" s="209"/>
      <c r="LUR36" s="1"/>
      <c r="LUS36" s="61"/>
      <c r="LUT36" s="1"/>
      <c r="LUU36" s="209"/>
      <c r="LUV36" s="1"/>
      <c r="LUW36" s="61"/>
      <c r="LUX36" s="1"/>
      <c r="LUY36" s="209"/>
      <c r="LUZ36" s="1"/>
      <c r="LVA36" s="61"/>
      <c r="LVB36" s="1"/>
      <c r="LVC36" s="209"/>
      <c r="LVD36" s="1"/>
      <c r="LVE36" s="61"/>
      <c r="LVF36" s="1"/>
      <c r="LVG36" s="209"/>
      <c r="LVH36" s="1"/>
      <c r="LVI36" s="61"/>
      <c r="LVJ36" s="1"/>
      <c r="LVK36" s="209"/>
      <c r="LVL36" s="1"/>
      <c r="LVM36" s="61"/>
      <c r="LVN36" s="1"/>
      <c r="LVO36" s="209"/>
      <c r="LVP36" s="1"/>
      <c r="LVQ36" s="61"/>
      <c r="LVR36" s="1"/>
      <c r="LVS36" s="209"/>
      <c r="LVT36" s="1"/>
      <c r="LVU36" s="61"/>
      <c r="LVV36" s="1"/>
      <c r="LVW36" s="209"/>
      <c r="LVX36" s="1"/>
      <c r="LVY36" s="61"/>
      <c r="LVZ36" s="1"/>
      <c r="LWA36" s="209"/>
      <c r="LWB36" s="1"/>
      <c r="LWC36" s="61"/>
      <c r="LWD36" s="1"/>
      <c r="LWE36" s="209"/>
      <c r="LWF36" s="1"/>
      <c r="LWG36" s="61"/>
      <c r="LWH36" s="1"/>
      <c r="LWI36" s="209"/>
      <c r="LWJ36" s="1"/>
      <c r="LWK36" s="61"/>
      <c r="LWL36" s="1"/>
      <c r="LWM36" s="209"/>
      <c r="LWN36" s="1"/>
      <c r="LWO36" s="61"/>
      <c r="LWP36" s="1"/>
      <c r="LWQ36" s="209"/>
      <c r="LWR36" s="1"/>
      <c r="LWS36" s="61"/>
      <c r="LWT36" s="1"/>
      <c r="LWU36" s="209"/>
      <c r="LWV36" s="1"/>
      <c r="LWW36" s="61"/>
      <c r="LWX36" s="1"/>
      <c r="LWY36" s="209"/>
      <c r="LWZ36" s="1"/>
      <c r="LXA36" s="61"/>
      <c r="LXB36" s="1"/>
      <c r="LXC36" s="209"/>
      <c r="LXD36" s="1"/>
      <c r="LXE36" s="61"/>
      <c r="LXF36" s="1"/>
      <c r="LXG36" s="209"/>
      <c r="LXH36" s="1"/>
      <c r="LXI36" s="61"/>
      <c r="LXJ36" s="1"/>
      <c r="LXK36" s="209"/>
      <c r="LXL36" s="1"/>
      <c r="LXM36" s="61"/>
      <c r="LXN36" s="1"/>
      <c r="LXO36" s="209"/>
      <c r="LXP36" s="1"/>
      <c r="LXQ36" s="61"/>
      <c r="LXR36" s="1"/>
      <c r="LXS36" s="209"/>
      <c r="LXT36" s="1"/>
      <c r="LXU36" s="61"/>
      <c r="LXV36" s="1"/>
      <c r="LXW36" s="209"/>
      <c r="LXX36" s="1"/>
      <c r="LXY36" s="61"/>
      <c r="LXZ36" s="1"/>
      <c r="LYA36" s="209"/>
      <c r="LYB36" s="1"/>
      <c r="LYC36" s="61"/>
      <c r="LYD36" s="1"/>
      <c r="LYE36" s="209"/>
      <c r="LYF36" s="1"/>
      <c r="LYG36" s="61"/>
      <c r="LYH36" s="1"/>
      <c r="LYI36" s="209"/>
      <c r="LYJ36" s="1"/>
      <c r="LYK36" s="61"/>
      <c r="LYL36" s="1"/>
      <c r="LYM36" s="209"/>
      <c r="LYN36" s="1"/>
      <c r="LYO36" s="61"/>
      <c r="LYP36" s="1"/>
      <c r="LYQ36" s="209"/>
      <c r="LYR36" s="1"/>
      <c r="LYS36" s="61"/>
      <c r="LYT36" s="1"/>
      <c r="LYU36" s="209"/>
      <c r="LYV36" s="1"/>
      <c r="LYW36" s="61"/>
      <c r="LYX36" s="1"/>
      <c r="LYY36" s="209"/>
      <c r="LYZ36" s="1"/>
      <c r="LZA36" s="61"/>
      <c r="LZB36" s="1"/>
      <c r="LZC36" s="209"/>
      <c r="LZD36" s="1"/>
      <c r="LZE36" s="61"/>
      <c r="LZF36" s="1"/>
      <c r="LZG36" s="209"/>
      <c r="LZH36" s="1"/>
      <c r="LZI36" s="61"/>
      <c r="LZJ36" s="1"/>
      <c r="LZK36" s="209"/>
      <c r="LZL36" s="1"/>
      <c r="LZM36" s="61"/>
      <c r="LZN36" s="1"/>
      <c r="LZO36" s="209"/>
      <c r="LZP36" s="1"/>
      <c r="LZQ36" s="61"/>
      <c r="LZR36" s="1"/>
      <c r="LZS36" s="209"/>
      <c r="LZT36" s="1"/>
      <c r="LZU36" s="61"/>
      <c r="LZV36" s="1"/>
      <c r="LZW36" s="209"/>
      <c r="LZX36" s="1"/>
      <c r="LZY36" s="61"/>
      <c r="LZZ36" s="1"/>
      <c r="MAA36" s="209"/>
      <c r="MAB36" s="1"/>
      <c r="MAC36" s="61"/>
      <c r="MAD36" s="1"/>
      <c r="MAE36" s="209"/>
      <c r="MAF36" s="1"/>
      <c r="MAG36" s="61"/>
      <c r="MAH36" s="1"/>
      <c r="MAI36" s="209"/>
      <c r="MAJ36" s="1"/>
      <c r="MAK36" s="61"/>
      <c r="MAL36" s="1"/>
      <c r="MAM36" s="209"/>
      <c r="MAN36" s="1"/>
      <c r="MAO36" s="61"/>
      <c r="MAP36" s="1"/>
      <c r="MAQ36" s="209"/>
      <c r="MAR36" s="1"/>
      <c r="MAS36" s="61"/>
      <c r="MAT36" s="1"/>
      <c r="MAU36" s="209"/>
      <c r="MAV36" s="1"/>
      <c r="MAW36" s="61"/>
      <c r="MAX36" s="1"/>
      <c r="MAY36" s="209"/>
      <c r="MAZ36" s="1"/>
      <c r="MBA36" s="61"/>
      <c r="MBB36" s="1"/>
      <c r="MBC36" s="209"/>
      <c r="MBD36" s="1"/>
      <c r="MBE36" s="61"/>
      <c r="MBF36" s="1"/>
      <c r="MBG36" s="209"/>
      <c r="MBH36" s="1"/>
      <c r="MBI36" s="61"/>
      <c r="MBJ36" s="1"/>
      <c r="MBK36" s="209"/>
      <c r="MBL36" s="1"/>
      <c r="MBM36" s="61"/>
      <c r="MBN36" s="1"/>
      <c r="MBO36" s="209"/>
      <c r="MBP36" s="1"/>
      <c r="MBQ36" s="61"/>
      <c r="MBR36" s="1"/>
      <c r="MBS36" s="209"/>
      <c r="MBT36" s="1"/>
      <c r="MBU36" s="61"/>
      <c r="MBV36" s="1"/>
      <c r="MBW36" s="209"/>
      <c r="MBX36" s="1"/>
      <c r="MBY36" s="61"/>
      <c r="MBZ36" s="1"/>
      <c r="MCA36" s="209"/>
      <c r="MCB36" s="1"/>
      <c r="MCC36" s="61"/>
      <c r="MCD36" s="1"/>
      <c r="MCE36" s="209"/>
      <c r="MCF36" s="1"/>
      <c r="MCG36" s="61"/>
      <c r="MCH36" s="1"/>
      <c r="MCI36" s="209"/>
      <c r="MCJ36" s="1"/>
      <c r="MCK36" s="61"/>
      <c r="MCL36" s="1"/>
      <c r="MCM36" s="209"/>
      <c r="MCN36" s="1"/>
      <c r="MCO36" s="61"/>
      <c r="MCP36" s="1"/>
      <c r="MCQ36" s="209"/>
      <c r="MCR36" s="1"/>
      <c r="MCS36" s="61"/>
      <c r="MCT36" s="1"/>
      <c r="MCU36" s="209"/>
      <c r="MCV36" s="1"/>
      <c r="MCW36" s="61"/>
      <c r="MCX36" s="1"/>
      <c r="MCY36" s="209"/>
      <c r="MCZ36" s="1"/>
      <c r="MDA36" s="61"/>
      <c r="MDB36" s="1"/>
      <c r="MDC36" s="209"/>
      <c r="MDD36" s="1"/>
      <c r="MDE36" s="61"/>
      <c r="MDF36" s="1"/>
      <c r="MDG36" s="209"/>
      <c r="MDH36" s="1"/>
      <c r="MDI36" s="61"/>
      <c r="MDJ36" s="1"/>
      <c r="MDK36" s="209"/>
      <c r="MDL36" s="1"/>
      <c r="MDM36" s="61"/>
      <c r="MDN36" s="1"/>
      <c r="MDO36" s="209"/>
      <c r="MDP36" s="1"/>
      <c r="MDQ36" s="61"/>
      <c r="MDR36" s="1"/>
      <c r="MDS36" s="209"/>
      <c r="MDT36" s="1"/>
      <c r="MDU36" s="61"/>
      <c r="MDV36" s="1"/>
      <c r="MDW36" s="209"/>
      <c r="MDX36" s="1"/>
      <c r="MDY36" s="61"/>
      <c r="MDZ36" s="1"/>
      <c r="MEA36" s="209"/>
      <c r="MEB36" s="1"/>
      <c r="MEC36" s="61"/>
      <c r="MED36" s="1"/>
      <c r="MEE36" s="209"/>
      <c r="MEF36" s="1"/>
      <c r="MEG36" s="61"/>
      <c r="MEH36" s="1"/>
      <c r="MEI36" s="209"/>
      <c r="MEJ36" s="1"/>
      <c r="MEK36" s="61"/>
      <c r="MEL36" s="1"/>
      <c r="MEM36" s="209"/>
      <c r="MEN36" s="1"/>
      <c r="MEO36" s="61"/>
      <c r="MEP36" s="1"/>
      <c r="MEQ36" s="209"/>
      <c r="MER36" s="1"/>
      <c r="MES36" s="61"/>
      <c r="MET36" s="1"/>
      <c r="MEU36" s="209"/>
      <c r="MEV36" s="1"/>
      <c r="MEW36" s="61"/>
      <c r="MEX36" s="1"/>
      <c r="MEY36" s="209"/>
      <c r="MEZ36" s="1"/>
      <c r="MFA36" s="61"/>
      <c r="MFB36" s="1"/>
      <c r="MFC36" s="209"/>
      <c r="MFD36" s="1"/>
      <c r="MFE36" s="61"/>
      <c r="MFF36" s="1"/>
      <c r="MFG36" s="209"/>
      <c r="MFH36" s="1"/>
      <c r="MFI36" s="61"/>
      <c r="MFJ36" s="1"/>
      <c r="MFK36" s="209"/>
      <c r="MFL36" s="1"/>
      <c r="MFM36" s="61"/>
      <c r="MFN36" s="1"/>
      <c r="MFO36" s="209"/>
      <c r="MFP36" s="1"/>
      <c r="MFQ36" s="61"/>
      <c r="MFR36" s="1"/>
      <c r="MFS36" s="209"/>
      <c r="MFT36" s="1"/>
      <c r="MFU36" s="61"/>
      <c r="MFV36" s="1"/>
      <c r="MFW36" s="209"/>
      <c r="MFX36" s="1"/>
      <c r="MFY36" s="61"/>
      <c r="MFZ36" s="1"/>
      <c r="MGA36" s="209"/>
      <c r="MGB36" s="1"/>
      <c r="MGC36" s="61"/>
      <c r="MGD36" s="1"/>
      <c r="MGE36" s="209"/>
      <c r="MGF36" s="1"/>
      <c r="MGG36" s="61"/>
      <c r="MGH36" s="1"/>
      <c r="MGI36" s="209"/>
      <c r="MGJ36" s="1"/>
      <c r="MGK36" s="61"/>
      <c r="MGL36" s="1"/>
      <c r="MGM36" s="209"/>
      <c r="MGN36" s="1"/>
      <c r="MGO36" s="61"/>
      <c r="MGP36" s="1"/>
      <c r="MGQ36" s="209"/>
      <c r="MGR36" s="1"/>
      <c r="MGS36" s="61"/>
      <c r="MGT36" s="1"/>
      <c r="MGU36" s="209"/>
      <c r="MGV36" s="1"/>
      <c r="MGW36" s="61"/>
      <c r="MGX36" s="1"/>
      <c r="MGY36" s="209"/>
      <c r="MGZ36" s="1"/>
      <c r="MHA36" s="61"/>
      <c r="MHB36" s="1"/>
      <c r="MHC36" s="209"/>
      <c r="MHD36" s="1"/>
      <c r="MHE36" s="61"/>
      <c r="MHF36" s="1"/>
      <c r="MHG36" s="209"/>
      <c r="MHH36" s="1"/>
      <c r="MHI36" s="61"/>
      <c r="MHJ36" s="1"/>
      <c r="MHK36" s="209"/>
      <c r="MHL36" s="1"/>
      <c r="MHM36" s="61"/>
      <c r="MHN36" s="1"/>
      <c r="MHO36" s="209"/>
      <c r="MHP36" s="1"/>
      <c r="MHQ36" s="61"/>
      <c r="MHR36" s="1"/>
      <c r="MHS36" s="209"/>
      <c r="MHT36" s="1"/>
      <c r="MHU36" s="61"/>
      <c r="MHV36" s="1"/>
      <c r="MHW36" s="209"/>
      <c r="MHX36" s="1"/>
      <c r="MHY36" s="61"/>
      <c r="MHZ36" s="1"/>
      <c r="MIA36" s="209"/>
      <c r="MIB36" s="1"/>
      <c r="MIC36" s="61"/>
      <c r="MID36" s="1"/>
      <c r="MIE36" s="209"/>
      <c r="MIF36" s="1"/>
      <c r="MIG36" s="61"/>
      <c r="MIH36" s="1"/>
      <c r="MII36" s="209"/>
      <c r="MIJ36" s="1"/>
      <c r="MIK36" s="61"/>
      <c r="MIL36" s="1"/>
      <c r="MIM36" s="209"/>
      <c r="MIN36" s="1"/>
      <c r="MIO36" s="61"/>
      <c r="MIP36" s="1"/>
      <c r="MIQ36" s="209"/>
      <c r="MIR36" s="1"/>
      <c r="MIS36" s="61"/>
      <c r="MIT36" s="1"/>
      <c r="MIU36" s="209"/>
      <c r="MIV36" s="1"/>
      <c r="MIW36" s="61"/>
      <c r="MIX36" s="1"/>
      <c r="MIY36" s="209"/>
      <c r="MIZ36" s="1"/>
      <c r="MJA36" s="61"/>
      <c r="MJB36" s="1"/>
      <c r="MJC36" s="209"/>
      <c r="MJD36" s="1"/>
      <c r="MJE36" s="61"/>
      <c r="MJF36" s="1"/>
      <c r="MJG36" s="209"/>
      <c r="MJH36" s="1"/>
      <c r="MJI36" s="61"/>
      <c r="MJJ36" s="1"/>
      <c r="MJK36" s="209"/>
      <c r="MJL36" s="1"/>
      <c r="MJM36" s="61"/>
      <c r="MJN36" s="1"/>
      <c r="MJO36" s="209"/>
      <c r="MJP36" s="1"/>
      <c r="MJQ36" s="61"/>
      <c r="MJR36" s="1"/>
      <c r="MJS36" s="209"/>
      <c r="MJT36" s="1"/>
      <c r="MJU36" s="61"/>
      <c r="MJV36" s="1"/>
      <c r="MJW36" s="209"/>
      <c r="MJX36" s="1"/>
      <c r="MJY36" s="61"/>
      <c r="MJZ36" s="1"/>
      <c r="MKA36" s="209"/>
      <c r="MKB36" s="1"/>
      <c r="MKC36" s="61"/>
      <c r="MKD36" s="1"/>
      <c r="MKE36" s="209"/>
      <c r="MKF36" s="1"/>
      <c r="MKG36" s="61"/>
      <c r="MKH36" s="1"/>
      <c r="MKI36" s="209"/>
      <c r="MKJ36" s="1"/>
      <c r="MKK36" s="61"/>
      <c r="MKL36" s="1"/>
      <c r="MKM36" s="209"/>
      <c r="MKN36" s="1"/>
      <c r="MKO36" s="61"/>
      <c r="MKP36" s="1"/>
      <c r="MKQ36" s="209"/>
      <c r="MKR36" s="1"/>
      <c r="MKS36" s="61"/>
      <c r="MKT36" s="1"/>
      <c r="MKU36" s="209"/>
      <c r="MKV36" s="1"/>
      <c r="MKW36" s="61"/>
      <c r="MKX36" s="1"/>
      <c r="MKY36" s="209"/>
      <c r="MKZ36" s="1"/>
      <c r="MLA36" s="61"/>
      <c r="MLB36" s="1"/>
      <c r="MLC36" s="209"/>
      <c r="MLD36" s="1"/>
      <c r="MLE36" s="61"/>
      <c r="MLF36" s="1"/>
      <c r="MLG36" s="209"/>
      <c r="MLH36" s="1"/>
      <c r="MLI36" s="61"/>
      <c r="MLJ36" s="1"/>
      <c r="MLK36" s="209"/>
      <c r="MLL36" s="1"/>
      <c r="MLM36" s="61"/>
      <c r="MLN36" s="1"/>
      <c r="MLO36" s="209"/>
      <c r="MLP36" s="1"/>
      <c r="MLQ36" s="61"/>
      <c r="MLR36" s="1"/>
      <c r="MLS36" s="209"/>
      <c r="MLT36" s="1"/>
      <c r="MLU36" s="61"/>
      <c r="MLV36" s="1"/>
      <c r="MLW36" s="209"/>
      <c r="MLX36" s="1"/>
      <c r="MLY36" s="61"/>
      <c r="MLZ36" s="1"/>
      <c r="MMA36" s="209"/>
      <c r="MMB36" s="1"/>
      <c r="MMC36" s="61"/>
      <c r="MMD36" s="1"/>
      <c r="MME36" s="209"/>
      <c r="MMF36" s="1"/>
      <c r="MMG36" s="61"/>
      <c r="MMH36" s="1"/>
      <c r="MMI36" s="209"/>
      <c r="MMJ36" s="1"/>
      <c r="MMK36" s="61"/>
      <c r="MML36" s="1"/>
      <c r="MMM36" s="209"/>
      <c r="MMN36" s="1"/>
      <c r="MMO36" s="61"/>
      <c r="MMP36" s="1"/>
      <c r="MMQ36" s="209"/>
      <c r="MMR36" s="1"/>
      <c r="MMS36" s="61"/>
      <c r="MMT36" s="1"/>
      <c r="MMU36" s="209"/>
      <c r="MMV36" s="1"/>
      <c r="MMW36" s="61"/>
      <c r="MMX36" s="1"/>
      <c r="MMY36" s="209"/>
      <c r="MMZ36" s="1"/>
      <c r="MNA36" s="61"/>
      <c r="MNB36" s="1"/>
      <c r="MNC36" s="209"/>
      <c r="MND36" s="1"/>
      <c r="MNE36" s="61"/>
      <c r="MNF36" s="1"/>
      <c r="MNG36" s="209"/>
      <c r="MNH36" s="1"/>
      <c r="MNI36" s="61"/>
      <c r="MNJ36" s="1"/>
      <c r="MNK36" s="209"/>
      <c r="MNL36" s="1"/>
      <c r="MNM36" s="61"/>
      <c r="MNN36" s="1"/>
      <c r="MNO36" s="209"/>
      <c r="MNP36" s="1"/>
      <c r="MNQ36" s="61"/>
      <c r="MNR36" s="1"/>
      <c r="MNS36" s="209"/>
      <c r="MNT36" s="1"/>
      <c r="MNU36" s="61"/>
      <c r="MNV36" s="1"/>
      <c r="MNW36" s="209"/>
      <c r="MNX36" s="1"/>
      <c r="MNY36" s="61"/>
      <c r="MNZ36" s="1"/>
      <c r="MOA36" s="209"/>
      <c r="MOB36" s="1"/>
      <c r="MOC36" s="61"/>
      <c r="MOD36" s="1"/>
      <c r="MOE36" s="209"/>
      <c r="MOF36" s="1"/>
      <c r="MOG36" s="61"/>
      <c r="MOH36" s="1"/>
      <c r="MOI36" s="209"/>
      <c r="MOJ36" s="1"/>
      <c r="MOK36" s="61"/>
      <c r="MOL36" s="1"/>
      <c r="MOM36" s="209"/>
      <c r="MON36" s="1"/>
      <c r="MOO36" s="61"/>
      <c r="MOP36" s="1"/>
      <c r="MOQ36" s="209"/>
      <c r="MOR36" s="1"/>
      <c r="MOS36" s="61"/>
      <c r="MOT36" s="1"/>
      <c r="MOU36" s="209"/>
      <c r="MOV36" s="1"/>
      <c r="MOW36" s="61"/>
      <c r="MOX36" s="1"/>
      <c r="MOY36" s="209"/>
      <c r="MOZ36" s="1"/>
      <c r="MPA36" s="61"/>
      <c r="MPB36" s="1"/>
      <c r="MPC36" s="209"/>
      <c r="MPD36" s="1"/>
      <c r="MPE36" s="61"/>
      <c r="MPF36" s="1"/>
      <c r="MPG36" s="209"/>
      <c r="MPH36" s="1"/>
      <c r="MPI36" s="61"/>
      <c r="MPJ36" s="1"/>
      <c r="MPK36" s="209"/>
      <c r="MPL36" s="1"/>
      <c r="MPM36" s="61"/>
      <c r="MPN36" s="1"/>
      <c r="MPO36" s="209"/>
      <c r="MPP36" s="1"/>
      <c r="MPQ36" s="61"/>
      <c r="MPR36" s="1"/>
      <c r="MPS36" s="209"/>
      <c r="MPT36" s="1"/>
      <c r="MPU36" s="61"/>
      <c r="MPV36" s="1"/>
      <c r="MPW36" s="209"/>
      <c r="MPX36" s="1"/>
      <c r="MPY36" s="61"/>
      <c r="MPZ36" s="1"/>
      <c r="MQA36" s="209"/>
      <c r="MQB36" s="1"/>
      <c r="MQC36" s="61"/>
      <c r="MQD36" s="1"/>
      <c r="MQE36" s="209"/>
      <c r="MQF36" s="1"/>
      <c r="MQG36" s="61"/>
      <c r="MQH36" s="1"/>
      <c r="MQI36" s="209"/>
      <c r="MQJ36" s="1"/>
      <c r="MQK36" s="61"/>
      <c r="MQL36" s="1"/>
      <c r="MQM36" s="209"/>
      <c r="MQN36" s="1"/>
      <c r="MQO36" s="61"/>
      <c r="MQP36" s="1"/>
      <c r="MQQ36" s="209"/>
      <c r="MQR36" s="1"/>
      <c r="MQS36" s="61"/>
      <c r="MQT36" s="1"/>
      <c r="MQU36" s="209"/>
      <c r="MQV36" s="1"/>
      <c r="MQW36" s="61"/>
      <c r="MQX36" s="1"/>
      <c r="MQY36" s="209"/>
      <c r="MQZ36" s="1"/>
      <c r="MRA36" s="61"/>
      <c r="MRB36" s="1"/>
      <c r="MRC36" s="209"/>
      <c r="MRD36" s="1"/>
      <c r="MRE36" s="61"/>
      <c r="MRF36" s="1"/>
      <c r="MRG36" s="209"/>
      <c r="MRH36" s="1"/>
      <c r="MRI36" s="61"/>
      <c r="MRJ36" s="1"/>
      <c r="MRK36" s="209"/>
      <c r="MRL36" s="1"/>
      <c r="MRM36" s="61"/>
      <c r="MRN36" s="1"/>
      <c r="MRO36" s="209"/>
      <c r="MRP36" s="1"/>
      <c r="MRQ36" s="61"/>
      <c r="MRR36" s="1"/>
      <c r="MRS36" s="209"/>
      <c r="MRT36" s="1"/>
      <c r="MRU36" s="61"/>
      <c r="MRV36" s="1"/>
      <c r="MRW36" s="209"/>
      <c r="MRX36" s="1"/>
      <c r="MRY36" s="61"/>
      <c r="MRZ36" s="1"/>
      <c r="MSA36" s="209"/>
      <c r="MSB36" s="1"/>
      <c r="MSC36" s="61"/>
      <c r="MSD36" s="1"/>
      <c r="MSE36" s="209"/>
      <c r="MSF36" s="1"/>
      <c r="MSG36" s="61"/>
      <c r="MSH36" s="1"/>
      <c r="MSI36" s="209"/>
      <c r="MSJ36" s="1"/>
      <c r="MSK36" s="61"/>
      <c r="MSL36" s="1"/>
      <c r="MSM36" s="209"/>
      <c r="MSN36" s="1"/>
      <c r="MSO36" s="61"/>
      <c r="MSP36" s="1"/>
      <c r="MSQ36" s="209"/>
      <c r="MSR36" s="1"/>
      <c r="MSS36" s="61"/>
      <c r="MST36" s="1"/>
      <c r="MSU36" s="209"/>
      <c r="MSV36" s="1"/>
      <c r="MSW36" s="61"/>
      <c r="MSX36" s="1"/>
      <c r="MSY36" s="209"/>
      <c r="MSZ36" s="1"/>
      <c r="MTA36" s="61"/>
      <c r="MTB36" s="1"/>
      <c r="MTC36" s="209"/>
      <c r="MTD36" s="1"/>
      <c r="MTE36" s="61"/>
      <c r="MTF36" s="1"/>
      <c r="MTG36" s="209"/>
      <c r="MTH36" s="1"/>
      <c r="MTI36" s="61"/>
      <c r="MTJ36" s="1"/>
      <c r="MTK36" s="209"/>
      <c r="MTL36" s="1"/>
      <c r="MTM36" s="61"/>
      <c r="MTN36" s="1"/>
      <c r="MTO36" s="209"/>
      <c r="MTP36" s="1"/>
      <c r="MTQ36" s="61"/>
      <c r="MTR36" s="1"/>
      <c r="MTS36" s="209"/>
      <c r="MTT36" s="1"/>
      <c r="MTU36" s="61"/>
      <c r="MTV36" s="1"/>
      <c r="MTW36" s="209"/>
      <c r="MTX36" s="1"/>
      <c r="MTY36" s="61"/>
      <c r="MTZ36" s="1"/>
      <c r="MUA36" s="209"/>
      <c r="MUB36" s="1"/>
      <c r="MUC36" s="61"/>
      <c r="MUD36" s="1"/>
      <c r="MUE36" s="209"/>
      <c r="MUF36" s="1"/>
      <c r="MUG36" s="61"/>
      <c r="MUH36" s="1"/>
      <c r="MUI36" s="209"/>
      <c r="MUJ36" s="1"/>
      <c r="MUK36" s="61"/>
      <c r="MUL36" s="1"/>
      <c r="MUM36" s="209"/>
      <c r="MUN36" s="1"/>
      <c r="MUO36" s="61"/>
      <c r="MUP36" s="1"/>
      <c r="MUQ36" s="209"/>
      <c r="MUR36" s="1"/>
      <c r="MUS36" s="61"/>
      <c r="MUT36" s="1"/>
      <c r="MUU36" s="209"/>
      <c r="MUV36" s="1"/>
      <c r="MUW36" s="61"/>
      <c r="MUX36" s="1"/>
      <c r="MUY36" s="209"/>
      <c r="MUZ36" s="1"/>
      <c r="MVA36" s="61"/>
      <c r="MVB36" s="1"/>
      <c r="MVC36" s="209"/>
      <c r="MVD36" s="1"/>
      <c r="MVE36" s="61"/>
      <c r="MVF36" s="1"/>
      <c r="MVG36" s="209"/>
      <c r="MVH36" s="1"/>
      <c r="MVI36" s="61"/>
      <c r="MVJ36" s="1"/>
      <c r="MVK36" s="209"/>
      <c r="MVL36" s="1"/>
      <c r="MVM36" s="61"/>
      <c r="MVN36" s="1"/>
      <c r="MVO36" s="209"/>
      <c r="MVP36" s="1"/>
      <c r="MVQ36" s="61"/>
      <c r="MVR36" s="1"/>
      <c r="MVS36" s="209"/>
      <c r="MVT36" s="1"/>
      <c r="MVU36" s="61"/>
      <c r="MVV36" s="1"/>
      <c r="MVW36" s="209"/>
      <c r="MVX36" s="1"/>
      <c r="MVY36" s="61"/>
      <c r="MVZ36" s="1"/>
      <c r="MWA36" s="209"/>
      <c r="MWB36" s="1"/>
      <c r="MWC36" s="61"/>
      <c r="MWD36" s="1"/>
      <c r="MWE36" s="209"/>
      <c r="MWF36" s="1"/>
      <c r="MWG36" s="61"/>
      <c r="MWH36" s="1"/>
      <c r="MWI36" s="209"/>
      <c r="MWJ36" s="1"/>
      <c r="MWK36" s="61"/>
      <c r="MWL36" s="1"/>
      <c r="MWM36" s="209"/>
      <c r="MWN36" s="1"/>
      <c r="MWO36" s="61"/>
      <c r="MWP36" s="1"/>
      <c r="MWQ36" s="209"/>
      <c r="MWR36" s="1"/>
      <c r="MWS36" s="61"/>
      <c r="MWT36" s="1"/>
      <c r="MWU36" s="209"/>
      <c r="MWV36" s="1"/>
      <c r="MWW36" s="61"/>
      <c r="MWX36" s="1"/>
      <c r="MWY36" s="209"/>
      <c r="MWZ36" s="1"/>
      <c r="MXA36" s="61"/>
      <c r="MXB36" s="1"/>
      <c r="MXC36" s="209"/>
      <c r="MXD36" s="1"/>
      <c r="MXE36" s="61"/>
      <c r="MXF36" s="1"/>
      <c r="MXG36" s="209"/>
      <c r="MXH36" s="1"/>
      <c r="MXI36" s="61"/>
      <c r="MXJ36" s="1"/>
      <c r="MXK36" s="209"/>
      <c r="MXL36" s="1"/>
      <c r="MXM36" s="61"/>
      <c r="MXN36" s="1"/>
      <c r="MXO36" s="209"/>
      <c r="MXP36" s="1"/>
      <c r="MXQ36" s="61"/>
      <c r="MXR36" s="1"/>
      <c r="MXS36" s="209"/>
      <c r="MXT36" s="1"/>
      <c r="MXU36" s="61"/>
      <c r="MXV36" s="1"/>
      <c r="MXW36" s="209"/>
      <c r="MXX36" s="1"/>
      <c r="MXY36" s="61"/>
      <c r="MXZ36" s="1"/>
      <c r="MYA36" s="209"/>
      <c r="MYB36" s="1"/>
      <c r="MYC36" s="61"/>
      <c r="MYD36" s="1"/>
      <c r="MYE36" s="209"/>
      <c r="MYF36" s="1"/>
      <c r="MYG36" s="61"/>
      <c r="MYH36" s="1"/>
      <c r="MYI36" s="209"/>
      <c r="MYJ36" s="1"/>
      <c r="MYK36" s="61"/>
      <c r="MYL36" s="1"/>
      <c r="MYM36" s="209"/>
      <c r="MYN36" s="1"/>
      <c r="MYO36" s="61"/>
      <c r="MYP36" s="1"/>
      <c r="MYQ36" s="209"/>
      <c r="MYR36" s="1"/>
      <c r="MYS36" s="61"/>
      <c r="MYT36" s="1"/>
      <c r="MYU36" s="209"/>
      <c r="MYV36" s="1"/>
      <c r="MYW36" s="61"/>
      <c r="MYX36" s="1"/>
      <c r="MYY36" s="209"/>
      <c r="MYZ36" s="1"/>
      <c r="MZA36" s="61"/>
      <c r="MZB36" s="1"/>
      <c r="MZC36" s="209"/>
      <c r="MZD36" s="1"/>
      <c r="MZE36" s="61"/>
      <c r="MZF36" s="1"/>
      <c r="MZG36" s="209"/>
      <c r="MZH36" s="1"/>
      <c r="MZI36" s="61"/>
      <c r="MZJ36" s="1"/>
      <c r="MZK36" s="209"/>
      <c r="MZL36" s="1"/>
      <c r="MZM36" s="61"/>
      <c r="MZN36" s="1"/>
      <c r="MZO36" s="209"/>
      <c r="MZP36" s="1"/>
      <c r="MZQ36" s="61"/>
      <c r="MZR36" s="1"/>
      <c r="MZS36" s="209"/>
      <c r="MZT36" s="1"/>
      <c r="MZU36" s="61"/>
      <c r="MZV36" s="1"/>
      <c r="MZW36" s="209"/>
      <c r="MZX36" s="1"/>
      <c r="MZY36" s="61"/>
      <c r="MZZ36" s="1"/>
      <c r="NAA36" s="209"/>
      <c r="NAB36" s="1"/>
      <c r="NAC36" s="61"/>
      <c r="NAD36" s="1"/>
      <c r="NAE36" s="209"/>
      <c r="NAF36" s="1"/>
      <c r="NAG36" s="61"/>
      <c r="NAH36" s="1"/>
      <c r="NAI36" s="209"/>
      <c r="NAJ36" s="1"/>
      <c r="NAK36" s="61"/>
      <c r="NAL36" s="1"/>
      <c r="NAM36" s="209"/>
      <c r="NAN36" s="1"/>
      <c r="NAO36" s="61"/>
      <c r="NAP36" s="1"/>
      <c r="NAQ36" s="209"/>
      <c r="NAR36" s="1"/>
      <c r="NAS36" s="61"/>
      <c r="NAT36" s="1"/>
      <c r="NAU36" s="209"/>
      <c r="NAV36" s="1"/>
      <c r="NAW36" s="61"/>
      <c r="NAX36" s="1"/>
      <c r="NAY36" s="209"/>
      <c r="NAZ36" s="1"/>
      <c r="NBA36" s="61"/>
      <c r="NBB36" s="1"/>
      <c r="NBC36" s="209"/>
      <c r="NBD36" s="1"/>
      <c r="NBE36" s="61"/>
      <c r="NBF36" s="1"/>
      <c r="NBG36" s="209"/>
      <c r="NBH36" s="1"/>
      <c r="NBI36" s="61"/>
      <c r="NBJ36" s="1"/>
      <c r="NBK36" s="209"/>
      <c r="NBL36" s="1"/>
      <c r="NBM36" s="61"/>
      <c r="NBN36" s="1"/>
      <c r="NBO36" s="209"/>
      <c r="NBP36" s="1"/>
      <c r="NBQ36" s="61"/>
      <c r="NBR36" s="1"/>
      <c r="NBS36" s="209"/>
      <c r="NBT36" s="1"/>
      <c r="NBU36" s="61"/>
      <c r="NBV36" s="1"/>
      <c r="NBW36" s="209"/>
      <c r="NBX36" s="1"/>
      <c r="NBY36" s="61"/>
      <c r="NBZ36" s="1"/>
      <c r="NCA36" s="209"/>
      <c r="NCB36" s="1"/>
      <c r="NCC36" s="61"/>
      <c r="NCD36" s="1"/>
      <c r="NCE36" s="209"/>
      <c r="NCF36" s="1"/>
      <c r="NCG36" s="61"/>
      <c r="NCH36" s="1"/>
      <c r="NCI36" s="209"/>
      <c r="NCJ36" s="1"/>
      <c r="NCK36" s="61"/>
      <c r="NCL36" s="1"/>
      <c r="NCM36" s="209"/>
      <c r="NCN36" s="1"/>
      <c r="NCO36" s="61"/>
      <c r="NCP36" s="1"/>
      <c r="NCQ36" s="209"/>
      <c r="NCR36" s="1"/>
      <c r="NCS36" s="61"/>
      <c r="NCT36" s="1"/>
      <c r="NCU36" s="209"/>
      <c r="NCV36" s="1"/>
      <c r="NCW36" s="61"/>
      <c r="NCX36" s="1"/>
      <c r="NCY36" s="209"/>
      <c r="NCZ36" s="1"/>
      <c r="NDA36" s="61"/>
      <c r="NDB36" s="1"/>
      <c r="NDC36" s="209"/>
      <c r="NDD36" s="1"/>
      <c r="NDE36" s="61"/>
      <c r="NDF36" s="1"/>
      <c r="NDG36" s="209"/>
      <c r="NDH36" s="1"/>
      <c r="NDI36" s="61"/>
      <c r="NDJ36" s="1"/>
      <c r="NDK36" s="209"/>
      <c r="NDL36" s="1"/>
      <c r="NDM36" s="61"/>
      <c r="NDN36" s="1"/>
      <c r="NDO36" s="209"/>
      <c r="NDP36" s="1"/>
      <c r="NDQ36" s="61"/>
      <c r="NDR36" s="1"/>
      <c r="NDS36" s="209"/>
      <c r="NDT36" s="1"/>
      <c r="NDU36" s="61"/>
      <c r="NDV36" s="1"/>
      <c r="NDW36" s="209"/>
      <c r="NDX36" s="1"/>
      <c r="NDY36" s="61"/>
      <c r="NDZ36" s="1"/>
      <c r="NEA36" s="209"/>
      <c r="NEB36" s="1"/>
      <c r="NEC36" s="61"/>
      <c r="NED36" s="1"/>
      <c r="NEE36" s="209"/>
      <c r="NEF36" s="1"/>
      <c r="NEG36" s="61"/>
      <c r="NEH36" s="1"/>
      <c r="NEI36" s="209"/>
      <c r="NEJ36" s="1"/>
      <c r="NEK36" s="61"/>
      <c r="NEL36" s="1"/>
      <c r="NEM36" s="209"/>
      <c r="NEN36" s="1"/>
      <c r="NEO36" s="61"/>
      <c r="NEP36" s="1"/>
      <c r="NEQ36" s="209"/>
      <c r="NER36" s="1"/>
      <c r="NES36" s="61"/>
      <c r="NET36" s="1"/>
      <c r="NEU36" s="209"/>
      <c r="NEV36" s="1"/>
      <c r="NEW36" s="61"/>
      <c r="NEX36" s="1"/>
      <c r="NEY36" s="209"/>
      <c r="NEZ36" s="1"/>
      <c r="NFA36" s="61"/>
      <c r="NFB36" s="1"/>
      <c r="NFC36" s="209"/>
      <c r="NFD36" s="1"/>
      <c r="NFE36" s="61"/>
      <c r="NFF36" s="1"/>
      <c r="NFG36" s="209"/>
      <c r="NFH36" s="1"/>
      <c r="NFI36" s="61"/>
      <c r="NFJ36" s="1"/>
      <c r="NFK36" s="209"/>
      <c r="NFL36" s="1"/>
      <c r="NFM36" s="61"/>
      <c r="NFN36" s="1"/>
      <c r="NFO36" s="209"/>
      <c r="NFP36" s="1"/>
      <c r="NFQ36" s="61"/>
      <c r="NFR36" s="1"/>
      <c r="NFS36" s="209"/>
      <c r="NFT36" s="1"/>
      <c r="NFU36" s="61"/>
      <c r="NFV36" s="1"/>
      <c r="NFW36" s="209"/>
      <c r="NFX36" s="1"/>
      <c r="NFY36" s="61"/>
      <c r="NFZ36" s="1"/>
      <c r="NGA36" s="209"/>
      <c r="NGB36" s="1"/>
      <c r="NGC36" s="61"/>
      <c r="NGD36" s="1"/>
      <c r="NGE36" s="209"/>
      <c r="NGF36" s="1"/>
      <c r="NGG36" s="61"/>
      <c r="NGH36" s="1"/>
      <c r="NGI36" s="209"/>
      <c r="NGJ36" s="1"/>
      <c r="NGK36" s="61"/>
      <c r="NGL36" s="1"/>
      <c r="NGM36" s="209"/>
      <c r="NGN36" s="1"/>
      <c r="NGO36" s="61"/>
      <c r="NGP36" s="1"/>
      <c r="NGQ36" s="209"/>
      <c r="NGR36" s="1"/>
      <c r="NGS36" s="61"/>
      <c r="NGT36" s="1"/>
      <c r="NGU36" s="209"/>
      <c r="NGV36" s="1"/>
      <c r="NGW36" s="61"/>
      <c r="NGX36" s="1"/>
      <c r="NGY36" s="209"/>
      <c r="NGZ36" s="1"/>
      <c r="NHA36" s="61"/>
      <c r="NHB36" s="1"/>
      <c r="NHC36" s="209"/>
      <c r="NHD36" s="1"/>
      <c r="NHE36" s="61"/>
      <c r="NHF36" s="1"/>
      <c r="NHG36" s="209"/>
      <c r="NHH36" s="1"/>
      <c r="NHI36" s="61"/>
      <c r="NHJ36" s="1"/>
      <c r="NHK36" s="209"/>
      <c r="NHL36" s="1"/>
      <c r="NHM36" s="61"/>
      <c r="NHN36" s="1"/>
      <c r="NHO36" s="209"/>
      <c r="NHP36" s="1"/>
      <c r="NHQ36" s="61"/>
      <c r="NHR36" s="1"/>
      <c r="NHS36" s="209"/>
      <c r="NHT36" s="1"/>
      <c r="NHU36" s="61"/>
      <c r="NHV36" s="1"/>
      <c r="NHW36" s="209"/>
      <c r="NHX36" s="1"/>
      <c r="NHY36" s="61"/>
      <c r="NHZ36" s="1"/>
      <c r="NIA36" s="209"/>
      <c r="NIB36" s="1"/>
      <c r="NIC36" s="61"/>
      <c r="NID36" s="1"/>
      <c r="NIE36" s="209"/>
      <c r="NIF36" s="1"/>
      <c r="NIG36" s="61"/>
      <c r="NIH36" s="1"/>
      <c r="NII36" s="209"/>
      <c r="NIJ36" s="1"/>
      <c r="NIK36" s="61"/>
      <c r="NIL36" s="1"/>
      <c r="NIM36" s="209"/>
      <c r="NIN36" s="1"/>
      <c r="NIO36" s="61"/>
      <c r="NIP36" s="1"/>
      <c r="NIQ36" s="209"/>
      <c r="NIR36" s="1"/>
      <c r="NIS36" s="61"/>
      <c r="NIT36" s="1"/>
      <c r="NIU36" s="209"/>
      <c r="NIV36" s="1"/>
      <c r="NIW36" s="61"/>
      <c r="NIX36" s="1"/>
      <c r="NIY36" s="209"/>
      <c r="NIZ36" s="1"/>
      <c r="NJA36" s="61"/>
      <c r="NJB36" s="1"/>
      <c r="NJC36" s="209"/>
      <c r="NJD36" s="1"/>
      <c r="NJE36" s="61"/>
      <c r="NJF36" s="1"/>
      <c r="NJG36" s="209"/>
      <c r="NJH36" s="1"/>
      <c r="NJI36" s="61"/>
      <c r="NJJ36" s="1"/>
      <c r="NJK36" s="209"/>
      <c r="NJL36" s="1"/>
      <c r="NJM36" s="61"/>
      <c r="NJN36" s="1"/>
      <c r="NJO36" s="209"/>
      <c r="NJP36" s="1"/>
      <c r="NJQ36" s="61"/>
      <c r="NJR36" s="1"/>
      <c r="NJS36" s="209"/>
      <c r="NJT36" s="1"/>
      <c r="NJU36" s="61"/>
      <c r="NJV36" s="1"/>
      <c r="NJW36" s="209"/>
      <c r="NJX36" s="1"/>
      <c r="NJY36" s="61"/>
      <c r="NJZ36" s="1"/>
      <c r="NKA36" s="209"/>
      <c r="NKB36" s="1"/>
      <c r="NKC36" s="61"/>
      <c r="NKD36" s="1"/>
      <c r="NKE36" s="209"/>
      <c r="NKF36" s="1"/>
      <c r="NKG36" s="61"/>
      <c r="NKH36" s="1"/>
      <c r="NKI36" s="209"/>
      <c r="NKJ36" s="1"/>
      <c r="NKK36" s="61"/>
      <c r="NKL36" s="1"/>
      <c r="NKM36" s="209"/>
      <c r="NKN36" s="1"/>
      <c r="NKO36" s="61"/>
      <c r="NKP36" s="1"/>
      <c r="NKQ36" s="209"/>
      <c r="NKR36" s="1"/>
      <c r="NKS36" s="61"/>
      <c r="NKT36" s="1"/>
      <c r="NKU36" s="209"/>
      <c r="NKV36" s="1"/>
      <c r="NKW36" s="61"/>
      <c r="NKX36" s="1"/>
      <c r="NKY36" s="209"/>
      <c r="NKZ36" s="1"/>
      <c r="NLA36" s="61"/>
      <c r="NLB36" s="1"/>
      <c r="NLC36" s="209"/>
      <c r="NLD36" s="1"/>
      <c r="NLE36" s="61"/>
      <c r="NLF36" s="1"/>
      <c r="NLG36" s="209"/>
      <c r="NLH36" s="1"/>
      <c r="NLI36" s="61"/>
      <c r="NLJ36" s="1"/>
      <c r="NLK36" s="209"/>
      <c r="NLL36" s="1"/>
      <c r="NLM36" s="61"/>
      <c r="NLN36" s="1"/>
      <c r="NLO36" s="209"/>
      <c r="NLP36" s="1"/>
      <c r="NLQ36" s="61"/>
      <c r="NLR36" s="1"/>
      <c r="NLS36" s="209"/>
      <c r="NLT36" s="1"/>
      <c r="NLU36" s="61"/>
      <c r="NLV36" s="1"/>
      <c r="NLW36" s="209"/>
      <c r="NLX36" s="1"/>
      <c r="NLY36" s="61"/>
      <c r="NLZ36" s="1"/>
      <c r="NMA36" s="209"/>
      <c r="NMB36" s="1"/>
      <c r="NMC36" s="61"/>
      <c r="NMD36" s="1"/>
      <c r="NME36" s="209"/>
      <c r="NMF36" s="1"/>
      <c r="NMG36" s="61"/>
      <c r="NMH36" s="1"/>
      <c r="NMI36" s="209"/>
      <c r="NMJ36" s="1"/>
      <c r="NMK36" s="61"/>
      <c r="NML36" s="1"/>
      <c r="NMM36" s="209"/>
      <c r="NMN36" s="1"/>
      <c r="NMO36" s="61"/>
      <c r="NMP36" s="1"/>
      <c r="NMQ36" s="209"/>
      <c r="NMR36" s="1"/>
      <c r="NMS36" s="61"/>
      <c r="NMT36" s="1"/>
      <c r="NMU36" s="209"/>
      <c r="NMV36" s="1"/>
      <c r="NMW36" s="61"/>
      <c r="NMX36" s="1"/>
      <c r="NMY36" s="209"/>
      <c r="NMZ36" s="1"/>
      <c r="NNA36" s="61"/>
      <c r="NNB36" s="1"/>
      <c r="NNC36" s="209"/>
      <c r="NND36" s="1"/>
      <c r="NNE36" s="61"/>
      <c r="NNF36" s="1"/>
      <c r="NNG36" s="209"/>
      <c r="NNH36" s="1"/>
      <c r="NNI36" s="61"/>
      <c r="NNJ36" s="1"/>
      <c r="NNK36" s="209"/>
      <c r="NNL36" s="1"/>
      <c r="NNM36" s="61"/>
      <c r="NNN36" s="1"/>
      <c r="NNO36" s="209"/>
      <c r="NNP36" s="1"/>
      <c r="NNQ36" s="61"/>
      <c r="NNR36" s="1"/>
      <c r="NNS36" s="209"/>
      <c r="NNT36" s="1"/>
      <c r="NNU36" s="61"/>
      <c r="NNV36" s="1"/>
      <c r="NNW36" s="209"/>
      <c r="NNX36" s="1"/>
      <c r="NNY36" s="61"/>
      <c r="NNZ36" s="1"/>
      <c r="NOA36" s="209"/>
      <c r="NOB36" s="1"/>
      <c r="NOC36" s="61"/>
      <c r="NOD36" s="1"/>
      <c r="NOE36" s="209"/>
      <c r="NOF36" s="1"/>
      <c r="NOG36" s="61"/>
      <c r="NOH36" s="1"/>
      <c r="NOI36" s="209"/>
      <c r="NOJ36" s="1"/>
      <c r="NOK36" s="61"/>
      <c r="NOL36" s="1"/>
      <c r="NOM36" s="209"/>
      <c r="NON36" s="1"/>
      <c r="NOO36" s="61"/>
      <c r="NOP36" s="1"/>
      <c r="NOQ36" s="209"/>
      <c r="NOR36" s="1"/>
      <c r="NOS36" s="61"/>
      <c r="NOT36" s="1"/>
      <c r="NOU36" s="209"/>
      <c r="NOV36" s="1"/>
      <c r="NOW36" s="61"/>
      <c r="NOX36" s="1"/>
      <c r="NOY36" s="209"/>
      <c r="NOZ36" s="1"/>
      <c r="NPA36" s="61"/>
      <c r="NPB36" s="1"/>
      <c r="NPC36" s="209"/>
      <c r="NPD36" s="1"/>
      <c r="NPE36" s="61"/>
      <c r="NPF36" s="1"/>
      <c r="NPG36" s="209"/>
      <c r="NPH36" s="1"/>
      <c r="NPI36" s="61"/>
      <c r="NPJ36" s="1"/>
      <c r="NPK36" s="209"/>
      <c r="NPL36" s="1"/>
      <c r="NPM36" s="61"/>
      <c r="NPN36" s="1"/>
      <c r="NPO36" s="209"/>
      <c r="NPP36" s="1"/>
      <c r="NPQ36" s="61"/>
      <c r="NPR36" s="1"/>
      <c r="NPS36" s="209"/>
      <c r="NPT36" s="1"/>
      <c r="NPU36" s="61"/>
      <c r="NPV36" s="1"/>
      <c r="NPW36" s="209"/>
      <c r="NPX36" s="1"/>
      <c r="NPY36" s="61"/>
      <c r="NPZ36" s="1"/>
      <c r="NQA36" s="209"/>
      <c r="NQB36" s="1"/>
      <c r="NQC36" s="61"/>
      <c r="NQD36" s="1"/>
      <c r="NQE36" s="209"/>
      <c r="NQF36" s="1"/>
      <c r="NQG36" s="61"/>
      <c r="NQH36" s="1"/>
      <c r="NQI36" s="209"/>
      <c r="NQJ36" s="1"/>
      <c r="NQK36" s="61"/>
      <c r="NQL36" s="1"/>
      <c r="NQM36" s="209"/>
      <c r="NQN36" s="1"/>
      <c r="NQO36" s="61"/>
      <c r="NQP36" s="1"/>
      <c r="NQQ36" s="209"/>
      <c r="NQR36" s="1"/>
      <c r="NQS36" s="61"/>
      <c r="NQT36" s="1"/>
      <c r="NQU36" s="209"/>
      <c r="NQV36" s="1"/>
      <c r="NQW36" s="61"/>
      <c r="NQX36" s="1"/>
      <c r="NQY36" s="209"/>
      <c r="NQZ36" s="1"/>
      <c r="NRA36" s="61"/>
      <c r="NRB36" s="1"/>
      <c r="NRC36" s="209"/>
      <c r="NRD36" s="1"/>
      <c r="NRE36" s="61"/>
      <c r="NRF36" s="1"/>
      <c r="NRG36" s="209"/>
      <c r="NRH36" s="1"/>
      <c r="NRI36" s="61"/>
      <c r="NRJ36" s="1"/>
      <c r="NRK36" s="209"/>
      <c r="NRL36" s="1"/>
      <c r="NRM36" s="61"/>
      <c r="NRN36" s="1"/>
      <c r="NRO36" s="209"/>
      <c r="NRP36" s="1"/>
      <c r="NRQ36" s="61"/>
      <c r="NRR36" s="1"/>
      <c r="NRS36" s="209"/>
      <c r="NRT36" s="1"/>
      <c r="NRU36" s="61"/>
      <c r="NRV36" s="1"/>
      <c r="NRW36" s="209"/>
      <c r="NRX36" s="1"/>
      <c r="NRY36" s="61"/>
      <c r="NRZ36" s="1"/>
      <c r="NSA36" s="209"/>
      <c r="NSB36" s="1"/>
      <c r="NSC36" s="61"/>
      <c r="NSD36" s="1"/>
      <c r="NSE36" s="209"/>
      <c r="NSF36" s="1"/>
      <c r="NSG36" s="61"/>
      <c r="NSH36" s="1"/>
      <c r="NSI36" s="209"/>
      <c r="NSJ36" s="1"/>
      <c r="NSK36" s="61"/>
      <c r="NSL36" s="1"/>
      <c r="NSM36" s="209"/>
      <c r="NSN36" s="1"/>
      <c r="NSO36" s="61"/>
      <c r="NSP36" s="1"/>
      <c r="NSQ36" s="209"/>
      <c r="NSR36" s="1"/>
      <c r="NSS36" s="61"/>
      <c r="NST36" s="1"/>
      <c r="NSU36" s="209"/>
      <c r="NSV36" s="1"/>
      <c r="NSW36" s="61"/>
      <c r="NSX36" s="1"/>
      <c r="NSY36" s="209"/>
      <c r="NSZ36" s="1"/>
      <c r="NTA36" s="61"/>
      <c r="NTB36" s="1"/>
      <c r="NTC36" s="209"/>
      <c r="NTD36" s="1"/>
      <c r="NTE36" s="61"/>
      <c r="NTF36" s="1"/>
      <c r="NTG36" s="209"/>
      <c r="NTH36" s="1"/>
      <c r="NTI36" s="61"/>
      <c r="NTJ36" s="1"/>
      <c r="NTK36" s="209"/>
      <c r="NTL36" s="1"/>
      <c r="NTM36" s="61"/>
      <c r="NTN36" s="1"/>
      <c r="NTO36" s="209"/>
      <c r="NTP36" s="1"/>
      <c r="NTQ36" s="61"/>
      <c r="NTR36" s="1"/>
      <c r="NTS36" s="209"/>
      <c r="NTT36" s="1"/>
      <c r="NTU36" s="61"/>
      <c r="NTV36" s="1"/>
      <c r="NTW36" s="209"/>
      <c r="NTX36" s="1"/>
      <c r="NTY36" s="61"/>
      <c r="NTZ36" s="1"/>
      <c r="NUA36" s="209"/>
      <c r="NUB36" s="1"/>
      <c r="NUC36" s="61"/>
      <c r="NUD36" s="1"/>
      <c r="NUE36" s="209"/>
      <c r="NUF36" s="1"/>
      <c r="NUG36" s="61"/>
      <c r="NUH36" s="1"/>
      <c r="NUI36" s="209"/>
      <c r="NUJ36" s="1"/>
      <c r="NUK36" s="61"/>
      <c r="NUL36" s="1"/>
      <c r="NUM36" s="209"/>
      <c r="NUN36" s="1"/>
      <c r="NUO36" s="61"/>
      <c r="NUP36" s="1"/>
      <c r="NUQ36" s="209"/>
      <c r="NUR36" s="1"/>
      <c r="NUS36" s="61"/>
      <c r="NUT36" s="1"/>
      <c r="NUU36" s="209"/>
      <c r="NUV36" s="1"/>
      <c r="NUW36" s="61"/>
      <c r="NUX36" s="1"/>
      <c r="NUY36" s="209"/>
      <c r="NUZ36" s="1"/>
      <c r="NVA36" s="61"/>
      <c r="NVB36" s="1"/>
      <c r="NVC36" s="209"/>
      <c r="NVD36" s="1"/>
      <c r="NVE36" s="61"/>
      <c r="NVF36" s="1"/>
      <c r="NVG36" s="209"/>
      <c r="NVH36" s="1"/>
      <c r="NVI36" s="61"/>
      <c r="NVJ36" s="1"/>
      <c r="NVK36" s="209"/>
      <c r="NVL36" s="1"/>
      <c r="NVM36" s="61"/>
      <c r="NVN36" s="1"/>
      <c r="NVO36" s="209"/>
      <c r="NVP36" s="1"/>
      <c r="NVQ36" s="61"/>
      <c r="NVR36" s="1"/>
      <c r="NVS36" s="209"/>
      <c r="NVT36" s="1"/>
      <c r="NVU36" s="61"/>
      <c r="NVV36" s="1"/>
      <c r="NVW36" s="209"/>
      <c r="NVX36" s="1"/>
      <c r="NVY36" s="61"/>
      <c r="NVZ36" s="1"/>
      <c r="NWA36" s="209"/>
      <c r="NWB36" s="1"/>
      <c r="NWC36" s="61"/>
      <c r="NWD36" s="1"/>
      <c r="NWE36" s="209"/>
      <c r="NWF36" s="1"/>
      <c r="NWG36" s="61"/>
      <c r="NWH36" s="1"/>
      <c r="NWI36" s="209"/>
      <c r="NWJ36" s="1"/>
      <c r="NWK36" s="61"/>
      <c r="NWL36" s="1"/>
      <c r="NWM36" s="209"/>
      <c r="NWN36" s="1"/>
      <c r="NWO36" s="61"/>
      <c r="NWP36" s="1"/>
      <c r="NWQ36" s="209"/>
      <c r="NWR36" s="1"/>
      <c r="NWS36" s="61"/>
      <c r="NWT36" s="1"/>
      <c r="NWU36" s="209"/>
      <c r="NWV36" s="1"/>
      <c r="NWW36" s="61"/>
      <c r="NWX36" s="1"/>
      <c r="NWY36" s="209"/>
      <c r="NWZ36" s="1"/>
      <c r="NXA36" s="61"/>
      <c r="NXB36" s="1"/>
      <c r="NXC36" s="209"/>
      <c r="NXD36" s="1"/>
      <c r="NXE36" s="61"/>
      <c r="NXF36" s="1"/>
      <c r="NXG36" s="209"/>
      <c r="NXH36" s="1"/>
      <c r="NXI36" s="61"/>
      <c r="NXJ36" s="1"/>
      <c r="NXK36" s="209"/>
      <c r="NXL36" s="1"/>
      <c r="NXM36" s="61"/>
      <c r="NXN36" s="1"/>
      <c r="NXO36" s="209"/>
      <c r="NXP36" s="1"/>
      <c r="NXQ36" s="61"/>
      <c r="NXR36" s="1"/>
      <c r="NXS36" s="209"/>
      <c r="NXT36" s="1"/>
      <c r="NXU36" s="61"/>
      <c r="NXV36" s="1"/>
      <c r="NXW36" s="209"/>
      <c r="NXX36" s="1"/>
      <c r="NXY36" s="61"/>
      <c r="NXZ36" s="1"/>
      <c r="NYA36" s="209"/>
      <c r="NYB36" s="1"/>
      <c r="NYC36" s="61"/>
      <c r="NYD36" s="1"/>
      <c r="NYE36" s="209"/>
      <c r="NYF36" s="1"/>
      <c r="NYG36" s="61"/>
      <c r="NYH36" s="1"/>
      <c r="NYI36" s="209"/>
      <c r="NYJ36" s="1"/>
      <c r="NYK36" s="61"/>
      <c r="NYL36" s="1"/>
      <c r="NYM36" s="209"/>
      <c r="NYN36" s="1"/>
      <c r="NYO36" s="61"/>
      <c r="NYP36" s="1"/>
      <c r="NYQ36" s="209"/>
      <c r="NYR36" s="1"/>
      <c r="NYS36" s="61"/>
      <c r="NYT36" s="1"/>
      <c r="NYU36" s="209"/>
      <c r="NYV36" s="1"/>
      <c r="NYW36" s="61"/>
      <c r="NYX36" s="1"/>
      <c r="NYY36" s="209"/>
      <c r="NYZ36" s="1"/>
      <c r="NZA36" s="61"/>
      <c r="NZB36" s="1"/>
      <c r="NZC36" s="209"/>
      <c r="NZD36" s="1"/>
      <c r="NZE36" s="61"/>
      <c r="NZF36" s="1"/>
      <c r="NZG36" s="209"/>
      <c r="NZH36" s="1"/>
      <c r="NZI36" s="61"/>
      <c r="NZJ36" s="1"/>
      <c r="NZK36" s="209"/>
      <c r="NZL36" s="1"/>
      <c r="NZM36" s="61"/>
      <c r="NZN36" s="1"/>
      <c r="NZO36" s="209"/>
      <c r="NZP36" s="1"/>
      <c r="NZQ36" s="61"/>
      <c r="NZR36" s="1"/>
      <c r="NZS36" s="209"/>
      <c r="NZT36" s="1"/>
      <c r="NZU36" s="61"/>
      <c r="NZV36" s="1"/>
      <c r="NZW36" s="209"/>
      <c r="NZX36" s="1"/>
      <c r="NZY36" s="61"/>
      <c r="NZZ36" s="1"/>
      <c r="OAA36" s="209"/>
      <c r="OAB36" s="1"/>
      <c r="OAC36" s="61"/>
      <c r="OAD36" s="1"/>
      <c r="OAE36" s="209"/>
      <c r="OAF36" s="1"/>
      <c r="OAG36" s="61"/>
      <c r="OAH36" s="1"/>
      <c r="OAI36" s="209"/>
      <c r="OAJ36" s="1"/>
      <c r="OAK36" s="61"/>
      <c r="OAL36" s="1"/>
      <c r="OAM36" s="209"/>
      <c r="OAN36" s="1"/>
      <c r="OAO36" s="61"/>
      <c r="OAP36" s="1"/>
      <c r="OAQ36" s="209"/>
      <c r="OAR36" s="1"/>
      <c r="OAS36" s="61"/>
      <c r="OAT36" s="1"/>
      <c r="OAU36" s="209"/>
      <c r="OAV36" s="1"/>
      <c r="OAW36" s="61"/>
      <c r="OAX36" s="1"/>
      <c r="OAY36" s="209"/>
      <c r="OAZ36" s="1"/>
      <c r="OBA36" s="61"/>
      <c r="OBB36" s="1"/>
      <c r="OBC36" s="209"/>
      <c r="OBD36" s="1"/>
      <c r="OBE36" s="61"/>
      <c r="OBF36" s="1"/>
      <c r="OBG36" s="209"/>
      <c r="OBH36" s="1"/>
      <c r="OBI36" s="61"/>
      <c r="OBJ36" s="1"/>
      <c r="OBK36" s="209"/>
      <c r="OBL36" s="1"/>
      <c r="OBM36" s="61"/>
      <c r="OBN36" s="1"/>
      <c r="OBO36" s="209"/>
      <c r="OBP36" s="1"/>
      <c r="OBQ36" s="61"/>
      <c r="OBR36" s="1"/>
      <c r="OBS36" s="209"/>
      <c r="OBT36" s="1"/>
      <c r="OBU36" s="61"/>
      <c r="OBV36" s="1"/>
      <c r="OBW36" s="209"/>
      <c r="OBX36" s="1"/>
      <c r="OBY36" s="61"/>
      <c r="OBZ36" s="1"/>
      <c r="OCA36" s="209"/>
      <c r="OCB36" s="1"/>
      <c r="OCC36" s="61"/>
      <c r="OCD36" s="1"/>
      <c r="OCE36" s="209"/>
      <c r="OCF36" s="1"/>
      <c r="OCG36" s="61"/>
      <c r="OCH36" s="1"/>
      <c r="OCI36" s="209"/>
      <c r="OCJ36" s="1"/>
      <c r="OCK36" s="61"/>
      <c r="OCL36" s="1"/>
      <c r="OCM36" s="209"/>
      <c r="OCN36" s="1"/>
      <c r="OCO36" s="61"/>
      <c r="OCP36" s="1"/>
      <c r="OCQ36" s="209"/>
      <c r="OCR36" s="1"/>
      <c r="OCS36" s="61"/>
      <c r="OCT36" s="1"/>
      <c r="OCU36" s="209"/>
      <c r="OCV36" s="1"/>
      <c r="OCW36" s="61"/>
      <c r="OCX36" s="1"/>
      <c r="OCY36" s="209"/>
      <c r="OCZ36" s="1"/>
      <c r="ODA36" s="61"/>
      <c r="ODB36" s="1"/>
      <c r="ODC36" s="209"/>
      <c r="ODD36" s="1"/>
      <c r="ODE36" s="61"/>
      <c r="ODF36" s="1"/>
      <c r="ODG36" s="209"/>
      <c r="ODH36" s="1"/>
      <c r="ODI36" s="61"/>
      <c r="ODJ36" s="1"/>
      <c r="ODK36" s="209"/>
      <c r="ODL36" s="1"/>
      <c r="ODM36" s="61"/>
      <c r="ODN36" s="1"/>
      <c r="ODO36" s="209"/>
      <c r="ODP36" s="1"/>
      <c r="ODQ36" s="61"/>
      <c r="ODR36" s="1"/>
      <c r="ODS36" s="209"/>
      <c r="ODT36" s="1"/>
      <c r="ODU36" s="61"/>
      <c r="ODV36" s="1"/>
      <c r="ODW36" s="209"/>
      <c r="ODX36" s="1"/>
      <c r="ODY36" s="61"/>
      <c r="ODZ36" s="1"/>
      <c r="OEA36" s="209"/>
      <c r="OEB36" s="1"/>
      <c r="OEC36" s="61"/>
      <c r="OED36" s="1"/>
      <c r="OEE36" s="209"/>
      <c r="OEF36" s="1"/>
      <c r="OEG36" s="61"/>
      <c r="OEH36" s="1"/>
      <c r="OEI36" s="209"/>
      <c r="OEJ36" s="1"/>
      <c r="OEK36" s="61"/>
      <c r="OEL36" s="1"/>
      <c r="OEM36" s="209"/>
      <c r="OEN36" s="1"/>
      <c r="OEO36" s="61"/>
      <c r="OEP36" s="1"/>
      <c r="OEQ36" s="209"/>
      <c r="OER36" s="1"/>
      <c r="OES36" s="61"/>
      <c r="OET36" s="1"/>
      <c r="OEU36" s="209"/>
      <c r="OEV36" s="1"/>
      <c r="OEW36" s="61"/>
      <c r="OEX36" s="1"/>
      <c r="OEY36" s="209"/>
      <c r="OEZ36" s="1"/>
      <c r="OFA36" s="61"/>
      <c r="OFB36" s="1"/>
      <c r="OFC36" s="209"/>
      <c r="OFD36" s="1"/>
      <c r="OFE36" s="61"/>
      <c r="OFF36" s="1"/>
      <c r="OFG36" s="209"/>
      <c r="OFH36" s="1"/>
      <c r="OFI36" s="61"/>
      <c r="OFJ36" s="1"/>
      <c r="OFK36" s="209"/>
      <c r="OFL36" s="1"/>
      <c r="OFM36" s="61"/>
      <c r="OFN36" s="1"/>
      <c r="OFO36" s="209"/>
      <c r="OFP36" s="1"/>
      <c r="OFQ36" s="61"/>
      <c r="OFR36" s="1"/>
      <c r="OFS36" s="209"/>
      <c r="OFT36" s="1"/>
      <c r="OFU36" s="61"/>
      <c r="OFV36" s="1"/>
      <c r="OFW36" s="209"/>
      <c r="OFX36" s="1"/>
      <c r="OFY36" s="61"/>
      <c r="OFZ36" s="1"/>
      <c r="OGA36" s="209"/>
      <c r="OGB36" s="1"/>
      <c r="OGC36" s="61"/>
      <c r="OGD36" s="1"/>
      <c r="OGE36" s="209"/>
      <c r="OGF36" s="1"/>
      <c r="OGG36" s="61"/>
      <c r="OGH36" s="1"/>
      <c r="OGI36" s="209"/>
      <c r="OGJ36" s="1"/>
      <c r="OGK36" s="61"/>
      <c r="OGL36" s="1"/>
      <c r="OGM36" s="209"/>
      <c r="OGN36" s="1"/>
      <c r="OGO36" s="61"/>
      <c r="OGP36" s="1"/>
      <c r="OGQ36" s="209"/>
      <c r="OGR36" s="1"/>
      <c r="OGS36" s="61"/>
      <c r="OGT36" s="1"/>
      <c r="OGU36" s="209"/>
      <c r="OGV36" s="1"/>
      <c r="OGW36" s="61"/>
      <c r="OGX36" s="1"/>
      <c r="OGY36" s="209"/>
      <c r="OGZ36" s="1"/>
      <c r="OHA36" s="61"/>
      <c r="OHB36" s="1"/>
      <c r="OHC36" s="209"/>
      <c r="OHD36" s="1"/>
      <c r="OHE36" s="61"/>
      <c r="OHF36" s="1"/>
      <c r="OHG36" s="209"/>
      <c r="OHH36" s="1"/>
      <c r="OHI36" s="61"/>
      <c r="OHJ36" s="1"/>
      <c r="OHK36" s="209"/>
      <c r="OHL36" s="1"/>
      <c r="OHM36" s="61"/>
      <c r="OHN36" s="1"/>
      <c r="OHO36" s="209"/>
      <c r="OHP36" s="1"/>
      <c r="OHQ36" s="61"/>
      <c r="OHR36" s="1"/>
      <c r="OHS36" s="209"/>
      <c r="OHT36" s="1"/>
      <c r="OHU36" s="61"/>
      <c r="OHV36" s="1"/>
      <c r="OHW36" s="209"/>
      <c r="OHX36" s="1"/>
      <c r="OHY36" s="61"/>
      <c r="OHZ36" s="1"/>
      <c r="OIA36" s="209"/>
      <c r="OIB36" s="1"/>
      <c r="OIC36" s="61"/>
      <c r="OID36" s="1"/>
      <c r="OIE36" s="209"/>
      <c r="OIF36" s="1"/>
      <c r="OIG36" s="61"/>
      <c r="OIH36" s="1"/>
      <c r="OII36" s="209"/>
      <c r="OIJ36" s="1"/>
      <c r="OIK36" s="61"/>
      <c r="OIL36" s="1"/>
      <c r="OIM36" s="209"/>
      <c r="OIN36" s="1"/>
      <c r="OIO36" s="61"/>
      <c r="OIP36" s="1"/>
      <c r="OIQ36" s="209"/>
      <c r="OIR36" s="1"/>
      <c r="OIS36" s="61"/>
      <c r="OIT36" s="1"/>
      <c r="OIU36" s="209"/>
      <c r="OIV36" s="1"/>
      <c r="OIW36" s="61"/>
      <c r="OIX36" s="1"/>
      <c r="OIY36" s="209"/>
      <c r="OIZ36" s="1"/>
      <c r="OJA36" s="61"/>
      <c r="OJB36" s="1"/>
      <c r="OJC36" s="209"/>
      <c r="OJD36" s="1"/>
      <c r="OJE36" s="61"/>
      <c r="OJF36" s="1"/>
      <c r="OJG36" s="209"/>
      <c r="OJH36" s="1"/>
      <c r="OJI36" s="61"/>
      <c r="OJJ36" s="1"/>
      <c r="OJK36" s="209"/>
      <c r="OJL36" s="1"/>
      <c r="OJM36" s="61"/>
      <c r="OJN36" s="1"/>
      <c r="OJO36" s="209"/>
      <c r="OJP36" s="1"/>
      <c r="OJQ36" s="61"/>
      <c r="OJR36" s="1"/>
      <c r="OJS36" s="209"/>
      <c r="OJT36" s="1"/>
      <c r="OJU36" s="61"/>
      <c r="OJV36" s="1"/>
      <c r="OJW36" s="209"/>
      <c r="OJX36" s="1"/>
      <c r="OJY36" s="61"/>
      <c r="OJZ36" s="1"/>
      <c r="OKA36" s="209"/>
      <c r="OKB36" s="1"/>
      <c r="OKC36" s="61"/>
      <c r="OKD36" s="1"/>
      <c r="OKE36" s="209"/>
      <c r="OKF36" s="1"/>
      <c r="OKG36" s="61"/>
      <c r="OKH36" s="1"/>
      <c r="OKI36" s="209"/>
      <c r="OKJ36" s="1"/>
      <c r="OKK36" s="61"/>
      <c r="OKL36" s="1"/>
      <c r="OKM36" s="209"/>
      <c r="OKN36" s="1"/>
      <c r="OKO36" s="61"/>
      <c r="OKP36" s="1"/>
      <c r="OKQ36" s="209"/>
      <c r="OKR36" s="1"/>
      <c r="OKS36" s="61"/>
      <c r="OKT36" s="1"/>
      <c r="OKU36" s="209"/>
      <c r="OKV36" s="1"/>
      <c r="OKW36" s="61"/>
      <c r="OKX36" s="1"/>
      <c r="OKY36" s="209"/>
      <c r="OKZ36" s="1"/>
      <c r="OLA36" s="61"/>
      <c r="OLB36" s="1"/>
      <c r="OLC36" s="209"/>
      <c r="OLD36" s="1"/>
      <c r="OLE36" s="61"/>
      <c r="OLF36" s="1"/>
      <c r="OLG36" s="209"/>
      <c r="OLH36" s="1"/>
      <c r="OLI36" s="61"/>
      <c r="OLJ36" s="1"/>
      <c r="OLK36" s="209"/>
      <c r="OLL36" s="1"/>
      <c r="OLM36" s="61"/>
      <c r="OLN36" s="1"/>
      <c r="OLO36" s="209"/>
      <c r="OLP36" s="1"/>
      <c r="OLQ36" s="61"/>
      <c r="OLR36" s="1"/>
      <c r="OLS36" s="209"/>
      <c r="OLT36" s="1"/>
      <c r="OLU36" s="61"/>
      <c r="OLV36" s="1"/>
      <c r="OLW36" s="209"/>
      <c r="OLX36" s="1"/>
      <c r="OLY36" s="61"/>
      <c r="OLZ36" s="1"/>
      <c r="OMA36" s="209"/>
      <c r="OMB36" s="1"/>
      <c r="OMC36" s="61"/>
      <c r="OMD36" s="1"/>
      <c r="OME36" s="209"/>
      <c r="OMF36" s="1"/>
      <c r="OMG36" s="61"/>
      <c r="OMH36" s="1"/>
      <c r="OMI36" s="209"/>
      <c r="OMJ36" s="1"/>
      <c r="OMK36" s="61"/>
      <c r="OML36" s="1"/>
      <c r="OMM36" s="209"/>
      <c r="OMN36" s="1"/>
      <c r="OMO36" s="61"/>
      <c r="OMP36" s="1"/>
      <c r="OMQ36" s="209"/>
      <c r="OMR36" s="1"/>
      <c r="OMS36" s="61"/>
      <c r="OMT36" s="1"/>
      <c r="OMU36" s="209"/>
      <c r="OMV36" s="1"/>
      <c r="OMW36" s="61"/>
      <c r="OMX36" s="1"/>
      <c r="OMY36" s="209"/>
      <c r="OMZ36" s="1"/>
      <c r="ONA36" s="61"/>
      <c r="ONB36" s="1"/>
      <c r="ONC36" s="209"/>
      <c r="OND36" s="1"/>
      <c r="ONE36" s="61"/>
      <c r="ONF36" s="1"/>
      <c r="ONG36" s="209"/>
      <c r="ONH36" s="1"/>
      <c r="ONI36" s="61"/>
      <c r="ONJ36" s="1"/>
      <c r="ONK36" s="209"/>
      <c r="ONL36" s="1"/>
      <c r="ONM36" s="61"/>
      <c r="ONN36" s="1"/>
      <c r="ONO36" s="209"/>
      <c r="ONP36" s="1"/>
      <c r="ONQ36" s="61"/>
      <c r="ONR36" s="1"/>
      <c r="ONS36" s="209"/>
      <c r="ONT36" s="1"/>
      <c r="ONU36" s="61"/>
      <c r="ONV36" s="1"/>
      <c r="ONW36" s="209"/>
      <c r="ONX36" s="1"/>
      <c r="ONY36" s="61"/>
      <c r="ONZ36" s="1"/>
      <c r="OOA36" s="209"/>
      <c r="OOB36" s="1"/>
      <c r="OOC36" s="61"/>
      <c r="OOD36" s="1"/>
      <c r="OOE36" s="209"/>
      <c r="OOF36" s="1"/>
      <c r="OOG36" s="61"/>
      <c r="OOH36" s="1"/>
      <c r="OOI36" s="209"/>
      <c r="OOJ36" s="1"/>
      <c r="OOK36" s="61"/>
      <c r="OOL36" s="1"/>
      <c r="OOM36" s="209"/>
      <c r="OON36" s="1"/>
      <c r="OOO36" s="61"/>
      <c r="OOP36" s="1"/>
      <c r="OOQ36" s="209"/>
      <c r="OOR36" s="1"/>
      <c r="OOS36" s="61"/>
      <c r="OOT36" s="1"/>
      <c r="OOU36" s="209"/>
      <c r="OOV36" s="1"/>
      <c r="OOW36" s="61"/>
      <c r="OOX36" s="1"/>
      <c r="OOY36" s="209"/>
      <c r="OOZ36" s="1"/>
      <c r="OPA36" s="61"/>
      <c r="OPB36" s="1"/>
      <c r="OPC36" s="209"/>
      <c r="OPD36" s="1"/>
      <c r="OPE36" s="61"/>
      <c r="OPF36" s="1"/>
      <c r="OPG36" s="209"/>
      <c r="OPH36" s="1"/>
      <c r="OPI36" s="61"/>
      <c r="OPJ36" s="1"/>
      <c r="OPK36" s="209"/>
      <c r="OPL36" s="1"/>
      <c r="OPM36" s="61"/>
      <c r="OPN36" s="1"/>
      <c r="OPO36" s="209"/>
      <c r="OPP36" s="1"/>
      <c r="OPQ36" s="61"/>
      <c r="OPR36" s="1"/>
      <c r="OPS36" s="209"/>
      <c r="OPT36" s="1"/>
      <c r="OPU36" s="61"/>
      <c r="OPV36" s="1"/>
      <c r="OPW36" s="209"/>
      <c r="OPX36" s="1"/>
      <c r="OPY36" s="61"/>
      <c r="OPZ36" s="1"/>
      <c r="OQA36" s="209"/>
      <c r="OQB36" s="1"/>
      <c r="OQC36" s="61"/>
      <c r="OQD36" s="1"/>
      <c r="OQE36" s="209"/>
      <c r="OQF36" s="1"/>
      <c r="OQG36" s="61"/>
      <c r="OQH36" s="1"/>
      <c r="OQI36" s="209"/>
      <c r="OQJ36" s="1"/>
      <c r="OQK36" s="61"/>
      <c r="OQL36" s="1"/>
      <c r="OQM36" s="209"/>
      <c r="OQN36" s="1"/>
      <c r="OQO36" s="61"/>
      <c r="OQP36" s="1"/>
      <c r="OQQ36" s="209"/>
      <c r="OQR36" s="1"/>
      <c r="OQS36" s="61"/>
      <c r="OQT36" s="1"/>
      <c r="OQU36" s="209"/>
      <c r="OQV36" s="1"/>
      <c r="OQW36" s="61"/>
      <c r="OQX36" s="1"/>
      <c r="OQY36" s="209"/>
      <c r="OQZ36" s="1"/>
      <c r="ORA36" s="61"/>
      <c r="ORB36" s="1"/>
      <c r="ORC36" s="209"/>
      <c r="ORD36" s="1"/>
      <c r="ORE36" s="61"/>
      <c r="ORF36" s="1"/>
      <c r="ORG36" s="209"/>
      <c r="ORH36" s="1"/>
      <c r="ORI36" s="61"/>
      <c r="ORJ36" s="1"/>
      <c r="ORK36" s="209"/>
      <c r="ORL36" s="1"/>
      <c r="ORM36" s="61"/>
      <c r="ORN36" s="1"/>
      <c r="ORO36" s="209"/>
      <c r="ORP36" s="1"/>
      <c r="ORQ36" s="61"/>
      <c r="ORR36" s="1"/>
      <c r="ORS36" s="209"/>
      <c r="ORT36" s="1"/>
      <c r="ORU36" s="61"/>
      <c r="ORV36" s="1"/>
      <c r="ORW36" s="209"/>
      <c r="ORX36" s="1"/>
      <c r="ORY36" s="61"/>
      <c r="ORZ36" s="1"/>
      <c r="OSA36" s="209"/>
      <c r="OSB36" s="1"/>
      <c r="OSC36" s="61"/>
      <c r="OSD36" s="1"/>
      <c r="OSE36" s="209"/>
      <c r="OSF36" s="1"/>
      <c r="OSG36" s="61"/>
      <c r="OSH36" s="1"/>
      <c r="OSI36" s="209"/>
      <c r="OSJ36" s="1"/>
      <c r="OSK36" s="61"/>
      <c r="OSL36" s="1"/>
      <c r="OSM36" s="209"/>
      <c r="OSN36" s="1"/>
      <c r="OSO36" s="61"/>
      <c r="OSP36" s="1"/>
      <c r="OSQ36" s="209"/>
      <c r="OSR36" s="1"/>
      <c r="OSS36" s="61"/>
      <c r="OST36" s="1"/>
      <c r="OSU36" s="209"/>
      <c r="OSV36" s="1"/>
      <c r="OSW36" s="61"/>
      <c r="OSX36" s="1"/>
      <c r="OSY36" s="209"/>
      <c r="OSZ36" s="1"/>
      <c r="OTA36" s="61"/>
      <c r="OTB36" s="1"/>
      <c r="OTC36" s="209"/>
      <c r="OTD36" s="1"/>
      <c r="OTE36" s="61"/>
      <c r="OTF36" s="1"/>
      <c r="OTG36" s="209"/>
      <c r="OTH36" s="1"/>
      <c r="OTI36" s="61"/>
      <c r="OTJ36" s="1"/>
      <c r="OTK36" s="209"/>
      <c r="OTL36" s="1"/>
      <c r="OTM36" s="61"/>
      <c r="OTN36" s="1"/>
      <c r="OTO36" s="209"/>
      <c r="OTP36" s="1"/>
      <c r="OTQ36" s="61"/>
      <c r="OTR36" s="1"/>
      <c r="OTS36" s="209"/>
      <c r="OTT36" s="1"/>
      <c r="OTU36" s="61"/>
      <c r="OTV36" s="1"/>
      <c r="OTW36" s="209"/>
      <c r="OTX36" s="1"/>
      <c r="OTY36" s="61"/>
      <c r="OTZ36" s="1"/>
      <c r="OUA36" s="209"/>
      <c r="OUB36" s="1"/>
      <c r="OUC36" s="61"/>
      <c r="OUD36" s="1"/>
      <c r="OUE36" s="209"/>
      <c r="OUF36" s="1"/>
      <c r="OUG36" s="61"/>
      <c r="OUH36" s="1"/>
      <c r="OUI36" s="209"/>
      <c r="OUJ36" s="1"/>
      <c r="OUK36" s="61"/>
      <c r="OUL36" s="1"/>
      <c r="OUM36" s="209"/>
      <c r="OUN36" s="1"/>
      <c r="OUO36" s="61"/>
      <c r="OUP36" s="1"/>
      <c r="OUQ36" s="209"/>
      <c r="OUR36" s="1"/>
      <c r="OUS36" s="61"/>
      <c r="OUT36" s="1"/>
      <c r="OUU36" s="209"/>
      <c r="OUV36" s="1"/>
      <c r="OUW36" s="61"/>
      <c r="OUX36" s="1"/>
      <c r="OUY36" s="209"/>
      <c r="OUZ36" s="1"/>
      <c r="OVA36" s="61"/>
      <c r="OVB36" s="1"/>
      <c r="OVC36" s="209"/>
      <c r="OVD36" s="1"/>
      <c r="OVE36" s="61"/>
      <c r="OVF36" s="1"/>
      <c r="OVG36" s="209"/>
      <c r="OVH36" s="1"/>
      <c r="OVI36" s="61"/>
      <c r="OVJ36" s="1"/>
      <c r="OVK36" s="209"/>
      <c r="OVL36" s="1"/>
      <c r="OVM36" s="61"/>
      <c r="OVN36" s="1"/>
      <c r="OVO36" s="209"/>
      <c r="OVP36" s="1"/>
      <c r="OVQ36" s="61"/>
      <c r="OVR36" s="1"/>
      <c r="OVS36" s="209"/>
      <c r="OVT36" s="1"/>
      <c r="OVU36" s="61"/>
      <c r="OVV36" s="1"/>
      <c r="OVW36" s="209"/>
      <c r="OVX36" s="1"/>
      <c r="OVY36" s="61"/>
      <c r="OVZ36" s="1"/>
      <c r="OWA36" s="209"/>
      <c r="OWB36" s="1"/>
      <c r="OWC36" s="61"/>
      <c r="OWD36" s="1"/>
      <c r="OWE36" s="209"/>
      <c r="OWF36" s="1"/>
      <c r="OWG36" s="61"/>
      <c r="OWH36" s="1"/>
      <c r="OWI36" s="209"/>
      <c r="OWJ36" s="1"/>
      <c r="OWK36" s="61"/>
      <c r="OWL36" s="1"/>
      <c r="OWM36" s="209"/>
      <c r="OWN36" s="1"/>
      <c r="OWO36" s="61"/>
      <c r="OWP36" s="1"/>
      <c r="OWQ36" s="209"/>
      <c r="OWR36" s="1"/>
      <c r="OWS36" s="61"/>
      <c r="OWT36" s="1"/>
      <c r="OWU36" s="209"/>
      <c r="OWV36" s="1"/>
      <c r="OWW36" s="61"/>
      <c r="OWX36" s="1"/>
      <c r="OWY36" s="209"/>
      <c r="OWZ36" s="1"/>
      <c r="OXA36" s="61"/>
      <c r="OXB36" s="1"/>
      <c r="OXC36" s="209"/>
      <c r="OXD36" s="1"/>
      <c r="OXE36" s="61"/>
      <c r="OXF36" s="1"/>
      <c r="OXG36" s="209"/>
      <c r="OXH36" s="1"/>
      <c r="OXI36" s="61"/>
      <c r="OXJ36" s="1"/>
      <c r="OXK36" s="209"/>
      <c r="OXL36" s="1"/>
      <c r="OXM36" s="61"/>
      <c r="OXN36" s="1"/>
      <c r="OXO36" s="209"/>
      <c r="OXP36" s="1"/>
      <c r="OXQ36" s="61"/>
      <c r="OXR36" s="1"/>
      <c r="OXS36" s="209"/>
      <c r="OXT36" s="1"/>
      <c r="OXU36" s="61"/>
      <c r="OXV36" s="1"/>
      <c r="OXW36" s="209"/>
      <c r="OXX36" s="1"/>
      <c r="OXY36" s="61"/>
      <c r="OXZ36" s="1"/>
      <c r="OYA36" s="209"/>
      <c r="OYB36" s="1"/>
      <c r="OYC36" s="61"/>
      <c r="OYD36" s="1"/>
      <c r="OYE36" s="209"/>
      <c r="OYF36" s="1"/>
      <c r="OYG36" s="61"/>
      <c r="OYH36" s="1"/>
      <c r="OYI36" s="209"/>
      <c r="OYJ36" s="1"/>
      <c r="OYK36" s="61"/>
      <c r="OYL36" s="1"/>
      <c r="OYM36" s="209"/>
      <c r="OYN36" s="1"/>
      <c r="OYO36" s="61"/>
      <c r="OYP36" s="1"/>
      <c r="OYQ36" s="209"/>
      <c r="OYR36" s="1"/>
      <c r="OYS36" s="61"/>
      <c r="OYT36" s="1"/>
      <c r="OYU36" s="209"/>
      <c r="OYV36" s="1"/>
      <c r="OYW36" s="61"/>
      <c r="OYX36" s="1"/>
      <c r="OYY36" s="209"/>
      <c r="OYZ36" s="1"/>
      <c r="OZA36" s="61"/>
      <c r="OZB36" s="1"/>
      <c r="OZC36" s="209"/>
      <c r="OZD36" s="1"/>
      <c r="OZE36" s="61"/>
      <c r="OZF36" s="1"/>
      <c r="OZG36" s="209"/>
      <c r="OZH36" s="1"/>
      <c r="OZI36" s="61"/>
      <c r="OZJ36" s="1"/>
      <c r="OZK36" s="209"/>
      <c r="OZL36" s="1"/>
      <c r="OZM36" s="61"/>
      <c r="OZN36" s="1"/>
      <c r="OZO36" s="209"/>
      <c r="OZP36" s="1"/>
      <c r="OZQ36" s="61"/>
      <c r="OZR36" s="1"/>
      <c r="OZS36" s="209"/>
      <c r="OZT36" s="1"/>
      <c r="OZU36" s="61"/>
      <c r="OZV36" s="1"/>
      <c r="OZW36" s="209"/>
      <c r="OZX36" s="1"/>
      <c r="OZY36" s="61"/>
      <c r="OZZ36" s="1"/>
      <c r="PAA36" s="209"/>
      <c r="PAB36" s="1"/>
      <c r="PAC36" s="61"/>
      <c r="PAD36" s="1"/>
      <c r="PAE36" s="209"/>
      <c r="PAF36" s="1"/>
      <c r="PAG36" s="61"/>
      <c r="PAH36" s="1"/>
      <c r="PAI36" s="209"/>
      <c r="PAJ36" s="1"/>
      <c r="PAK36" s="61"/>
      <c r="PAL36" s="1"/>
      <c r="PAM36" s="209"/>
      <c r="PAN36" s="1"/>
      <c r="PAO36" s="61"/>
      <c r="PAP36" s="1"/>
      <c r="PAQ36" s="209"/>
      <c r="PAR36" s="1"/>
      <c r="PAS36" s="61"/>
      <c r="PAT36" s="1"/>
      <c r="PAU36" s="209"/>
      <c r="PAV36" s="1"/>
      <c r="PAW36" s="61"/>
      <c r="PAX36" s="1"/>
      <c r="PAY36" s="209"/>
      <c r="PAZ36" s="1"/>
      <c r="PBA36" s="61"/>
      <c r="PBB36" s="1"/>
      <c r="PBC36" s="209"/>
      <c r="PBD36" s="1"/>
      <c r="PBE36" s="61"/>
      <c r="PBF36" s="1"/>
      <c r="PBG36" s="209"/>
      <c r="PBH36" s="1"/>
      <c r="PBI36" s="61"/>
      <c r="PBJ36" s="1"/>
      <c r="PBK36" s="209"/>
      <c r="PBL36" s="1"/>
      <c r="PBM36" s="61"/>
      <c r="PBN36" s="1"/>
      <c r="PBO36" s="209"/>
      <c r="PBP36" s="1"/>
      <c r="PBQ36" s="61"/>
      <c r="PBR36" s="1"/>
      <c r="PBS36" s="209"/>
      <c r="PBT36" s="1"/>
      <c r="PBU36" s="61"/>
      <c r="PBV36" s="1"/>
      <c r="PBW36" s="209"/>
      <c r="PBX36" s="1"/>
      <c r="PBY36" s="61"/>
      <c r="PBZ36" s="1"/>
      <c r="PCA36" s="209"/>
      <c r="PCB36" s="1"/>
      <c r="PCC36" s="61"/>
      <c r="PCD36" s="1"/>
      <c r="PCE36" s="209"/>
      <c r="PCF36" s="1"/>
      <c r="PCG36" s="61"/>
      <c r="PCH36" s="1"/>
      <c r="PCI36" s="209"/>
      <c r="PCJ36" s="1"/>
      <c r="PCK36" s="61"/>
      <c r="PCL36" s="1"/>
      <c r="PCM36" s="209"/>
      <c r="PCN36" s="1"/>
      <c r="PCO36" s="61"/>
      <c r="PCP36" s="1"/>
      <c r="PCQ36" s="209"/>
      <c r="PCR36" s="1"/>
      <c r="PCS36" s="61"/>
      <c r="PCT36" s="1"/>
      <c r="PCU36" s="209"/>
      <c r="PCV36" s="1"/>
      <c r="PCW36" s="61"/>
      <c r="PCX36" s="1"/>
      <c r="PCY36" s="209"/>
      <c r="PCZ36" s="1"/>
      <c r="PDA36" s="61"/>
      <c r="PDB36" s="1"/>
      <c r="PDC36" s="209"/>
      <c r="PDD36" s="1"/>
      <c r="PDE36" s="61"/>
      <c r="PDF36" s="1"/>
      <c r="PDG36" s="209"/>
      <c r="PDH36" s="1"/>
      <c r="PDI36" s="61"/>
      <c r="PDJ36" s="1"/>
      <c r="PDK36" s="209"/>
      <c r="PDL36" s="1"/>
      <c r="PDM36" s="61"/>
      <c r="PDN36" s="1"/>
      <c r="PDO36" s="209"/>
      <c r="PDP36" s="1"/>
      <c r="PDQ36" s="61"/>
      <c r="PDR36" s="1"/>
      <c r="PDS36" s="209"/>
      <c r="PDT36" s="1"/>
      <c r="PDU36" s="61"/>
      <c r="PDV36" s="1"/>
      <c r="PDW36" s="209"/>
      <c r="PDX36" s="1"/>
      <c r="PDY36" s="61"/>
      <c r="PDZ36" s="1"/>
      <c r="PEA36" s="209"/>
      <c r="PEB36" s="1"/>
      <c r="PEC36" s="61"/>
      <c r="PED36" s="1"/>
      <c r="PEE36" s="209"/>
      <c r="PEF36" s="1"/>
      <c r="PEG36" s="61"/>
      <c r="PEH36" s="1"/>
      <c r="PEI36" s="209"/>
      <c r="PEJ36" s="1"/>
      <c r="PEK36" s="61"/>
      <c r="PEL36" s="1"/>
      <c r="PEM36" s="209"/>
      <c r="PEN36" s="1"/>
      <c r="PEO36" s="61"/>
      <c r="PEP36" s="1"/>
      <c r="PEQ36" s="209"/>
      <c r="PER36" s="1"/>
      <c r="PES36" s="61"/>
      <c r="PET36" s="1"/>
      <c r="PEU36" s="209"/>
      <c r="PEV36" s="1"/>
      <c r="PEW36" s="61"/>
      <c r="PEX36" s="1"/>
      <c r="PEY36" s="209"/>
      <c r="PEZ36" s="1"/>
      <c r="PFA36" s="61"/>
      <c r="PFB36" s="1"/>
      <c r="PFC36" s="209"/>
      <c r="PFD36" s="1"/>
      <c r="PFE36" s="61"/>
      <c r="PFF36" s="1"/>
      <c r="PFG36" s="209"/>
      <c r="PFH36" s="1"/>
      <c r="PFI36" s="61"/>
      <c r="PFJ36" s="1"/>
      <c r="PFK36" s="209"/>
      <c r="PFL36" s="1"/>
      <c r="PFM36" s="61"/>
      <c r="PFN36" s="1"/>
      <c r="PFO36" s="209"/>
      <c r="PFP36" s="1"/>
      <c r="PFQ36" s="61"/>
      <c r="PFR36" s="1"/>
      <c r="PFS36" s="209"/>
      <c r="PFT36" s="1"/>
      <c r="PFU36" s="61"/>
      <c r="PFV36" s="1"/>
      <c r="PFW36" s="209"/>
      <c r="PFX36" s="1"/>
      <c r="PFY36" s="61"/>
      <c r="PFZ36" s="1"/>
      <c r="PGA36" s="209"/>
      <c r="PGB36" s="1"/>
      <c r="PGC36" s="61"/>
      <c r="PGD36" s="1"/>
      <c r="PGE36" s="209"/>
      <c r="PGF36" s="1"/>
      <c r="PGG36" s="61"/>
      <c r="PGH36" s="1"/>
      <c r="PGI36" s="209"/>
      <c r="PGJ36" s="1"/>
      <c r="PGK36" s="61"/>
      <c r="PGL36" s="1"/>
      <c r="PGM36" s="209"/>
      <c r="PGN36" s="1"/>
      <c r="PGO36" s="61"/>
      <c r="PGP36" s="1"/>
      <c r="PGQ36" s="209"/>
      <c r="PGR36" s="1"/>
      <c r="PGS36" s="61"/>
      <c r="PGT36" s="1"/>
      <c r="PGU36" s="209"/>
      <c r="PGV36" s="1"/>
      <c r="PGW36" s="61"/>
      <c r="PGX36" s="1"/>
      <c r="PGY36" s="209"/>
      <c r="PGZ36" s="1"/>
      <c r="PHA36" s="61"/>
      <c r="PHB36" s="1"/>
      <c r="PHC36" s="209"/>
      <c r="PHD36" s="1"/>
      <c r="PHE36" s="61"/>
      <c r="PHF36" s="1"/>
      <c r="PHG36" s="209"/>
      <c r="PHH36" s="1"/>
      <c r="PHI36" s="61"/>
      <c r="PHJ36" s="1"/>
      <c r="PHK36" s="209"/>
      <c r="PHL36" s="1"/>
      <c r="PHM36" s="61"/>
      <c r="PHN36" s="1"/>
      <c r="PHO36" s="209"/>
      <c r="PHP36" s="1"/>
      <c r="PHQ36" s="61"/>
      <c r="PHR36" s="1"/>
      <c r="PHS36" s="209"/>
      <c r="PHT36" s="1"/>
      <c r="PHU36" s="61"/>
      <c r="PHV36" s="1"/>
      <c r="PHW36" s="209"/>
      <c r="PHX36" s="1"/>
      <c r="PHY36" s="61"/>
      <c r="PHZ36" s="1"/>
      <c r="PIA36" s="209"/>
      <c r="PIB36" s="1"/>
      <c r="PIC36" s="61"/>
      <c r="PID36" s="1"/>
      <c r="PIE36" s="209"/>
      <c r="PIF36" s="1"/>
      <c r="PIG36" s="61"/>
      <c r="PIH36" s="1"/>
      <c r="PII36" s="209"/>
      <c r="PIJ36" s="1"/>
      <c r="PIK36" s="61"/>
      <c r="PIL36" s="1"/>
      <c r="PIM36" s="209"/>
      <c r="PIN36" s="1"/>
      <c r="PIO36" s="61"/>
      <c r="PIP36" s="1"/>
      <c r="PIQ36" s="209"/>
      <c r="PIR36" s="1"/>
      <c r="PIS36" s="61"/>
      <c r="PIT36" s="1"/>
      <c r="PIU36" s="209"/>
      <c r="PIV36" s="1"/>
      <c r="PIW36" s="61"/>
      <c r="PIX36" s="1"/>
      <c r="PIY36" s="209"/>
      <c r="PIZ36" s="1"/>
      <c r="PJA36" s="61"/>
      <c r="PJB36" s="1"/>
      <c r="PJC36" s="209"/>
      <c r="PJD36" s="1"/>
      <c r="PJE36" s="61"/>
      <c r="PJF36" s="1"/>
      <c r="PJG36" s="209"/>
      <c r="PJH36" s="1"/>
      <c r="PJI36" s="61"/>
      <c r="PJJ36" s="1"/>
      <c r="PJK36" s="209"/>
      <c r="PJL36" s="1"/>
      <c r="PJM36" s="61"/>
      <c r="PJN36" s="1"/>
      <c r="PJO36" s="209"/>
      <c r="PJP36" s="1"/>
      <c r="PJQ36" s="61"/>
      <c r="PJR36" s="1"/>
      <c r="PJS36" s="209"/>
      <c r="PJT36" s="1"/>
      <c r="PJU36" s="61"/>
      <c r="PJV36" s="1"/>
      <c r="PJW36" s="209"/>
      <c r="PJX36" s="1"/>
      <c r="PJY36" s="61"/>
      <c r="PJZ36" s="1"/>
      <c r="PKA36" s="209"/>
      <c r="PKB36" s="1"/>
      <c r="PKC36" s="61"/>
      <c r="PKD36" s="1"/>
      <c r="PKE36" s="209"/>
      <c r="PKF36" s="1"/>
      <c r="PKG36" s="61"/>
      <c r="PKH36" s="1"/>
      <c r="PKI36" s="209"/>
      <c r="PKJ36" s="1"/>
      <c r="PKK36" s="61"/>
      <c r="PKL36" s="1"/>
      <c r="PKM36" s="209"/>
      <c r="PKN36" s="1"/>
      <c r="PKO36" s="61"/>
      <c r="PKP36" s="1"/>
      <c r="PKQ36" s="209"/>
      <c r="PKR36" s="1"/>
      <c r="PKS36" s="61"/>
      <c r="PKT36" s="1"/>
      <c r="PKU36" s="209"/>
      <c r="PKV36" s="1"/>
      <c r="PKW36" s="61"/>
      <c r="PKX36" s="1"/>
      <c r="PKY36" s="209"/>
      <c r="PKZ36" s="1"/>
      <c r="PLA36" s="61"/>
      <c r="PLB36" s="1"/>
      <c r="PLC36" s="209"/>
      <c r="PLD36" s="1"/>
      <c r="PLE36" s="61"/>
      <c r="PLF36" s="1"/>
      <c r="PLG36" s="209"/>
      <c r="PLH36" s="1"/>
      <c r="PLI36" s="61"/>
      <c r="PLJ36" s="1"/>
      <c r="PLK36" s="209"/>
      <c r="PLL36" s="1"/>
      <c r="PLM36" s="61"/>
      <c r="PLN36" s="1"/>
      <c r="PLO36" s="209"/>
      <c r="PLP36" s="1"/>
      <c r="PLQ36" s="61"/>
      <c r="PLR36" s="1"/>
      <c r="PLS36" s="209"/>
      <c r="PLT36" s="1"/>
      <c r="PLU36" s="61"/>
      <c r="PLV36" s="1"/>
      <c r="PLW36" s="209"/>
      <c r="PLX36" s="1"/>
      <c r="PLY36" s="61"/>
      <c r="PLZ36" s="1"/>
      <c r="PMA36" s="209"/>
      <c r="PMB36" s="1"/>
      <c r="PMC36" s="61"/>
      <c r="PMD36" s="1"/>
      <c r="PME36" s="209"/>
      <c r="PMF36" s="1"/>
      <c r="PMG36" s="61"/>
      <c r="PMH36" s="1"/>
      <c r="PMI36" s="209"/>
      <c r="PMJ36" s="1"/>
      <c r="PMK36" s="61"/>
      <c r="PML36" s="1"/>
      <c r="PMM36" s="209"/>
      <c r="PMN36" s="1"/>
      <c r="PMO36" s="61"/>
      <c r="PMP36" s="1"/>
      <c r="PMQ36" s="209"/>
      <c r="PMR36" s="1"/>
      <c r="PMS36" s="61"/>
      <c r="PMT36" s="1"/>
      <c r="PMU36" s="209"/>
      <c r="PMV36" s="1"/>
      <c r="PMW36" s="61"/>
      <c r="PMX36" s="1"/>
      <c r="PMY36" s="209"/>
      <c r="PMZ36" s="1"/>
      <c r="PNA36" s="61"/>
      <c r="PNB36" s="1"/>
      <c r="PNC36" s="209"/>
      <c r="PND36" s="1"/>
      <c r="PNE36" s="61"/>
      <c r="PNF36" s="1"/>
      <c r="PNG36" s="209"/>
      <c r="PNH36" s="1"/>
      <c r="PNI36" s="61"/>
      <c r="PNJ36" s="1"/>
      <c r="PNK36" s="209"/>
      <c r="PNL36" s="1"/>
      <c r="PNM36" s="61"/>
      <c r="PNN36" s="1"/>
      <c r="PNO36" s="209"/>
      <c r="PNP36" s="1"/>
      <c r="PNQ36" s="61"/>
      <c r="PNR36" s="1"/>
      <c r="PNS36" s="209"/>
      <c r="PNT36" s="1"/>
      <c r="PNU36" s="61"/>
      <c r="PNV36" s="1"/>
      <c r="PNW36" s="209"/>
      <c r="PNX36" s="1"/>
      <c r="PNY36" s="61"/>
      <c r="PNZ36" s="1"/>
      <c r="POA36" s="209"/>
      <c r="POB36" s="1"/>
      <c r="POC36" s="61"/>
      <c r="POD36" s="1"/>
      <c r="POE36" s="209"/>
      <c r="POF36" s="1"/>
      <c r="POG36" s="61"/>
      <c r="POH36" s="1"/>
      <c r="POI36" s="209"/>
      <c r="POJ36" s="1"/>
      <c r="POK36" s="61"/>
      <c r="POL36" s="1"/>
      <c r="POM36" s="209"/>
      <c r="PON36" s="1"/>
      <c r="POO36" s="61"/>
      <c r="POP36" s="1"/>
      <c r="POQ36" s="209"/>
      <c r="POR36" s="1"/>
      <c r="POS36" s="61"/>
      <c r="POT36" s="1"/>
      <c r="POU36" s="209"/>
      <c r="POV36" s="1"/>
      <c r="POW36" s="61"/>
      <c r="POX36" s="1"/>
      <c r="POY36" s="209"/>
      <c r="POZ36" s="1"/>
      <c r="PPA36" s="61"/>
      <c r="PPB36" s="1"/>
      <c r="PPC36" s="209"/>
      <c r="PPD36" s="1"/>
      <c r="PPE36" s="61"/>
      <c r="PPF36" s="1"/>
      <c r="PPG36" s="209"/>
      <c r="PPH36" s="1"/>
      <c r="PPI36" s="61"/>
      <c r="PPJ36" s="1"/>
      <c r="PPK36" s="209"/>
      <c r="PPL36" s="1"/>
      <c r="PPM36" s="61"/>
      <c r="PPN36" s="1"/>
      <c r="PPO36" s="209"/>
      <c r="PPP36" s="1"/>
      <c r="PPQ36" s="61"/>
      <c r="PPR36" s="1"/>
      <c r="PPS36" s="209"/>
      <c r="PPT36" s="1"/>
      <c r="PPU36" s="61"/>
      <c r="PPV36" s="1"/>
      <c r="PPW36" s="209"/>
      <c r="PPX36" s="1"/>
      <c r="PPY36" s="61"/>
      <c r="PPZ36" s="1"/>
      <c r="PQA36" s="209"/>
      <c r="PQB36" s="1"/>
      <c r="PQC36" s="61"/>
      <c r="PQD36" s="1"/>
      <c r="PQE36" s="209"/>
      <c r="PQF36" s="1"/>
      <c r="PQG36" s="61"/>
      <c r="PQH36" s="1"/>
      <c r="PQI36" s="209"/>
      <c r="PQJ36" s="1"/>
      <c r="PQK36" s="61"/>
      <c r="PQL36" s="1"/>
      <c r="PQM36" s="209"/>
      <c r="PQN36" s="1"/>
      <c r="PQO36" s="61"/>
      <c r="PQP36" s="1"/>
      <c r="PQQ36" s="209"/>
      <c r="PQR36" s="1"/>
      <c r="PQS36" s="61"/>
      <c r="PQT36" s="1"/>
      <c r="PQU36" s="209"/>
      <c r="PQV36" s="1"/>
      <c r="PQW36" s="61"/>
      <c r="PQX36" s="1"/>
      <c r="PQY36" s="209"/>
      <c r="PQZ36" s="1"/>
      <c r="PRA36" s="61"/>
      <c r="PRB36" s="1"/>
      <c r="PRC36" s="209"/>
      <c r="PRD36" s="1"/>
      <c r="PRE36" s="61"/>
      <c r="PRF36" s="1"/>
      <c r="PRG36" s="209"/>
      <c r="PRH36" s="1"/>
      <c r="PRI36" s="61"/>
      <c r="PRJ36" s="1"/>
      <c r="PRK36" s="209"/>
      <c r="PRL36" s="1"/>
      <c r="PRM36" s="61"/>
      <c r="PRN36" s="1"/>
      <c r="PRO36" s="209"/>
      <c r="PRP36" s="1"/>
      <c r="PRQ36" s="61"/>
      <c r="PRR36" s="1"/>
      <c r="PRS36" s="209"/>
      <c r="PRT36" s="1"/>
      <c r="PRU36" s="61"/>
      <c r="PRV36" s="1"/>
      <c r="PRW36" s="209"/>
      <c r="PRX36" s="1"/>
      <c r="PRY36" s="61"/>
      <c r="PRZ36" s="1"/>
      <c r="PSA36" s="209"/>
      <c r="PSB36" s="1"/>
      <c r="PSC36" s="61"/>
      <c r="PSD36" s="1"/>
      <c r="PSE36" s="209"/>
      <c r="PSF36" s="1"/>
      <c r="PSG36" s="61"/>
      <c r="PSH36" s="1"/>
      <c r="PSI36" s="209"/>
      <c r="PSJ36" s="1"/>
      <c r="PSK36" s="61"/>
      <c r="PSL36" s="1"/>
      <c r="PSM36" s="209"/>
      <c r="PSN36" s="1"/>
      <c r="PSO36" s="61"/>
      <c r="PSP36" s="1"/>
      <c r="PSQ36" s="209"/>
      <c r="PSR36" s="1"/>
      <c r="PSS36" s="61"/>
      <c r="PST36" s="1"/>
      <c r="PSU36" s="209"/>
      <c r="PSV36" s="1"/>
      <c r="PSW36" s="61"/>
      <c r="PSX36" s="1"/>
      <c r="PSY36" s="209"/>
      <c r="PSZ36" s="1"/>
      <c r="PTA36" s="61"/>
      <c r="PTB36" s="1"/>
      <c r="PTC36" s="209"/>
      <c r="PTD36" s="1"/>
      <c r="PTE36" s="61"/>
      <c r="PTF36" s="1"/>
      <c r="PTG36" s="209"/>
      <c r="PTH36" s="1"/>
      <c r="PTI36" s="61"/>
      <c r="PTJ36" s="1"/>
      <c r="PTK36" s="209"/>
      <c r="PTL36" s="1"/>
      <c r="PTM36" s="61"/>
      <c r="PTN36" s="1"/>
      <c r="PTO36" s="209"/>
      <c r="PTP36" s="1"/>
      <c r="PTQ36" s="61"/>
      <c r="PTR36" s="1"/>
      <c r="PTS36" s="209"/>
      <c r="PTT36" s="1"/>
      <c r="PTU36" s="61"/>
      <c r="PTV36" s="1"/>
      <c r="PTW36" s="209"/>
      <c r="PTX36" s="1"/>
      <c r="PTY36" s="61"/>
      <c r="PTZ36" s="1"/>
      <c r="PUA36" s="209"/>
      <c r="PUB36" s="1"/>
      <c r="PUC36" s="61"/>
      <c r="PUD36" s="1"/>
      <c r="PUE36" s="209"/>
      <c r="PUF36" s="1"/>
      <c r="PUG36" s="61"/>
      <c r="PUH36" s="1"/>
      <c r="PUI36" s="209"/>
      <c r="PUJ36" s="1"/>
      <c r="PUK36" s="61"/>
      <c r="PUL36" s="1"/>
      <c r="PUM36" s="209"/>
      <c r="PUN36" s="1"/>
      <c r="PUO36" s="61"/>
      <c r="PUP36" s="1"/>
      <c r="PUQ36" s="209"/>
      <c r="PUR36" s="1"/>
      <c r="PUS36" s="61"/>
      <c r="PUT36" s="1"/>
      <c r="PUU36" s="209"/>
      <c r="PUV36" s="1"/>
      <c r="PUW36" s="61"/>
      <c r="PUX36" s="1"/>
      <c r="PUY36" s="209"/>
      <c r="PUZ36" s="1"/>
      <c r="PVA36" s="61"/>
      <c r="PVB36" s="1"/>
      <c r="PVC36" s="209"/>
      <c r="PVD36" s="1"/>
      <c r="PVE36" s="61"/>
      <c r="PVF36" s="1"/>
      <c r="PVG36" s="209"/>
      <c r="PVH36" s="1"/>
      <c r="PVI36" s="61"/>
      <c r="PVJ36" s="1"/>
      <c r="PVK36" s="209"/>
      <c r="PVL36" s="1"/>
      <c r="PVM36" s="61"/>
      <c r="PVN36" s="1"/>
      <c r="PVO36" s="209"/>
      <c r="PVP36" s="1"/>
      <c r="PVQ36" s="61"/>
      <c r="PVR36" s="1"/>
      <c r="PVS36" s="209"/>
      <c r="PVT36" s="1"/>
      <c r="PVU36" s="61"/>
      <c r="PVV36" s="1"/>
      <c r="PVW36" s="209"/>
      <c r="PVX36" s="1"/>
      <c r="PVY36" s="61"/>
      <c r="PVZ36" s="1"/>
      <c r="PWA36" s="209"/>
      <c r="PWB36" s="1"/>
      <c r="PWC36" s="61"/>
      <c r="PWD36" s="1"/>
      <c r="PWE36" s="209"/>
      <c r="PWF36" s="1"/>
      <c r="PWG36" s="61"/>
      <c r="PWH36" s="1"/>
      <c r="PWI36" s="209"/>
      <c r="PWJ36" s="1"/>
      <c r="PWK36" s="61"/>
      <c r="PWL36" s="1"/>
      <c r="PWM36" s="209"/>
      <c r="PWN36" s="1"/>
      <c r="PWO36" s="61"/>
      <c r="PWP36" s="1"/>
      <c r="PWQ36" s="209"/>
      <c r="PWR36" s="1"/>
      <c r="PWS36" s="61"/>
      <c r="PWT36" s="1"/>
      <c r="PWU36" s="209"/>
      <c r="PWV36" s="1"/>
      <c r="PWW36" s="61"/>
      <c r="PWX36" s="1"/>
      <c r="PWY36" s="209"/>
      <c r="PWZ36" s="1"/>
      <c r="PXA36" s="61"/>
      <c r="PXB36" s="1"/>
      <c r="PXC36" s="209"/>
      <c r="PXD36" s="1"/>
      <c r="PXE36" s="61"/>
      <c r="PXF36" s="1"/>
      <c r="PXG36" s="209"/>
      <c r="PXH36" s="1"/>
      <c r="PXI36" s="61"/>
      <c r="PXJ36" s="1"/>
      <c r="PXK36" s="209"/>
      <c r="PXL36" s="1"/>
      <c r="PXM36" s="61"/>
      <c r="PXN36" s="1"/>
      <c r="PXO36" s="209"/>
      <c r="PXP36" s="1"/>
      <c r="PXQ36" s="61"/>
      <c r="PXR36" s="1"/>
      <c r="PXS36" s="209"/>
      <c r="PXT36" s="1"/>
      <c r="PXU36" s="61"/>
      <c r="PXV36" s="1"/>
      <c r="PXW36" s="209"/>
      <c r="PXX36" s="1"/>
      <c r="PXY36" s="61"/>
      <c r="PXZ36" s="1"/>
      <c r="PYA36" s="209"/>
      <c r="PYB36" s="1"/>
      <c r="PYC36" s="61"/>
      <c r="PYD36" s="1"/>
      <c r="PYE36" s="209"/>
      <c r="PYF36" s="1"/>
      <c r="PYG36" s="61"/>
      <c r="PYH36" s="1"/>
      <c r="PYI36" s="209"/>
      <c r="PYJ36" s="1"/>
      <c r="PYK36" s="61"/>
      <c r="PYL36" s="1"/>
      <c r="PYM36" s="209"/>
      <c r="PYN36" s="1"/>
      <c r="PYO36" s="61"/>
      <c r="PYP36" s="1"/>
      <c r="PYQ36" s="209"/>
      <c r="PYR36" s="1"/>
      <c r="PYS36" s="61"/>
      <c r="PYT36" s="1"/>
      <c r="PYU36" s="209"/>
      <c r="PYV36" s="1"/>
      <c r="PYW36" s="61"/>
      <c r="PYX36" s="1"/>
      <c r="PYY36" s="209"/>
      <c r="PYZ36" s="1"/>
      <c r="PZA36" s="61"/>
      <c r="PZB36" s="1"/>
      <c r="PZC36" s="209"/>
      <c r="PZD36" s="1"/>
      <c r="PZE36" s="61"/>
      <c r="PZF36" s="1"/>
      <c r="PZG36" s="209"/>
      <c r="PZH36" s="1"/>
      <c r="PZI36" s="61"/>
      <c r="PZJ36" s="1"/>
      <c r="PZK36" s="209"/>
      <c r="PZL36" s="1"/>
      <c r="PZM36" s="61"/>
      <c r="PZN36" s="1"/>
      <c r="PZO36" s="209"/>
      <c r="PZP36" s="1"/>
      <c r="PZQ36" s="61"/>
      <c r="PZR36" s="1"/>
      <c r="PZS36" s="209"/>
      <c r="PZT36" s="1"/>
      <c r="PZU36" s="61"/>
      <c r="PZV36" s="1"/>
      <c r="PZW36" s="209"/>
      <c r="PZX36" s="1"/>
      <c r="PZY36" s="61"/>
      <c r="PZZ36" s="1"/>
      <c r="QAA36" s="209"/>
      <c r="QAB36" s="1"/>
      <c r="QAC36" s="61"/>
      <c r="QAD36" s="1"/>
      <c r="QAE36" s="209"/>
      <c r="QAF36" s="1"/>
      <c r="QAG36" s="61"/>
      <c r="QAH36" s="1"/>
      <c r="QAI36" s="209"/>
      <c r="QAJ36" s="1"/>
      <c r="QAK36" s="61"/>
      <c r="QAL36" s="1"/>
      <c r="QAM36" s="209"/>
      <c r="QAN36" s="1"/>
      <c r="QAO36" s="61"/>
      <c r="QAP36" s="1"/>
      <c r="QAQ36" s="209"/>
      <c r="QAR36" s="1"/>
      <c r="QAS36" s="61"/>
      <c r="QAT36" s="1"/>
      <c r="QAU36" s="209"/>
      <c r="QAV36" s="1"/>
      <c r="QAW36" s="61"/>
      <c r="QAX36" s="1"/>
      <c r="QAY36" s="209"/>
      <c r="QAZ36" s="1"/>
      <c r="QBA36" s="61"/>
      <c r="QBB36" s="1"/>
      <c r="QBC36" s="209"/>
      <c r="QBD36" s="1"/>
      <c r="QBE36" s="61"/>
      <c r="QBF36" s="1"/>
      <c r="QBG36" s="209"/>
      <c r="QBH36" s="1"/>
      <c r="QBI36" s="61"/>
      <c r="QBJ36" s="1"/>
      <c r="QBK36" s="209"/>
      <c r="QBL36" s="1"/>
      <c r="QBM36" s="61"/>
      <c r="QBN36" s="1"/>
      <c r="QBO36" s="209"/>
      <c r="QBP36" s="1"/>
      <c r="QBQ36" s="61"/>
      <c r="QBR36" s="1"/>
      <c r="QBS36" s="209"/>
      <c r="QBT36" s="1"/>
      <c r="QBU36" s="61"/>
      <c r="QBV36" s="1"/>
      <c r="QBW36" s="209"/>
      <c r="QBX36" s="1"/>
      <c r="QBY36" s="61"/>
      <c r="QBZ36" s="1"/>
      <c r="QCA36" s="209"/>
      <c r="QCB36" s="1"/>
      <c r="QCC36" s="61"/>
      <c r="QCD36" s="1"/>
      <c r="QCE36" s="209"/>
      <c r="QCF36" s="1"/>
      <c r="QCG36" s="61"/>
      <c r="QCH36" s="1"/>
      <c r="QCI36" s="209"/>
      <c r="QCJ36" s="1"/>
      <c r="QCK36" s="61"/>
      <c r="QCL36" s="1"/>
      <c r="QCM36" s="209"/>
      <c r="QCN36" s="1"/>
      <c r="QCO36" s="61"/>
      <c r="QCP36" s="1"/>
      <c r="QCQ36" s="209"/>
      <c r="QCR36" s="1"/>
      <c r="QCS36" s="61"/>
      <c r="QCT36" s="1"/>
      <c r="QCU36" s="209"/>
      <c r="QCV36" s="1"/>
      <c r="QCW36" s="61"/>
      <c r="QCX36" s="1"/>
      <c r="QCY36" s="209"/>
      <c r="QCZ36" s="1"/>
      <c r="QDA36" s="61"/>
      <c r="QDB36" s="1"/>
      <c r="QDC36" s="209"/>
      <c r="QDD36" s="1"/>
      <c r="QDE36" s="61"/>
      <c r="QDF36" s="1"/>
      <c r="QDG36" s="209"/>
      <c r="QDH36" s="1"/>
      <c r="QDI36" s="61"/>
      <c r="QDJ36" s="1"/>
      <c r="QDK36" s="209"/>
      <c r="QDL36" s="1"/>
      <c r="QDM36" s="61"/>
      <c r="QDN36" s="1"/>
      <c r="QDO36" s="209"/>
      <c r="QDP36" s="1"/>
      <c r="QDQ36" s="61"/>
      <c r="QDR36" s="1"/>
      <c r="QDS36" s="209"/>
      <c r="QDT36" s="1"/>
      <c r="QDU36" s="61"/>
      <c r="QDV36" s="1"/>
      <c r="QDW36" s="209"/>
      <c r="QDX36" s="1"/>
      <c r="QDY36" s="61"/>
      <c r="QDZ36" s="1"/>
      <c r="QEA36" s="209"/>
      <c r="QEB36" s="1"/>
      <c r="QEC36" s="61"/>
      <c r="QED36" s="1"/>
      <c r="QEE36" s="209"/>
      <c r="QEF36" s="1"/>
      <c r="QEG36" s="61"/>
      <c r="QEH36" s="1"/>
      <c r="QEI36" s="209"/>
      <c r="QEJ36" s="1"/>
      <c r="QEK36" s="61"/>
      <c r="QEL36" s="1"/>
      <c r="QEM36" s="209"/>
      <c r="QEN36" s="1"/>
      <c r="QEO36" s="61"/>
      <c r="QEP36" s="1"/>
      <c r="QEQ36" s="209"/>
      <c r="QER36" s="1"/>
      <c r="QES36" s="61"/>
      <c r="QET36" s="1"/>
      <c r="QEU36" s="209"/>
      <c r="QEV36" s="1"/>
      <c r="QEW36" s="61"/>
      <c r="QEX36" s="1"/>
      <c r="QEY36" s="209"/>
      <c r="QEZ36" s="1"/>
      <c r="QFA36" s="61"/>
      <c r="QFB36" s="1"/>
      <c r="QFC36" s="209"/>
      <c r="QFD36" s="1"/>
      <c r="QFE36" s="61"/>
      <c r="QFF36" s="1"/>
      <c r="QFG36" s="209"/>
      <c r="QFH36" s="1"/>
      <c r="QFI36" s="61"/>
      <c r="QFJ36" s="1"/>
      <c r="QFK36" s="209"/>
      <c r="QFL36" s="1"/>
      <c r="QFM36" s="61"/>
      <c r="QFN36" s="1"/>
      <c r="QFO36" s="209"/>
      <c r="QFP36" s="1"/>
      <c r="QFQ36" s="61"/>
      <c r="QFR36" s="1"/>
      <c r="QFS36" s="209"/>
      <c r="QFT36" s="1"/>
      <c r="QFU36" s="61"/>
      <c r="QFV36" s="1"/>
      <c r="QFW36" s="209"/>
      <c r="QFX36" s="1"/>
      <c r="QFY36" s="61"/>
      <c r="QFZ36" s="1"/>
      <c r="QGA36" s="209"/>
      <c r="QGB36" s="1"/>
      <c r="QGC36" s="61"/>
      <c r="QGD36" s="1"/>
      <c r="QGE36" s="209"/>
      <c r="QGF36" s="1"/>
      <c r="QGG36" s="61"/>
      <c r="QGH36" s="1"/>
      <c r="QGI36" s="209"/>
      <c r="QGJ36" s="1"/>
      <c r="QGK36" s="61"/>
      <c r="QGL36" s="1"/>
      <c r="QGM36" s="209"/>
      <c r="QGN36" s="1"/>
      <c r="QGO36" s="61"/>
      <c r="QGP36" s="1"/>
      <c r="QGQ36" s="209"/>
      <c r="QGR36" s="1"/>
      <c r="QGS36" s="61"/>
      <c r="QGT36" s="1"/>
      <c r="QGU36" s="209"/>
      <c r="QGV36" s="1"/>
      <c r="QGW36" s="61"/>
      <c r="QGX36" s="1"/>
      <c r="QGY36" s="209"/>
      <c r="QGZ36" s="1"/>
      <c r="QHA36" s="61"/>
      <c r="QHB36" s="1"/>
      <c r="QHC36" s="209"/>
      <c r="QHD36" s="1"/>
      <c r="QHE36" s="61"/>
      <c r="QHF36" s="1"/>
      <c r="QHG36" s="209"/>
      <c r="QHH36" s="1"/>
      <c r="QHI36" s="61"/>
      <c r="QHJ36" s="1"/>
      <c r="QHK36" s="209"/>
      <c r="QHL36" s="1"/>
      <c r="QHM36" s="61"/>
      <c r="QHN36" s="1"/>
      <c r="QHO36" s="209"/>
      <c r="QHP36" s="1"/>
      <c r="QHQ36" s="61"/>
      <c r="QHR36" s="1"/>
      <c r="QHS36" s="209"/>
      <c r="QHT36" s="1"/>
      <c r="QHU36" s="61"/>
      <c r="QHV36" s="1"/>
      <c r="QHW36" s="209"/>
      <c r="QHX36" s="1"/>
      <c r="QHY36" s="61"/>
      <c r="QHZ36" s="1"/>
      <c r="QIA36" s="209"/>
      <c r="QIB36" s="1"/>
      <c r="QIC36" s="61"/>
      <c r="QID36" s="1"/>
      <c r="QIE36" s="209"/>
      <c r="QIF36" s="1"/>
      <c r="QIG36" s="61"/>
      <c r="QIH36" s="1"/>
      <c r="QII36" s="209"/>
      <c r="QIJ36" s="1"/>
      <c r="QIK36" s="61"/>
      <c r="QIL36" s="1"/>
      <c r="QIM36" s="209"/>
      <c r="QIN36" s="1"/>
      <c r="QIO36" s="61"/>
      <c r="QIP36" s="1"/>
      <c r="QIQ36" s="209"/>
      <c r="QIR36" s="1"/>
      <c r="QIS36" s="61"/>
      <c r="QIT36" s="1"/>
      <c r="QIU36" s="209"/>
      <c r="QIV36" s="1"/>
      <c r="QIW36" s="61"/>
      <c r="QIX36" s="1"/>
      <c r="QIY36" s="209"/>
      <c r="QIZ36" s="1"/>
      <c r="QJA36" s="61"/>
      <c r="QJB36" s="1"/>
      <c r="QJC36" s="209"/>
      <c r="QJD36" s="1"/>
      <c r="QJE36" s="61"/>
      <c r="QJF36" s="1"/>
      <c r="QJG36" s="209"/>
      <c r="QJH36" s="1"/>
      <c r="QJI36" s="61"/>
      <c r="QJJ36" s="1"/>
      <c r="QJK36" s="209"/>
      <c r="QJL36" s="1"/>
      <c r="QJM36" s="61"/>
      <c r="QJN36" s="1"/>
      <c r="QJO36" s="209"/>
      <c r="QJP36" s="1"/>
      <c r="QJQ36" s="61"/>
      <c r="QJR36" s="1"/>
      <c r="QJS36" s="209"/>
      <c r="QJT36" s="1"/>
      <c r="QJU36" s="61"/>
      <c r="QJV36" s="1"/>
      <c r="QJW36" s="209"/>
      <c r="QJX36" s="1"/>
      <c r="QJY36" s="61"/>
      <c r="QJZ36" s="1"/>
      <c r="QKA36" s="209"/>
      <c r="QKB36" s="1"/>
      <c r="QKC36" s="61"/>
      <c r="QKD36" s="1"/>
      <c r="QKE36" s="209"/>
      <c r="QKF36" s="1"/>
      <c r="QKG36" s="61"/>
      <c r="QKH36" s="1"/>
      <c r="QKI36" s="209"/>
      <c r="QKJ36" s="1"/>
      <c r="QKK36" s="61"/>
      <c r="QKL36" s="1"/>
      <c r="QKM36" s="209"/>
      <c r="QKN36" s="1"/>
      <c r="QKO36" s="61"/>
      <c r="QKP36" s="1"/>
      <c r="QKQ36" s="209"/>
      <c r="QKR36" s="1"/>
      <c r="QKS36" s="61"/>
      <c r="QKT36" s="1"/>
      <c r="QKU36" s="209"/>
      <c r="QKV36" s="1"/>
      <c r="QKW36" s="61"/>
      <c r="QKX36" s="1"/>
      <c r="QKY36" s="209"/>
      <c r="QKZ36" s="1"/>
      <c r="QLA36" s="61"/>
      <c r="QLB36" s="1"/>
      <c r="QLC36" s="209"/>
      <c r="QLD36" s="1"/>
      <c r="QLE36" s="61"/>
      <c r="QLF36" s="1"/>
      <c r="QLG36" s="209"/>
      <c r="QLH36" s="1"/>
      <c r="QLI36" s="61"/>
      <c r="QLJ36" s="1"/>
      <c r="QLK36" s="209"/>
      <c r="QLL36" s="1"/>
      <c r="QLM36" s="61"/>
      <c r="QLN36" s="1"/>
      <c r="QLO36" s="209"/>
      <c r="QLP36" s="1"/>
      <c r="QLQ36" s="61"/>
      <c r="QLR36" s="1"/>
      <c r="QLS36" s="209"/>
      <c r="QLT36" s="1"/>
      <c r="QLU36" s="61"/>
      <c r="QLV36" s="1"/>
      <c r="QLW36" s="209"/>
      <c r="QLX36" s="1"/>
      <c r="QLY36" s="61"/>
      <c r="QLZ36" s="1"/>
      <c r="QMA36" s="209"/>
      <c r="QMB36" s="1"/>
      <c r="QMC36" s="61"/>
      <c r="QMD36" s="1"/>
      <c r="QME36" s="209"/>
      <c r="QMF36" s="1"/>
      <c r="QMG36" s="61"/>
      <c r="QMH36" s="1"/>
      <c r="QMI36" s="209"/>
      <c r="QMJ36" s="1"/>
      <c r="QMK36" s="61"/>
      <c r="QML36" s="1"/>
      <c r="QMM36" s="209"/>
      <c r="QMN36" s="1"/>
      <c r="QMO36" s="61"/>
      <c r="QMP36" s="1"/>
      <c r="QMQ36" s="209"/>
      <c r="QMR36" s="1"/>
      <c r="QMS36" s="61"/>
      <c r="QMT36" s="1"/>
      <c r="QMU36" s="209"/>
      <c r="QMV36" s="1"/>
      <c r="QMW36" s="61"/>
      <c r="QMX36" s="1"/>
      <c r="QMY36" s="209"/>
      <c r="QMZ36" s="1"/>
      <c r="QNA36" s="61"/>
      <c r="QNB36" s="1"/>
      <c r="QNC36" s="209"/>
      <c r="QND36" s="1"/>
      <c r="QNE36" s="61"/>
      <c r="QNF36" s="1"/>
      <c r="QNG36" s="209"/>
      <c r="QNH36" s="1"/>
      <c r="QNI36" s="61"/>
      <c r="QNJ36" s="1"/>
      <c r="QNK36" s="209"/>
      <c r="QNL36" s="1"/>
      <c r="QNM36" s="61"/>
      <c r="QNN36" s="1"/>
      <c r="QNO36" s="209"/>
      <c r="QNP36" s="1"/>
      <c r="QNQ36" s="61"/>
      <c r="QNR36" s="1"/>
      <c r="QNS36" s="209"/>
      <c r="QNT36" s="1"/>
      <c r="QNU36" s="61"/>
      <c r="QNV36" s="1"/>
      <c r="QNW36" s="209"/>
      <c r="QNX36" s="1"/>
      <c r="QNY36" s="61"/>
      <c r="QNZ36" s="1"/>
      <c r="QOA36" s="209"/>
      <c r="QOB36" s="1"/>
      <c r="QOC36" s="61"/>
      <c r="QOD36" s="1"/>
      <c r="QOE36" s="209"/>
      <c r="QOF36" s="1"/>
      <c r="QOG36" s="61"/>
      <c r="QOH36" s="1"/>
      <c r="QOI36" s="209"/>
      <c r="QOJ36" s="1"/>
      <c r="QOK36" s="61"/>
      <c r="QOL36" s="1"/>
      <c r="QOM36" s="209"/>
      <c r="QON36" s="1"/>
      <c r="QOO36" s="61"/>
      <c r="QOP36" s="1"/>
      <c r="QOQ36" s="209"/>
      <c r="QOR36" s="1"/>
      <c r="QOS36" s="61"/>
      <c r="QOT36" s="1"/>
      <c r="QOU36" s="209"/>
      <c r="QOV36" s="1"/>
      <c r="QOW36" s="61"/>
      <c r="QOX36" s="1"/>
      <c r="QOY36" s="209"/>
      <c r="QOZ36" s="1"/>
      <c r="QPA36" s="61"/>
      <c r="QPB36" s="1"/>
      <c r="QPC36" s="209"/>
      <c r="QPD36" s="1"/>
      <c r="QPE36" s="61"/>
      <c r="QPF36" s="1"/>
      <c r="QPG36" s="209"/>
      <c r="QPH36" s="1"/>
      <c r="QPI36" s="61"/>
      <c r="QPJ36" s="1"/>
      <c r="QPK36" s="209"/>
      <c r="QPL36" s="1"/>
      <c r="QPM36" s="61"/>
      <c r="QPN36" s="1"/>
      <c r="QPO36" s="209"/>
      <c r="QPP36" s="1"/>
      <c r="QPQ36" s="61"/>
      <c r="QPR36" s="1"/>
      <c r="QPS36" s="209"/>
      <c r="QPT36" s="1"/>
      <c r="QPU36" s="61"/>
      <c r="QPV36" s="1"/>
      <c r="QPW36" s="209"/>
      <c r="QPX36" s="1"/>
      <c r="QPY36" s="61"/>
      <c r="QPZ36" s="1"/>
      <c r="QQA36" s="209"/>
      <c r="QQB36" s="1"/>
      <c r="QQC36" s="61"/>
      <c r="QQD36" s="1"/>
      <c r="QQE36" s="209"/>
      <c r="QQF36" s="1"/>
      <c r="QQG36" s="61"/>
      <c r="QQH36" s="1"/>
      <c r="QQI36" s="209"/>
      <c r="QQJ36" s="1"/>
      <c r="QQK36" s="61"/>
      <c r="QQL36" s="1"/>
      <c r="QQM36" s="209"/>
      <c r="QQN36" s="1"/>
      <c r="QQO36" s="61"/>
      <c r="QQP36" s="1"/>
      <c r="QQQ36" s="209"/>
      <c r="QQR36" s="1"/>
      <c r="QQS36" s="61"/>
      <c r="QQT36" s="1"/>
      <c r="QQU36" s="209"/>
      <c r="QQV36" s="1"/>
      <c r="QQW36" s="61"/>
      <c r="QQX36" s="1"/>
      <c r="QQY36" s="209"/>
      <c r="QQZ36" s="1"/>
      <c r="QRA36" s="61"/>
      <c r="QRB36" s="1"/>
      <c r="QRC36" s="209"/>
      <c r="QRD36" s="1"/>
      <c r="QRE36" s="61"/>
      <c r="QRF36" s="1"/>
      <c r="QRG36" s="209"/>
      <c r="QRH36" s="1"/>
      <c r="QRI36" s="61"/>
      <c r="QRJ36" s="1"/>
      <c r="QRK36" s="209"/>
      <c r="QRL36" s="1"/>
      <c r="QRM36" s="61"/>
      <c r="QRN36" s="1"/>
      <c r="QRO36" s="209"/>
      <c r="QRP36" s="1"/>
      <c r="QRQ36" s="61"/>
      <c r="QRR36" s="1"/>
      <c r="QRS36" s="209"/>
      <c r="QRT36" s="1"/>
      <c r="QRU36" s="61"/>
      <c r="QRV36" s="1"/>
      <c r="QRW36" s="209"/>
      <c r="QRX36" s="1"/>
      <c r="QRY36" s="61"/>
      <c r="QRZ36" s="1"/>
      <c r="QSA36" s="209"/>
      <c r="QSB36" s="1"/>
      <c r="QSC36" s="61"/>
      <c r="QSD36" s="1"/>
      <c r="QSE36" s="209"/>
      <c r="QSF36" s="1"/>
      <c r="QSG36" s="61"/>
      <c r="QSH36" s="1"/>
      <c r="QSI36" s="209"/>
      <c r="QSJ36" s="1"/>
      <c r="QSK36" s="61"/>
      <c r="QSL36" s="1"/>
      <c r="QSM36" s="209"/>
      <c r="QSN36" s="1"/>
      <c r="QSO36" s="61"/>
      <c r="QSP36" s="1"/>
      <c r="QSQ36" s="209"/>
      <c r="QSR36" s="1"/>
      <c r="QSS36" s="61"/>
      <c r="QST36" s="1"/>
      <c r="QSU36" s="209"/>
      <c r="QSV36" s="1"/>
      <c r="QSW36" s="61"/>
      <c r="QSX36" s="1"/>
      <c r="QSY36" s="209"/>
      <c r="QSZ36" s="1"/>
      <c r="QTA36" s="61"/>
      <c r="QTB36" s="1"/>
      <c r="QTC36" s="209"/>
      <c r="QTD36" s="1"/>
      <c r="QTE36" s="61"/>
      <c r="QTF36" s="1"/>
      <c r="QTG36" s="209"/>
      <c r="QTH36" s="1"/>
      <c r="QTI36" s="61"/>
      <c r="QTJ36" s="1"/>
      <c r="QTK36" s="209"/>
      <c r="QTL36" s="1"/>
      <c r="QTM36" s="61"/>
      <c r="QTN36" s="1"/>
      <c r="QTO36" s="209"/>
      <c r="QTP36" s="1"/>
      <c r="QTQ36" s="61"/>
      <c r="QTR36" s="1"/>
      <c r="QTS36" s="209"/>
      <c r="QTT36" s="1"/>
      <c r="QTU36" s="61"/>
      <c r="QTV36" s="1"/>
      <c r="QTW36" s="209"/>
      <c r="QTX36" s="1"/>
      <c r="QTY36" s="61"/>
      <c r="QTZ36" s="1"/>
      <c r="QUA36" s="209"/>
      <c r="QUB36" s="1"/>
      <c r="QUC36" s="61"/>
      <c r="QUD36" s="1"/>
      <c r="QUE36" s="209"/>
      <c r="QUF36" s="1"/>
      <c r="QUG36" s="61"/>
      <c r="QUH36" s="1"/>
      <c r="QUI36" s="209"/>
      <c r="QUJ36" s="1"/>
      <c r="QUK36" s="61"/>
      <c r="QUL36" s="1"/>
      <c r="QUM36" s="209"/>
      <c r="QUN36" s="1"/>
      <c r="QUO36" s="61"/>
      <c r="QUP36" s="1"/>
      <c r="QUQ36" s="209"/>
      <c r="QUR36" s="1"/>
      <c r="QUS36" s="61"/>
      <c r="QUT36" s="1"/>
      <c r="QUU36" s="209"/>
      <c r="QUV36" s="1"/>
      <c r="QUW36" s="61"/>
      <c r="QUX36" s="1"/>
      <c r="QUY36" s="209"/>
      <c r="QUZ36" s="1"/>
      <c r="QVA36" s="61"/>
      <c r="QVB36" s="1"/>
      <c r="QVC36" s="209"/>
      <c r="QVD36" s="1"/>
      <c r="QVE36" s="61"/>
      <c r="QVF36" s="1"/>
      <c r="QVG36" s="209"/>
      <c r="QVH36" s="1"/>
      <c r="QVI36" s="61"/>
      <c r="QVJ36" s="1"/>
      <c r="QVK36" s="209"/>
      <c r="QVL36" s="1"/>
      <c r="QVM36" s="61"/>
      <c r="QVN36" s="1"/>
      <c r="QVO36" s="209"/>
      <c r="QVP36" s="1"/>
      <c r="QVQ36" s="61"/>
      <c r="QVR36" s="1"/>
      <c r="QVS36" s="209"/>
      <c r="QVT36" s="1"/>
      <c r="QVU36" s="61"/>
      <c r="QVV36" s="1"/>
      <c r="QVW36" s="209"/>
      <c r="QVX36" s="1"/>
      <c r="QVY36" s="61"/>
      <c r="QVZ36" s="1"/>
      <c r="QWA36" s="209"/>
      <c r="QWB36" s="1"/>
      <c r="QWC36" s="61"/>
      <c r="QWD36" s="1"/>
      <c r="QWE36" s="209"/>
      <c r="QWF36" s="1"/>
      <c r="QWG36" s="61"/>
      <c r="QWH36" s="1"/>
      <c r="QWI36" s="209"/>
      <c r="QWJ36" s="1"/>
      <c r="QWK36" s="61"/>
      <c r="QWL36" s="1"/>
      <c r="QWM36" s="209"/>
      <c r="QWN36" s="1"/>
      <c r="QWO36" s="61"/>
      <c r="QWP36" s="1"/>
      <c r="QWQ36" s="209"/>
      <c r="QWR36" s="1"/>
      <c r="QWS36" s="61"/>
      <c r="QWT36" s="1"/>
      <c r="QWU36" s="209"/>
      <c r="QWV36" s="1"/>
      <c r="QWW36" s="61"/>
      <c r="QWX36" s="1"/>
      <c r="QWY36" s="209"/>
      <c r="QWZ36" s="1"/>
      <c r="QXA36" s="61"/>
      <c r="QXB36" s="1"/>
      <c r="QXC36" s="209"/>
      <c r="QXD36" s="1"/>
      <c r="QXE36" s="61"/>
      <c r="QXF36" s="1"/>
      <c r="QXG36" s="209"/>
      <c r="QXH36" s="1"/>
      <c r="QXI36" s="61"/>
      <c r="QXJ36" s="1"/>
      <c r="QXK36" s="209"/>
      <c r="QXL36" s="1"/>
      <c r="QXM36" s="61"/>
      <c r="QXN36" s="1"/>
      <c r="QXO36" s="209"/>
      <c r="QXP36" s="1"/>
      <c r="QXQ36" s="61"/>
      <c r="QXR36" s="1"/>
      <c r="QXS36" s="209"/>
      <c r="QXT36" s="1"/>
      <c r="QXU36" s="61"/>
      <c r="QXV36" s="1"/>
      <c r="QXW36" s="209"/>
      <c r="QXX36" s="1"/>
      <c r="QXY36" s="61"/>
      <c r="QXZ36" s="1"/>
      <c r="QYA36" s="209"/>
      <c r="QYB36" s="1"/>
      <c r="QYC36" s="61"/>
      <c r="QYD36" s="1"/>
      <c r="QYE36" s="209"/>
      <c r="QYF36" s="1"/>
      <c r="QYG36" s="61"/>
      <c r="QYH36" s="1"/>
      <c r="QYI36" s="209"/>
      <c r="QYJ36" s="1"/>
      <c r="QYK36" s="61"/>
      <c r="QYL36" s="1"/>
      <c r="QYM36" s="209"/>
      <c r="QYN36" s="1"/>
      <c r="QYO36" s="61"/>
      <c r="QYP36" s="1"/>
      <c r="QYQ36" s="209"/>
      <c r="QYR36" s="1"/>
      <c r="QYS36" s="61"/>
      <c r="QYT36" s="1"/>
      <c r="QYU36" s="209"/>
      <c r="QYV36" s="1"/>
      <c r="QYW36" s="61"/>
      <c r="QYX36" s="1"/>
      <c r="QYY36" s="209"/>
      <c r="QYZ36" s="1"/>
      <c r="QZA36" s="61"/>
      <c r="QZB36" s="1"/>
      <c r="QZC36" s="209"/>
      <c r="QZD36" s="1"/>
      <c r="QZE36" s="61"/>
      <c r="QZF36" s="1"/>
      <c r="QZG36" s="209"/>
      <c r="QZH36" s="1"/>
      <c r="QZI36" s="61"/>
      <c r="QZJ36" s="1"/>
      <c r="QZK36" s="209"/>
      <c r="QZL36" s="1"/>
      <c r="QZM36" s="61"/>
      <c r="QZN36" s="1"/>
      <c r="QZO36" s="209"/>
      <c r="QZP36" s="1"/>
      <c r="QZQ36" s="61"/>
      <c r="QZR36" s="1"/>
      <c r="QZS36" s="209"/>
      <c r="QZT36" s="1"/>
      <c r="QZU36" s="61"/>
      <c r="QZV36" s="1"/>
      <c r="QZW36" s="209"/>
      <c r="QZX36" s="1"/>
      <c r="QZY36" s="61"/>
      <c r="QZZ36" s="1"/>
      <c r="RAA36" s="209"/>
      <c r="RAB36" s="1"/>
      <c r="RAC36" s="61"/>
      <c r="RAD36" s="1"/>
      <c r="RAE36" s="209"/>
      <c r="RAF36" s="1"/>
      <c r="RAG36" s="61"/>
      <c r="RAH36" s="1"/>
      <c r="RAI36" s="209"/>
      <c r="RAJ36" s="1"/>
      <c r="RAK36" s="61"/>
      <c r="RAL36" s="1"/>
      <c r="RAM36" s="209"/>
      <c r="RAN36" s="1"/>
      <c r="RAO36" s="61"/>
      <c r="RAP36" s="1"/>
      <c r="RAQ36" s="209"/>
      <c r="RAR36" s="1"/>
      <c r="RAS36" s="61"/>
      <c r="RAT36" s="1"/>
      <c r="RAU36" s="209"/>
      <c r="RAV36" s="1"/>
      <c r="RAW36" s="61"/>
      <c r="RAX36" s="1"/>
      <c r="RAY36" s="209"/>
      <c r="RAZ36" s="1"/>
      <c r="RBA36" s="61"/>
      <c r="RBB36" s="1"/>
      <c r="RBC36" s="209"/>
      <c r="RBD36" s="1"/>
      <c r="RBE36" s="61"/>
      <c r="RBF36" s="1"/>
      <c r="RBG36" s="209"/>
      <c r="RBH36" s="1"/>
      <c r="RBI36" s="61"/>
      <c r="RBJ36" s="1"/>
      <c r="RBK36" s="209"/>
      <c r="RBL36" s="1"/>
      <c r="RBM36" s="61"/>
      <c r="RBN36" s="1"/>
      <c r="RBO36" s="209"/>
      <c r="RBP36" s="1"/>
      <c r="RBQ36" s="61"/>
      <c r="RBR36" s="1"/>
      <c r="RBS36" s="209"/>
      <c r="RBT36" s="1"/>
      <c r="RBU36" s="61"/>
      <c r="RBV36" s="1"/>
      <c r="RBW36" s="209"/>
      <c r="RBX36" s="1"/>
      <c r="RBY36" s="61"/>
      <c r="RBZ36" s="1"/>
      <c r="RCA36" s="209"/>
      <c r="RCB36" s="1"/>
      <c r="RCC36" s="61"/>
      <c r="RCD36" s="1"/>
      <c r="RCE36" s="209"/>
      <c r="RCF36" s="1"/>
      <c r="RCG36" s="61"/>
      <c r="RCH36" s="1"/>
      <c r="RCI36" s="209"/>
      <c r="RCJ36" s="1"/>
      <c r="RCK36" s="61"/>
      <c r="RCL36" s="1"/>
      <c r="RCM36" s="209"/>
      <c r="RCN36" s="1"/>
      <c r="RCO36" s="61"/>
      <c r="RCP36" s="1"/>
      <c r="RCQ36" s="209"/>
      <c r="RCR36" s="1"/>
      <c r="RCS36" s="61"/>
      <c r="RCT36" s="1"/>
      <c r="RCU36" s="209"/>
      <c r="RCV36" s="1"/>
      <c r="RCW36" s="61"/>
      <c r="RCX36" s="1"/>
      <c r="RCY36" s="209"/>
      <c r="RCZ36" s="1"/>
      <c r="RDA36" s="61"/>
      <c r="RDB36" s="1"/>
      <c r="RDC36" s="209"/>
      <c r="RDD36" s="1"/>
      <c r="RDE36" s="61"/>
      <c r="RDF36" s="1"/>
      <c r="RDG36" s="209"/>
      <c r="RDH36" s="1"/>
      <c r="RDI36" s="61"/>
      <c r="RDJ36" s="1"/>
      <c r="RDK36" s="209"/>
      <c r="RDL36" s="1"/>
      <c r="RDM36" s="61"/>
      <c r="RDN36" s="1"/>
      <c r="RDO36" s="209"/>
      <c r="RDP36" s="1"/>
      <c r="RDQ36" s="61"/>
      <c r="RDR36" s="1"/>
      <c r="RDS36" s="209"/>
      <c r="RDT36" s="1"/>
      <c r="RDU36" s="61"/>
      <c r="RDV36" s="1"/>
      <c r="RDW36" s="209"/>
      <c r="RDX36" s="1"/>
      <c r="RDY36" s="61"/>
      <c r="RDZ36" s="1"/>
      <c r="REA36" s="209"/>
      <c r="REB36" s="1"/>
      <c r="REC36" s="61"/>
      <c r="RED36" s="1"/>
      <c r="REE36" s="209"/>
      <c r="REF36" s="1"/>
      <c r="REG36" s="61"/>
      <c r="REH36" s="1"/>
      <c r="REI36" s="209"/>
      <c r="REJ36" s="1"/>
      <c r="REK36" s="61"/>
      <c r="REL36" s="1"/>
      <c r="REM36" s="209"/>
      <c r="REN36" s="1"/>
      <c r="REO36" s="61"/>
      <c r="REP36" s="1"/>
      <c r="REQ36" s="209"/>
      <c r="RER36" s="1"/>
      <c r="RES36" s="61"/>
      <c r="RET36" s="1"/>
      <c r="REU36" s="209"/>
      <c r="REV36" s="1"/>
      <c r="REW36" s="61"/>
      <c r="REX36" s="1"/>
      <c r="REY36" s="209"/>
      <c r="REZ36" s="1"/>
      <c r="RFA36" s="61"/>
      <c r="RFB36" s="1"/>
      <c r="RFC36" s="209"/>
      <c r="RFD36" s="1"/>
      <c r="RFE36" s="61"/>
      <c r="RFF36" s="1"/>
      <c r="RFG36" s="209"/>
      <c r="RFH36" s="1"/>
      <c r="RFI36" s="61"/>
      <c r="RFJ36" s="1"/>
      <c r="RFK36" s="209"/>
      <c r="RFL36" s="1"/>
      <c r="RFM36" s="61"/>
      <c r="RFN36" s="1"/>
      <c r="RFO36" s="209"/>
      <c r="RFP36" s="1"/>
      <c r="RFQ36" s="61"/>
      <c r="RFR36" s="1"/>
      <c r="RFS36" s="209"/>
      <c r="RFT36" s="1"/>
      <c r="RFU36" s="61"/>
      <c r="RFV36" s="1"/>
      <c r="RFW36" s="209"/>
      <c r="RFX36" s="1"/>
      <c r="RFY36" s="61"/>
      <c r="RFZ36" s="1"/>
      <c r="RGA36" s="209"/>
      <c r="RGB36" s="1"/>
      <c r="RGC36" s="61"/>
      <c r="RGD36" s="1"/>
      <c r="RGE36" s="209"/>
      <c r="RGF36" s="1"/>
      <c r="RGG36" s="61"/>
      <c r="RGH36" s="1"/>
      <c r="RGI36" s="209"/>
      <c r="RGJ36" s="1"/>
      <c r="RGK36" s="61"/>
      <c r="RGL36" s="1"/>
      <c r="RGM36" s="209"/>
      <c r="RGN36" s="1"/>
      <c r="RGO36" s="61"/>
      <c r="RGP36" s="1"/>
      <c r="RGQ36" s="209"/>
      <c r="RGR36" s="1"/>
      <c r="RGS36" s="61"/>
      <c r="RGT36" s="1"/>
      <c r="RGU36" s="209"/>
      <c r="RGV36" s="1"/>
      <c r="RGW36" s="61"/>
      <c r="RGX36" s="1"/>
      <c r="RGY36" s="209"/>
      <c r="RGZ36" s="1"/>
      <c r="RHA36" s="61"/>
      <c r="RHB36" s="1"/>
      <c r="RHC36" s="209"/>
      <c r="RHD36" s="1"/>
      <c r="RHE36" s="61"/>
      <c r="RHF36" s="1"/>
      <c r="RHG36" s="209"/>
      <c r="RHH36" s="1"/>
      <c r="RHI36" s="61"/>
      <c r="RHJ36" s="1"/>
      <c r="RHK36" s="209"/>
      <c r="RHL36" s="1"/>
      <c r="RHM36" s="61"/>
      <c r="RHN36" s="1"/>
      <c r="RHO36" s="209"/>
      <c r="RHP36" s="1"/>
      <c r="RHQ36" s="61"/>
      <c r="RHR36" s="1"/>
      <c r="RHS36" s="209"/>
      <c r="RHT36" s="1"/>
      <c r="RHU36" s="61"/>
      <c r="RHV36" s="1"/>
      <c r="RHW36" s="209"/>
      <c r="RHX36" s="1"/>
      <c r="RHY36" s="61"/>
      <c r="RHZ36" s="1"/>
      <c r="RIA36" s="209"/>
      <c r="RIB36" s="1"/>
      <c r="RIC36" s="61"/>
      <c r="RID36" s="1"/>
      <c r="RIE36" s="209"/>
      <c r="RIF36" s="1"/>
      <c r="RIG36" s="61"/>
      <c r="RIH36" s="1"/>
      <c r="RII36" s="209"/>
      <c r="RIJ36" s="1"/>
      <c r="RIK36" s="61"/>
      <c r="RIL36" s="1"/>
      <c r="RIM36" s="209"/>
      <c r="RIN36" s="1"/>
      <c r="RIO36" s="61"/>
      <c r="RIP36" s="1"/>
      <c r="RIQ36" s="209"/>
      <c r="RIR36" s="1"/>
      <c r="RIS36" s="61"/>
      <c r="RIT36" s="1"/>
      <c r="RIU36" s="209"/>
      <c r="RIV36" s="1"/>
      <c r="RIW36" s="61"/>
      <c r="RIX36" s="1"/>
      <c r="RIY36" s="209"/>
      <c r="RIZ36" s="1"/>
      <c r="RJA36" s="61"/>
      <c r="RJB36" s="1"/>
      <c r="RJC36" s="209"/>
      <c r="RJD36" s="1"/>
      <c r="RJE36" s="61"/>
      <c r="RJF36" s="1"/>
      <c r="RJG36" s="209"/>
      <c r="RJH36" s="1"/>
      <c r="RJI36" s="61"/>
      <c r="RJJ36" s="1"/>
      <c r="RJK36" s="209"/>
      <c r="RJL36" s="1"/>
      <c r="RJM36" s="61"/>
      <c r="RJN36" s="1"/>
      <c r="RJO36" s="209"/>
      <c r="RJP36" s="1"/>
      <c r="RJQ36" s="61"/>
      <c r="RJR36" s="1"/>
      <c r="RJS36" s="209"/>
      <c r="RJT36" s="1"/>
      <c r="RJU36" s="61"/>
      <c r="RJV36" s="1"/>
      <c r="RJW36" s="209"/>
      <c r="RJX36" s="1"/>
      <c r="RJY36" s="61"/>
      <c r="RJZ36" s="1"/>
      <c r="RKA36" s="209"/>
      <c r="RKB36" s="1"/>
      <c r="RKC36" s="61"/>
      <c r="RKD36" s="1"/>
      <c r="RKE36" s="209"/>
      <c r="RKF36" s="1"/>
      <c r="RKG36" s="61"/>
      <c r="RKH36" s="1"/>
      <c r="RKI36" s="209"/>
      <c r="RKJ36" s="1"/>
      <c r="RKK36" s="61"/>
      <c r="RKL36" s="1"/>
      <c r="RKM36" s="209"/>
      <c r="RKN36" s="1"/>
      <c r="RKO36" s="61"/>
      <c r="RKP36" s="1"/>
      <c r="RKQ36" s="209"/>
      <c r="RKR36" s="1"/>
      <c r="RKS36" s="61"/>
      <c r="RKT36" s="1"/>
      <c r="RKU36" s="209"/>
      <c r="RKV36" s="1"/>
      <c r="RKW36" s="61"/>
      <c r="RKX36" s="1"/>
      <c r="RKY36" s="209"/>
      <c r="RKZ36" s="1"/>
      <c r="RLA36" s="61"/>
      <c r="RLB36" s="1"/>
      <c r="RLC36" s="209"/>
      <c r="RLD36" s="1"/>
      <c r="RLE36" s="61"/>
      <c r="RLF36" s="1"/>
      <c r="RLG36" s="209"/>
      <c r="RLH36" s="1"/>
      <c r="RLI36" s="61"/>
      <c r="RLJ36" s="1"/>
      <c r="RLK36" s="209"/>
      <c r="RLL36" s="1"/>
      <c r="RLM36" s="61"/>
      <c r="RLN36" s="1"/>
      <c r="RLO36" s="209"/>
      <c r="RLP36" s="1"/>
      <c r="RLQ36" s="61"/>
      <c r="RLR36" s="1"/>
      <c r="RLS36" s="209"/>
      <c r="RLT36" s="1"/>
      <c r="RLU36" s="61"/>
      <c r="RLV36" s="1"/>
      <c r="RLW36" s="209"/>
      <c r="RLX36" s="1"/>
      <c r="RLY36" s="61"/>
      <c r="RLZ36" s="1"/>
      <c r="RMA36" s="209"/>
      <c r="RMB36" s="1"/>
      <c r="RMC36" s="61"/>
      <c r="RMD36" s="1"/>
      <c r="RME36" s="209"/>
      <c r="RMF36" s="1"/>
      <c r="RMG36" s="61"/>
      <c r="RMH36" s="1"/>
      <c r="RMI36" s="209"/>
      <c r="RMJ36" s="1"/>
      <c r="RMK36" s="61"/>
      <c r="RML36" s="1"/>
      <c r="RMM36" s="209"/>
      <c r="RMN36" s="1"/>
      <c r="RMO36" s="61"/>
      <c r="RMP36" s="1"/>
      <c r="RMQ36" s="209"/>
      <c r="RMR36" s="1"/>
      <c r="RMS36" s="61"/>
      <c r="RMT36" s="1"/>
      <c r="RMU36" s="209"/>
      <c r="RMV36" s="1"/>
      <c r="RMW36" s="61"/>
      <c r="RMX36" s="1"/>
      <c r="RMY36" s="209"/>
      <c r="RMZ36" s="1"/>
      <c r="RNA36" s="61"/>
      <c r="RNB36" s="1"/>
      <c r="RNC36" s="209"/>
      <c r="RND36" s="1"/>
      <c r="RNE36" s="61"/>
      <c r="RNF36" s="1"/>
      <c r="RNG36" s="209"/>
      <c r="RNH36" s="1"/>
      <c r="RNI36" s="61"/>
      <c r="RNJ36" s="1"/>
      <c r="RNK36" s="209"/>
      <c r="RNL36" s="1"/>
      <c r="RNM36" s="61"/>
      <c r="RNN36" s="1"/>
      <c r="RNO36" s="209"/>
      <c r="RNP36" s="1"/>
      <c r="RNQ36" s="61"/>
      <c r="RNR36" s="1"/>
      <c r="RNS36" s="209"/>
      <c r="RNT36" s="1"/>
      <c r="RNU36" s="61"/>
      <c r="RNV36" s="1"/>
      <c r="RNW36" s="209"/>
      <c r="RNX36" s="1"/>
      <c r="RNY36" s="61"/>
      <c r="RNZ36" s="1"/>
      <c r="ROA36" s="209"/>
      <c r="ROB36" s="1"/>
      <c r="ROC36" s="61"/>
      <c r="ROD36" s="1"/>
      <c r="ROE36" s="209"/>
      <c r="ROF36" s="1"/>
      <c r="ROG36" s="61"/>
      <c r="ROH36" s="1"/>
      <c r="ROI36" s="209"/>
      <c r="ROJ36" s="1"/>
      <c r="ROK36" s="61"/>
      <c r="ROL36" s="1"/>
      <c r="ROM36" s="209"/>
      <c r="RON36" s="1"/>
      <c r="ROO36" s="61"/>
      <c r="ROP36" s="1"/>
      <c r="ROQ36" s="209"/>
      <c r="ROR36" s="1"/>
      <c r="ROS36" s="61"/>
      <c r="ROT36" s="1"/>
      <c r="ROU36" s="209"/>
      <c r="ROV36" s="1"/>
      <c r="ROW36" s="61"/>
      <c r="ROX36" s="1"/>
      <c r="ROY36" s="209"/>
      <c r="ROZ36" s="1"/>
      <c r="RPA36" s="61"/>
      <c r="RPB36" s="1"/>
      <c r="RPC36" s="209"/>
      <c r="RPD36" s="1"/>
      <c r="RPE36" s="61"/>
      <c r="RPF36" s="1"/>
      <c r="RPG36" s="209"/>
      <c r="RPH36" s="1"/>
      <c r="RPI36" s="61"/>
      <c r="RPJ36" s="1"/>
      <c r="RPK36" s="209"/>
      <c r="RPL36" s="1"/>
      <c r="RPM36" s="61"/>
      <c r="RPN36" s="1"/>
      <c r="RPO36" s="209"/>
      <c r="RPP36" s="1"/>
      <c r="RPQ36" s="61"/>
      <c r="RPR36" s="1"/>
      <c r="RPS36" s="209"/>
      <c r="RPT36" s="1"/>
      <c r="RPU36" s="61"/>
      <c r="RPV36" s="1"/>
      <c r="RPW36" s="209"/>
      <c r="RPX36" s="1"/>
      <c r="RPY36" s="61"/>
      <c r="RPZ36" s="1"/>
      <c r="RQA36" s="209"/>
      <c r="RQB36" s="1"/>
      <c r="RQC36" s="61"/>
      <c r="RQD36" s="1"/>
      <c r="RQE36" s="209"/>
      <c r="RQF36" s="1"/>
      <c r="RQG36" s="61"/>
      <c r="RQH36" s="1"/>
      <c r="RQI36" s="209"/>
      <c r="RQJ36" s="1"/>
      <c r="RQK36" s="61"/>
      <c r="RQL36" s="1"/>
      <c r="RQM36" s="209"/>
      <c r="RQN36" s="1"/>
      <c r="RQO36" s="61"/>
      <c r="RQP36" s="1"/>
      <c r="RQQ36" s="209"/>
      <c r="RQR36" s="1"/>
      <c r="RQS36" s="61"/>
      <c r="RQT36" s="1"/>
      <c r="RQU36" s="209"/>
      <c r="RQV36" s="1"/>
      <c r="RQW36" s="61"/>
      <c r="RQX36" s="1"/>
      <c r="RQY36" s="209"/>
      <c r="RQZ36" s="1"/>
      <c r="RRA36" s="61"/>
      <c r="RRB36" s="1"/>
      <c r="RRC36" s="209"/>
      <c r="RRD36" s="1"/>
      <c r="RRE36" s="61"/>
      <c r="RRF36" s="1"/>
      <c r="RRG36" s="209"/>
      <c r="RRH36" s="1"/>
      <c r="RRI36" s="61"/>
      <c r="RRJ36" s="1"/>
      <c r="RRK36" s="209"/>
      <c r="RRL36" s="1"/>
      <c r="RRM36" s="61"/>
      <c r="RRN36" s="1"/>
      <c r="RRO36" s="209"/>
      <c r="RRP36" s="1"/>
      <c r="RRQ36" s="61"/>
      <c r="RRR36" s="1"/>
      <c r="RRS36" s="209"/>
      <c r="RRT36" s="1"/>
      <c r="RRU36" s="61"/>
      <c r="RRV36" s="1"/>
      <c r="RRW36" s="209"/>
      <c r="RRX36" s="1"/>
      <c r="RRY36" s="61"/>
      <c r="RRZ36" s="1"/>
      <c r="RSA36" s="209"/>
      <c r="RSB36" s="1"/>
      <c r="RSC36" s="61"/>
      <c r="RSD36" s="1"/>
      <c r="RSE36" s="209"/>
      <c r="RSF36" s="1"/>
      <c r="RSG36" s="61"/>
      <c r="RSH36" s="1"/>
      <c r="RSI36" s="209"/>
      <c r="RSJ36" s="1"/>
      <c r="RSK36" s="61"/>
      <c r="RSL36" s="1"/>
      <c r="RSM36" s="209"/>
      <c r="RSN36" s="1"/>
      <c r="RSO36" s="61"/>
      <c r="RSP36" s="1"/>
      <c r="RSQ36" s="209"/>
      <c r="RSR36" s="1"/>
      <c r="RSS36" s="61"/>
      <c r="RST36" s="1"/>
      <c r="RSU36" s="209"/>
      <c r="RSV36" s="1"/>
      <c r="RSW36" s="61"/>
      <c r="RSX36" s="1"/>
      <c r="RSY36" s="209"/>
      <c r="RSZ36" s="1"/>
      <c r="RTA36" s="61"/>
      <c r="RTB36" s="1"/>
      <c r="RTC36" s="209"/>
      <c r="RTD36" s="1"/>
      <c r="RTE36" s="61"/>
      <c r="RTF36" s="1"/>
      <c r="RTG36" s="209"/>
      <c r="RTH36" s="1"/>
      <c r="RTI36" s="61"/>
      <c r="RTJ36" s="1"/>
      <c r="RTK36" s="209"/>
      <c r="RTL36" s="1"/>
      <c r="RTM36" s="61"/>
      <c r="RTN36" s="1"/>
      <c r="RTO36" s="209"/>
      <c r="RTP36" s="1"/>
      <c r="RTQ36" s="61"/>
      <c r="RTR36" s="1"/>
      <c r="RTS36" s="209"/>
      <c r="RTT36" s="1"/>
      <c r="RTU36" s="61"/>
      <c r="RTV36" s="1"/>
      <c r="RTW36" s="209"/>
      <c r="RTX36" s="1"/>
      <c r="RTY36" s="61"/>
      <c r="RTZ36" s="1"/>
      <c r="RUA36" s="209"/>
      <c r="RUB36" s="1"/>
      <c r="RUC36" s="61"/>
      <c r="RUD36" s="1"/>
      <c r="RUE36" s="209"/>
      <c r="RUF36" s="1"/>
      <c r="RUG36" s="61"/>
      <c r="RUH36" s="1"/>
      <c r="RUI36" s="209"/>
      <c r="RUJ36" s="1"/>
      <c r="RUK36" s="61"/>
      <c r="RUL36" s="1"/>
      <c r="RUM36" s="209"/>
      <c r="RUN36" s="1"/>
      <c r="RUO36" s="61"/>
      <c r="RUP36" s="1"/>
      <c r="RUQ36" s="209"/>
      <c r="RUR36" s="1"/>
      <c r="RUS36" s="61"/>
      <c r="RUT36" s="1"/>
      <c r="RUU36" s="209"/>
      <c r="RUV36" s="1"/>
      <c r="RUW36" s="61"/>
      <c r="RUX36" s="1"/>
      <c r="RUY36" s="209"/>
      <c r="RUZ36" s="1"/>
      <c r="RVA36" s="61"/>
      <c r="RVB36" s="1"/>
      <c r="RVC36" s="209"/>
      <c r="RVD36" s="1"/>
      <c r="RVE36" s="61"/>
      <c r="RVF36" s="1"/>
      <c r="RVG36" s="209"/>
      <c r="RVH36" s="1"/>
      <c r="RVI36" s="61"/>
      <c r="RVJ36" s="1"/>
      <c r="RVK36" s="209"/>
      <c r="RVL36" s="1"/>
      <c r="RVM36" s="61"/>
      <c r="RVN36" s="1"/>
      <c r="RVO36" s="209"/>
      <c r="RVP36" s="1"/>
      <c r="RVQ36" s="61"/>
      <c r="RVR36" s="1"/>
      <c r="RVS36" s="209"/>
      <c r="RVT36" s="1"/>
      <c r="RVU36" s="61"/>
      <c r="RVV36" s="1"/>
      <c r="RVW36" s="209"/>
      <c r="RVX36" s="1"/>
      <c r="RVY36" s="61"/>
      <c r="RVZ36" s="1"/>
      <c r="RWA36" s="209"/>
      <c r="RWB36" s="1"/>
      <c r="RWC36" s="61"/>
      <c r="RWD36" s="1"/>
      <c r="RWE36" s="209"/>
      <c r="RWF36" s="1"/>
      <c r="RWG36" s="61"/>
      <c r="RWH36" s="1"/>
      <c r="RWI36" s="209"/>
      <c r="RWJ36" s="1"/>
      <c r="RWK36" s="61"/>
      <c r="RWL36" s="1"/>
      <c r="RWM36" s="209"/>
      <c r="RWN36" s="1"/>
      <c r="RWO36" s="61"/>
      <c r="RWP36" s="1"/>
      <c r="RWQ36" s="209"/>
      <c r="RWR36" s="1"/>
      <c r="RWS36" s="61"/>
      <c r="RWT36" s="1"/>
      <c r="RWU36" s="209"/>
      <c r="RWV36" s="1"/>
      <c r="RWW36" s="61"/>
      <c r="RWX36" s="1"/>
      <c r="RWY36" s="209"/>
      <c r="RWZ36" s="1"/>
      <c r="RXA36" s="61"/>
      <c r="RXB36" s="1"/>
      <c r="RXC36" s="209"/>
      <c r="RXD36" s="1"/>
      <c r="RXE36" s="61"/>
      <c r="RXF36" s="1"/>
      <c r="RXG36" s="209"/>
      <c r="RXH36" s="1"/>
      <c r="RXI36" s="61"/>
      <c r="RXJ36" s="1"/>
      <c r="RXK36" s="209"/>
      <c r="RXL36" s="1"/>
      <c r="RXM36" s="61"/>
      <c r="RXN36" s="1"/>
      <c r="RXO36" s="209"/>
      <c r="RXP36" s="1"/>
      <c r="RXQ36" s="61"/>
      <c r="RXR36" s="1"/>
      <c r="RXS36" s="209"/>
      <c r="RXT36" s="1"/>
      <c r="RXU36" s="61"/>
      <c r="RXV36" s="1"/>
      <c r="RXW36" s="209"/>
      <c r="RXX36" s="1"/>
      <c r="RXY36" s="61"/>
      <c r="RXZ36" s="1"/>
      <c r="RYA36" s="209"/>
      <c r="RYB36" s="1"/>
      <c r="RYC36" s="61"/>
      <c r="RYD36" s="1"/>
      <c r="RYE36" s="209"/>
      <c r="RYF36" s="1"/>
      <c r="RYG36" s="61"/>
      <c r="RYH36" s="1"/>
      <c r="RYI36" s="209"/>
      <c r="RYJ36" s="1"/>
      <c r="RYK36" s="61"/>
      <c r="RYL36" s="1"/>
      <c r="RYM36" s="209"/>
      <c r="RYN36" s="1"/>
      <c r="RYO36" s="61"/>
      <c r="RYP36" s="1"/>
      <c r="RYQ36" s="209"/>
      <c r="RYR36" s="1"/>
      <c r="RYS36" s="61"/>
      <c r="RYT36" s="1"/>
      <c r="RYU36" s="209"/>
      <c r="RYV36" s="1"/>
      <c r="RYW36" s="61"/>
      <c r="RYX36" s="1"/>
      <c r="RYY36" s="209"/>
      <c r="RYZ36" s="1"/>
      <c r="RZA36" s="61"/>
      <c r="RZB36" s="1"/>
      <c r="RZC36" s="209"/>
      <c r="RZD36" s="1"/>
      <c r="RZE36" s="61"/>
      <c r="RZF36" s="1"/>
      <c r="RZG36" s="209"/>
      <c r="RZH36" s="1"/>
      <c r="RZI36" s="61"/>
      <c r="RZJ36" s="1"/>
      <c r="RZK36" s="209"/>
      <c r="RZL36" s="1"/>
      <c r="RZM36" s="61"/>
      <c r="RZN36" s="1"/>
      <c r="RZO36" s="209"/>
      <c r="RZP36" s="1"/>
      <c r="RZQ36" s="61"/>
      <c r="RZR36" s="1"/>
      <c r="RZS36" s="209"/>
      <c r="RZT36" s="1"/>
      <c r="RZU36" s="61"/>
      <c r="RZV36" s="1"/>
      <c r="RZW36" s="209"/>
      <c r="RZX36" s="1"/>
      <c r="RZY36" s="61"/>
      <c r="RZZ36" s="1"/>
      <c r="SAA36" s="209"/>
      <c r="SAB36" s="1"/>
      <c r="SAC36" s="61"/>
      <c r="SAD36" s="1"/>
      <c r="SAE36" s="209"/>
      <c r="SAF36" s="1"/>
      <c r="SAG36" s="61"/>
      <c r="SAH36" s="1"/>
      <c r="SAI36" s="209"/>
      <c r="SAJ36" s="1"/>
      <c r="SAK36" s="61"/>
      <c r="SAL36" s="1"/>
      <c r="SAM36" s="209"/>
      <c r="SAN36" s="1"/>
      <c r="SAO36" s="61"/>
      <c r="SAP36" s="1"/>
      <c r="SAQ36" s="209"/>
      <c r="SAR36" s="1"/>
      <c r="SAS36" s="61"/>
      <c r="SAT36" s="1"/>
      <c r="SAU36" s="209"/>
      <c r="SAV36" s="1"/>
      <c r="SAW36" s="61"/>
      <c r="SAX36" s="1"/>
      <c r="SAY36" s="209"/>
      <c r="SAZ36" s="1"/>
      <c r="SBA36" s="61"/>
      <c r="SBB36" s="1"/>
      <c r="SBC36" s="209"/>
      <c r="SBD36" s="1"/>
      <c r="SBE36" s="61"/>
      <c r="SBF36" s="1"/>
      <c r="SBG36" s="209"/>
      <c r="SBH36" s="1"/>
      <c r="SBI36" s="61"/>
      <c r="SBJ36" s="1"/>
      <c r="SBK36" s="209"/>
      <c r="SBL36" s="1"/>
      <c r="SBM36" s="61"/>
      <c r="SBN36" s="1"/>
      <c r="SBO36" s="209"/>
      <c r="SBP36" s="1"/>
      <c r="SBQ36" s="61"/>
      <c r="SBR36" s="1"/>
      <c r="SBS36" s="209"/>
      <c r="SBT36" s="1"/>
      <c r="SBU36" s="61"/>
      <c r="SBV36" s="1"/>
      <c r="SBW36" s="209"/>
      <c r="SBX36" s="1"/>
      <c r="SBY36" s="61"/>
      <c r="SBZ36" s="1"/>
      <c r="SCA36" s="209"/>
      <c r="SCB36" s="1"/>
      <c r="SCC36" s="61"/>
      <c r="SCD36" s="1"/>
      <c r="SCE36" s="209"/>
      <c r="SCF36" s="1"/>
      <c r="SCG36" s="61"/>
      <c r="SCH36" s="1"/>
      <c r="SCI36" s="209"/>
      <c r="SCJ36" s="1"/>
      <c r="SCK36" s="61"/>
      <c r="SCL36" s="1"/>
      <c r="SCM36" s="209"/>
      <c r="SCN36" s="1"/>
      <c r="SCO36" s="61"/>
      <c r="SCP36" s="1"/>
      <c r="SCQ36" s="209"/>
      <c r="SCR36" s="1"/>
      <c r="SCS36" s="61"/>
      <c r="SCT36" s="1"/>
      <c r="SCU36" s="209"/>
      <c r="SCV36" s="1"/>
      <c r="SCW36" s="61"/>
      <c r="SCX36" s="1"/>
      <c r="SCY36" s="209"/>
      <c r="SCZ36" s="1"/>
      <c r="SDA36" s="61"/>
      <c r="SDB36" s="1"/>
      <c r="SDC36" s="209"/>
      <c r="SDD36" s="1"/>
      <c r="SDE36" s="61"/>
      <c r="SDF36" s="1"/>
      <c r="SDG36" s="209"/>
      <c r="SDH36" s="1"/>
      <c r="SDI36" s="61"/>
      <c r="SDJ36" s="1"/>
      <c r="SDK36" s="209"/>
      <c r="SDL36" s="1"/>
      <c r="SDM36" s="61"/>
      <c r="SDN36" s="1"/>
      <c r="SDO36" s="209"/>
      <c r="SDP36" s="1"/>
      <c r="SDQ36" s="61"/>
      <c r="SDR36" s="1"/>
      <c r="SDS36" s="209"/>
      <c r="SDT36" s="1"/>
      <c r="SDU36" s="61"/>
      <c r="SDV36" s="1"/>
      <c r="SDW36" s="209"/>
      <c r="SDX36" s="1"/>
      <c r="SDY36" s="61"/>
      <c r="SDZ36" s="1"/>
      <c r="SEA36" s="209"/>
      <c r="SEB36" s="1"/>
      <c r="SEC36" s="61"/>
      <c r="SED36" s="1"/>
      <c r="SEE36" s="209"/>
      <c r="SEF36" s="1"/>
      <c r="SEG36" s="61"/>
      <c r="SEH36" s="1"/>
      <c r="SEI36" s="209"/>
      <c r="SEJ36" s="1"/>
      <c r="SEK36" s="61"/>
      <c r="SEL36" s="1"/>
      <c r="SEM36" s="209"/>
      <c r="SEN36" s="1"/>
      <c r="SEO36" s="61"/>
      <c r="SEP36" s="1"/>
      <c r="SEQ36" s="209"/>
      <c r="SER36" s="1"/>
      <c r="SES36" s="61"/>
      <c r="SET36" s="1"/>
      <c r="SEU36" s="209"/>
      <c r="SEV36" s="1"/>
      <c r="SEW36" s="61"/>
      <c r="SEX36" s="1"/>
      <c r="SEY36" s="209"/>
      <c r="SEZ36" s="1"/>
      <c r="SFA36" s="61"/>
      <c r="SFB36" s="1"/>
      <c r="SFC36" s="209"/>
      <c r="SFD36" s="1"/>
      <c r="SFE36" s="61"/>
      <c r="SFF36" s="1"/>
      <c r="SFG36" s="209"/>
      <c r="SFH36" s="1"/>
      <c r="SFI36" s="61"/>
      <c r="SFJ36" s="1"/>
      <c r="SFK36" s="209"/>
      <c r="SFL36" s="1"/>
      <c r="SFM36" s="61"/>
      <c r="SFN36" s="1"/>
      <c r="SFO36" s="209"/>
      <c r="SFP36" s="1"/>
      <c r="SFQ36" s="61"/>
      <c r="SFR36" s="1"/>
      <c r="SFS36" s="209"/>
      <c r="SFT36" s="1"/>
      <c r="SFU36" s="61"/>
      <c r="SFV36" s="1"/>
      <c r="SFW36" s="209"/>
      <c r="SFX36" s="1"/>
      <c r="SFY36" s="61"/>
      <c r="SFZ36" s="1"/>
      <c r="SGA36" s="209"/>
      <c r="SGB36" s="1"/>
      <c r="SGC36" s="61"/>
      <c r="SGD36" s="1"/>
      <c r="SGE36" s="209"/>
      <c r="SGF36" s="1"/>
      <c r="SGG36" s="61"/>
      <c r="SGH36" s="1"/>
      <c r="SGI36" s="209"/>
      <c r="SGJ36" s="1"/>
      <c r="SGK36" s="61"/>
      <c r="SGL36" s="1"/>
      <c r="SGM36" s="209"/>
      <c r="SGN36" s="1"/>
      <c r="SGO36" s="61"/>
      <c r="SGP36" s="1"/>
      <c r="SGQ36" s="209"/>
      <c r="SGR36" s="1"/>
      <c r="SGS36" s="61"/>
      <c r="SGT36" s="1"/>
      <c r="SGU36" s="209"/>
      <c r="SGV36" s="1"/>
      <c r="SGW36" s="61"/>
      <c r="SGX36" s="1"/>
      <c r="SGY36" s="209"/>
      <c r="SGZ36" s="1"/>
      <c r="SHA36" s="61"/>
      <c r="SHB36" s="1"/>
      <c r="SHC36" s="209"/>
      <c r="SHD36" s="1"/>
      <c r="SHE36" s="61"/>
      <c r="SHF36" s="1"/>
      <c r="SHG36" s="209"/>
      <c r="SHH36" s="1"/>
      <c r="SHI36" s="61"/>
      <c r="SHJ36" s="1"/>
      <c r="SHK36" s="209"/>
      <c r="SHL36" s="1"/>
      <c r="SHM36" s="61"/>
      <c r="SHN36" s="1"/>
      <c r="SHO36" s="209"/>
      <c r="SHP36" s="1"/>
      <c r="SHQ36" s="61"/>
      <c r="SHR36" s="1"/>
      <c r="SHS36" s="209"/>
      <c r="SHT36" s="1"/>
      <c r="SHU36" s="61"/>
      <c r="SHV36" s="1"/>
      <c r="SHW36" s="209"/>
      <c r="SHX36" s="1"/>
      <c r="SHY36" s="61"/>
      <c r="SHZ36" s="1"/>
      <c r="SIA36" s="209"/>
      <c r="SIB36" s="1"/>
      <c r="SIC36" s="61"/>
      <c r="SID36" s="1"/>
      <c r="SIE36" s="209"/>
      <c r="SIF36" s="1"/>
      <c r="SIG36" s="61"/>
      <c r="SIH36" s="1"/>
      <c r="SII36" s="209"/>
      <c r="SIJ36" s="1"/>
      <c r="SIK36" s="61"/>
      <c r="SIL36" s="1"/>
      <c r="SIM36" s="209"/>
      <c r="SIN36" s="1"/>
      <c r="SIO36" s="61"/>
      <c r="SIP36" s="1"/>
      <c r="SIQ36" s="209"/>
      <c r="SIR36" s="1"/>
      <c r="SIS36" s="61"/>
      <c r="SIT36" s="1"/>
      <c r="SIU36" s="209"/>
      <c r="SIV36" s="1"/>
      <c r="SIW36" s="61"/>
      <c r="SIX36" s="1"/>
      <c r="SIY36" s="209"/>
      <c r="SIZ36" s="1"/>
      <c r="SJA36" s="61"/>
      <c r="SJB36" s="1"/>
      <c r="SJC36" s="209"/>
      <c r="SJD36" s="1"/>
      <c r="SJE36" s="61"/>
      <c r="SJF36" s="1"/>
      <c r="SJG36" s="209"/>
      <c r="SJH36" s="1"/>
      <c r="SJI36" s="61"/>
      <c r="SJJ36" s="1"/>
      <c r="SJK36" s="209"/>
      <c r="SJL36" s="1"/>
      <c r="SJM36" s="61"/>
      <c r="SJN36" s="1"/>
      <c r="SJO36" s="209"/>
      <c r="SJP36" s="1"/>
      <c r="SJQ36" s="61"/>
      <c r="SJR36" s="1"/>
      <c r="SJS36" s="209"/>
      <c r="SJT36" s="1"/>
      <c r="SJU36" s="61"/>
      <c r="SJV36" s="1"/>
      <c r="SJW36" s="209"/>
      <c r="SJX36" s="1"/>
      <c r="SJY36" s="61"/>
      <c r="SJZ36" s="1"/>
      <c r="SKA36" s="209"/>
      <c r="SKB36" s="1"/>
      <c r="SKC36" s="61"/>
      <c r="SKD36" s="1"/>
      <c r="SKE36" s="209"/>
      <c r="SKF36" s="1"/>
      <c r="SKG36" s="61"/>
      <c r="SKH36" s="1"/>
      <c r="SKI36" s="209"/>
      <c r="SKJ36" s="1"/>
      <c r="SKK36" s="61"/>
      <c r="SKL36" s="1"/>
      <c r="SKM36" s="209"/>
      <c r="SKN36" s="1"/>
      <c r="SKO36" s="61"/>
      <c r="SKP36" s="1"/>
      <c r="SKQ36" s="209"/>
      <c r="SKR36" s="1"/>
      <c r="SKS36" s="61"/>
      <c r="SKT36" s="1"/>
      <c r="SKU36" s="209"/>
      <c r="SKV36" s="1"/>
      <c r="SKW36" s="61"/>
      <c r="SKX36" s="1"/>
      <c r="SKY36" s="209"/>
      <c r="SKZ36" s="1"/>
      <c r="SLA36" s="61"/>
      <c r="SLB36" s="1"/>
      <c r="SLC36" s="209"/>
      <c r="SLD36" s="1"/>
      <c r="SLE36" s="61"/>
      <c r="SLF36" s="1"/>
      <c r="SLG36" s="209"/>
      <c r="SLH36" s="1"/>
      <c r="SLI36" s="61"/>
      <c r="SLJ36" s="1"/>
      <c r="SLK36" s="209"/>
      <c r="SLL36" s="1"/>
      <c r="SLM36" s="61"/>
      <c r="SLN36" s="1"/>
      <c r="SLO36" s="209"/>
      <c r="SLP36" s="1"/>
      <c r="SLQ36" s="61"/>
      <c r="SLR36" s="1"/>
      <c r="SLS36" s="209"/>
      <c r="SLT36" s="1"/>
      <c r="SLU36" s="61"/>
      <c r="SLV36" s="1"/>
      <c r="SLW36" s="209"/>
      <c r="SLX36" s="1"/>
      <c r="SLY36" s="61"/>
      <c r="SLZ36" s="1"/>
      <c r="SMA36" s="209"/>
      <c r="SMB36" s="1"/>
      <c r="SMC36" s="61"/>
      <c r="SMD36" s="1"/>
      <c r="SME36" s="209"/>
      <c r="SMF36" s="1"/>
      <c r="SMG36" s="61"/>
      <c r="SMH36" s="1"/>
      <c r="SMI36" s="209"/>
      <c r="SMJ36" s="1"/>
      <c r="SMK36" s="61"/>
      <c r="SML36" s="1"/>
      <c r="SMM36" s="209"/>
      <c r="SMN36" s="1"/>
      <c r="SMO36" s="61"/>
      <c r="SMP36" s="1"/>
      <c r="SMQ36" s="209"/>
      <c r="SMR36" s="1"/>
      <c r="SMS36" s="61"/>
      <c r="SMT36" s="1"/>
      <c r="SMU36" s="209"/>
      <c r="SMV36" s="1"/>
      <c r="SMW36" s="61"/>
      <c r="SMX36" s="1"/>
      <c r="SMY36" s="209"/>
      <c r="SMZ36" s="1"/>
      <c r="SNA36" s="61"/>
      <c r="SNB36" s="1"/>
      <c r="SNC36" s="209"/>
      <c r="SND36" s="1"/>
      <c r="SNE36" s="61"/>
      <c r="SNF36" s="1"/>
      <c r="SNG36" s="209"/>
      <c r="SNH36" s="1"/>
      <c r="SNI36" s="61"/>
      <c r="SNJ36" s="1"/>
      <c r="SNK36" s="209"/>
      <c r="SNL36" s="1"/>
      <c r="SNM36" s="61"/>
      <c r="SNN36" s="1"/>
      <c r="SNO36" s="209"/>
      <c r="SNP36" s="1"/>
      <c r="SNQ36" s="61"/>
      <c r="SNR36" s="1"/>
      <c r="SNS36" s="209"/>
      <c r="SNT36" s="1"/>
      <c r="SNU36" s="61"/>
      <c r="SNV36" s="1"/>
      <c r="SNW36" s="209"/>
      <c r="SNX36" s="1"/>
      <c r="SNY36" s="61"/>
      <c r="SNZ36" s="1"/>
      <c r="SOA36" s="209"/>
      <c r="SOB36" s="1"/>
      <c r="SOC36" s="61"/>
      <c r="SOD36" s="1"/>
      <c r="SOE36" s="209"/>
      <c r="SOF36" s="1"/>
      <c r="SOG36" s="61"/>
      <c r="SOH36" s="1"/>
      <c r="SOI36" s="209"/>
      <c r="SOJ36" s="1"/>
      <c r="SOK36" s="61"/>
      <c r="SOL36" s="1"/>
      <c r="SOM36" s="209"/>
      <c r="SON36" s="1"/>
      <c r="SOO36" s="61"/>
      <c r="SOP36" s="1"/>
      <c r="SOQ36" s="209"/>
      <c r="SOR36" s="1"/>
      <c r="SOS36" s="61"/>
      <c r="SOT36" s="1"/>
      <c r="SOU36" s="209"/>
      <c r="SOV36" s="1"/>
      <c r="SOW36" s="61"/>
      <c r="SOX36" s="1"/>
      <c r="SOY36" s="209"/>
      <c r="SOZ36" s="1"/>
      <c r="SPA36" s="61"/>
      <c r="SPB36" s="1"/>
      <c r="SPC36" s="209"/>
      <c r="SPD36" s="1"/>
      <c r="SPE36" s="61"/>
      <c r="SPF36" s="1"/>
      <c r="SPG36" s="209"/>
      <c r="SPH36" s="1"/>
      <c r="SPI36" s="61"/>
      <c r="SPJ36" s="1"/>
      <c r="SPK36" s="209"/>
      <c r="SPL36" s="1"/>
      <c r="SPM36" s="61"/>
      <c r="SPN36" s="1"/>
      <c r="SPO36" s="209"/>
      <c r="SPP36" s="1"/>
      <c r="SPQ36" s="61"/>
      <c r="SPR36" s="1"/>
      <c r="SPS36" s="209"/>
      <c r="SPT36" s="1"/>
      <c r="SPU36" s="61"/>
      <c r="SPV36" s="1"/>
      <c r="SPW36" s="209"/>
      <c r="SPX36" s="1"/>
      <c r="SPY36" s="61"/>
      <c r="SPZ36" s="1"/>
      <c r="SQA36" s="209"/>
      <c r="SQB36" s="1"/>
      <c r="SQC36" s="61"/>
      <c r="SQD36" s="1"/>
      <c r="SQE36" s="209"/>
      <c r="SQF36" s="1"/>
      <c r="SQG36" s="61"/>
      <c r="SQH36" s="1"/>
      <c r="SQI36" s="209"/>
      <c r="SQJ36" s="1"/>
      <c r="SQK36" s="61"/>
      <c r="SQL36" s="1"/>
      <c r="SQM36" s="209"/>
      <c r="SQN36" s="1"/>
      <c r="SQO36" s="61"/>
      <c r="SQP36" s="1"/>
      <c r="SQQ36" s="209"/>
      <c r="SQR36" s="1"/>
      <c r="SQS36" s="61"/>
      <c r="SQT36" s="1"/>
      <c r="SQU36" s="209"/>
      <c r="SQV36" s="1"/>
      <c r="SQW36" s="61"/>
      <c r="SQX36" s="1"/>
      <c r="SQY36" s="209"/>
      <c r="SQZ36" s="1"/>
      <c r="SRA36" s="61"/>
      <c r="SRB36" s="1"/>
      <c r="SRC36" s="209"/>
      <c r="SRD36" s="1"/>
      <c r="SRE36" s="61"/>
      <c r="SRF36" s="1"/>
      <c r="SRG36" s="209"/>
      <c r="SRH36" s="1"/>
      <c r="SRI36" s="61"/>
      <c r="SRJ36" s="1"/>
      <c r="SRK36" s="209"/>
      <c r="SRL36" s="1"/>
      <c r="SRM36" s="61"/>
      <c r="SRN36" s="1"/>
      <c r="SRO36" s="209"/>
      <c r="SRP36" s="1"/>
      <c r="SRQ36" s="61"/>
      <c r="SRR36" s="1"/>
      <c r="SRS36" s="209"/>
      <c r="SRT36" s="1"/>
      <c r="SRU36" s="61"/>
      <c r="SRV36" s="1"/>
      <c r="SRW36" s="209"/>
      <c r="SRX36" s="1"/>
      <c r="SRY36" s="61"/>
      <c r="SRZ36" s="1"/>
      <c r="SSA36" s="209"/>
      <c r="SSB36" s="1"/>
      <c r="SSC36" s="61"/>
      <c r="SSD36" s="1"/>
      <c r="SSE36" s="209"/>
      <c r="SSF36" s="1"/>
      <c r="SSG36" s="61"/>
      <c r="SSH36" s="1"/>
      <c r="SSI36" s="209"/>
      <c r="SSJ36" s="1"/>
      <c r="SSK36" s="61"/>
      <c r="SSL36" s="1"/>
      <c r="SSM36" s="209"/>
      <c r="SSN36" s="1"/>
      <c r="SSO36" s="61"/>
      <c r="SSP36" s="1"/>
      <c r="SSQ36" s="209"/>
      <c r="SSR36" s="1"/>
      <c r="SSS36" s="61"/>
      <c r="SST36" s="1"/>
      <c r="SSU36" s="209"/>
      <c r="SSV36" s="1"/>
      <c r="SSW36" s="61"/>
      <c r="SSX36" s="1"/>
      <c r="SSY36" s="209"/>
      <c r="SSZ36" s="1"/>
      <c r="STA36" s="61"/>
      <c r="STB36" s="1"/>
      <c r="STC36" s="209"/>
      <c r="STD36" s="1"/>
      <c r="STE36" s="61"/>
      <c r="STF36" s="1"/>
      <c r="STG36" s="209"/>
      <c r="STH36" s="1"/>
      <c r="STI36" s="61"/>
      <c r="STJ36" s="1"/>
      <c r="STK36" s="209"/>
      <c r="STL36" s="1"/>
      <c r="STM36" s="61"/>
      <c r="STN36" s="1"/>
      <c r="STO36" s="209"/>
      <c r="STP36" s="1"/>
      <c r="STQ36" s="61"/>
      <c r="STR36" s="1"/>
      <c r="STS36" s="209"/>
      <c r="STT36" s="1"/>
      <c r="STU36" s="61"/>
      <c r="STV36" s="1"/>
      <c r="STW36" s="209"/>
      <c r="STX36" s="1"/>
      <c r="STY36" s="61"/>
      <c r="STZ36" s="1"/>
      <c r="SUA36" s="209"/>
      <c r="SUB36" s="1"/>
      <c r="SUC36" s="61"/>
      <c r="SUD36" s="1"/>
      <c r="SUE36" s="209"/>
      <c r="SUF36" s="1"/>
      <c r="SUG36" s="61"/>
      <c r="SUH36" s="1"/>
      <c r="SUI36" s="209"/>
      <c r="SUJ36" s="1"/>
      <c r="SUK36" s="61"/>
      <c r="SUL36" s="1"/>
      <c r="SUM36" s="209"/>
      <c r="SUN36" s="1"/>
      <c r="SUO36" s="61"/>
      <c r="SUP36" s="1"/>
      <c r="SUQ36" s="209"/>
      <c r="SUR36" s="1"/>
      <c r="SUS36" s="61"/>
      <c r="SUT36" s="1"/>
      <c r="SUU36" s="209"/>
      <c r="SUV36" s="1"/>
      <c r="SUW36" s="61"/>
      <c r="SUX36" s="1"/>
      <c r="SUY36" s="209"/>
      <c r="SUZ36" s="1"/>
      <c r="SVA36" s="61"/>
      <c r="SVB36" s="1"/>
      <c r="SVC36" s="209"/>
      <c r="SVD36" s="1"/>
      <c r="SVE36" s="61"/>
      <c r="SVF36" s="1"/>
      <c r="SVG36" s="209"/>
      <c r="SVH36" s="1"/>
      <c r="SVI36" s="61"/>
      <c r="SVJ36" s="1"/>
      <c r="SVK36" s="209"/>
      <c r="SVL36" s="1"/>
      <c r="SVM36" s="61"/>
      <c r="SVN36" s="1"/>
      <c r="SVO36" s="209"/>
      <c r="SVP36" s="1"/>
      <c r="SVQ36" s="61"/>
      <c r="SVR36" s="1"/>
      <c r="SVS36" s="209"/>
      <c r="SVT36" s="1"/>
      <c r="SVU36" s="61"/>
      <c r="SVV36" s="1"/>
      <c r="SVW36" s="209"/>
      <c r="SVX36" s="1"/>
      <c r="SVY36" s="61"/>
      <c r="SVZ36" s="1"/>
      <c r="SWA36" s="209"/>
      <c r="SWB36" s="1"/>
      <c r="SWC36" s="61"/>
      <c r="SWD36" s="1"/>
      <c r="SWE36" s="209"/>
      <c r="SWF36" s="1"/>
      <c r="SWG36" s="61"/>
      <c r="SWH36" s="1"/>
      <c r="SWI36" s="209"/>
      <c r="SWJ36" s="1"/>
      <c r="SWK36" s="61"/>
      <c r="SWL36" s="1"/>
      <c r="SWM36" s="209"/>
      <c r="SWN36" s="1"/>
      <c r="SWO36" s="61"/>
      <c r="SWP36" s="1"/>
      <c r="SWQ36" s="209"/>
      <c r="SWR36" s="1"/>
      <c r="SWS36" s="61"/>
      <c r="SWT36" s="1"/>
      <c r="SWU36" s="209"/>
      <c r="SWV36" s="1"/>
      <c r="SWW36" s="61"/>
      <c r="SWX36" s="1"/>
      <c r="SWY36" s="209"/>
      <c r="SWZ36" s="1"/>
      <c r="SXA36" s="61"/>
      <c r="SXB36" s="1"/>
      <c r="SXC36" s="209"/>
      <c r="SXD36" s="1"/>
      <c r="SXE36" s="61"/>
      <c r="SXF36" s="1"/>
      <c r="SXG36" s="209"/>
      <c r="SXH36" s="1"/>
      <c r="SXI36" s="61"/>
      <c r="SXJ36" s="1"/>
      <c r="SXK36" s="209"/>
      <c r="SXL36" s="1"/>
      <c r="SXM36" s="61"/>
      <c r="SXN36" s="1"/>
      <c r="SXO36" s="209"/>
      <c r="SXP36" s="1"/>
      <c r="SXQ36" s="61"/>
      <c r="SXR36" s="1"/>
      <c r="SXS36" s="209"/>
      <c r="SXT36" s="1"/>
      <c r="SXU36" s="61"/>
      <c r="SXV36" s="1"/>
      <c r="SXW36" s="209"/>
      <c r="SXX36" s="1"/>
      <c r="SXY36" s="61"/>
      <c r="SXZ36" s="1"/>
      <c r="SYA36" s="209"/>
      <c r="SYB36" s="1"/>
      <c r="SYC36" s="61"/>
      <c r="SYD36" s="1"/>
      <c r="SYE36" s="209"/>
      <c r="SYF36" s="1"/>
      <c r="SYG36" s="61"/>
      <c r="SYH36" s="1"/>
      <c r="SYI36" s="209"/>
      <c r="SYJ36" s="1"/>
      <c r="SYK36" s="61"/>
      <c r="SYL36" s="1"/>
      <c r="SYM36" s="209"/>
      <c r="SYN36" s="1"/>
      <c r="SYO36" s="61"/>
      <c r="SYP36" s="1"/>
      <c r="SYQ36" s="209"/>
      <c r="SYR36" s="1"/>
      <c r="SYS36" s="61"/>
      <c r="SYT36" s="1"/>
      <c r="SYU36" s="209"/>
      <c r="SYV36" s="1"/>
      <c r="SYW36" s="61"/>
      <c r="SYX36" s="1"/>
      <c r="SYY36" s="209"/>
      <c r="SYZ36" s="1"/>
      <c r="SZA36" s="61"/>
      <c r="SZB36" s="1"/>
      <c r="SZC36" s="209"/>
      <c r="SZD36" s="1"/>
      <c r="SZE36" s="61"/>
      <c r="SZF36" s="1"/>
      <c r="SZG36" s="209"/>
      <c r="SZH36" s="1"/>
      <c r="SZI36" s="61"/>
      <c r="SZJ36" s="1"/>
      <c r="SZK36" s="209"/>
      <c r="SZL36" s="1"/>
      <c r="SZM36" s="61"/>
      <c r="SZN36" s="1"/>
      <c r="SZO36" s="209"/>
      <c r="SZP36" s="1"/>
      <c r="SZQ36" s="61"/>
      <c r="SZR36" s="1"/>
      <c r="SZS36" s="209"/>
      <c r="SZT36" s="1"/>
      <c r="SZU36" s="61"/>
      <c r="SZV36" s="1"/>
      <c r="SZW36" s="209"/>
      <c r="SZX36" s="1"/>
      <c r="SZY36" s="61"/>
      <c r="SZZ36" s="1"/>
      <c r="TAA36" s="209"/>
      <c r="TAB36" s="1"/>
      <c r="TAC36" s="61"/>
      <c r="TAD36" s="1"/>
      <c r="TAE36" s="209"/>
      <c r="TAF36" s="1"/>
      <c r="TAG36" s="61"/>
      <c r="TAH36" s="1"/>
      <c r="TAI36" s="209"/>
      <c r="TAJ36" s="1"/>
      <c r="TAK36" s="61"/>
      <c r="TAL36" s="1"/>
      <c r="TAM36" s="209"/>
      <c r="TAN36" s="1"/>
      <c r="TAO36" s="61"/>
      <c r="TAP36" s="1"/>
      <c r="TAQ36" s="209"/>
      <c r="TAR36" s="1"/>
      <c r="TAS36" s="61"/>
      <c r="TAT36" s="1"/>
      <c r="TAU36" s="209"/>
      <c r="TAV36" s="1"/>
      <c r="TAW36" s="61"/>
      <c r="TAX36" s="1"/>
      <c r="TAY36" s="209"/>
      <c r="TAZ36" s="1"/>
      <c r="TBA36" s="61"/>
      <c r="TBB36" s="1"/>
      <c r="TBC36" s="209"/>
      <c r="TBD36" s="1"/>
      <c r="TBE36" s="61"/>
      <c r="TBF36" s="1"/>
      <c r="TBG36" s="209"/>
      <c r="TBH36" s="1"/>
      <c r="TBI36" s="61"/>
      <c r="TBJ36" s="1"/>
      <c r="TBK36" s="209"/>
      <c r="TBL36" s="1"/>
      <c r="TBM36" s="61"/>
      <c r="TBN36" s="1"/>
      <c r="TBO36" s="209"/>
      <c r="TBP36" s="1"/>
      <c r="TBQ36" s="61"/>
      <c r="TBR36" s="1"/>
      <c r="TBS36" s="209"/>
      <c r="TBT36" s="1"/>
      <c r="TBU36" s="61"/>
      <c r="TBV36" s="1"/>
      <c r="TBW36" s="209"/>
      <c r="TBX36" s="1"/>
      <c r="TBY36" s="61"/>
      <c r="TBZ36" s="1"/>
      <c r="TCA36" s="209"/>
      <c r="TCB36" s="1"/>
      <c r="TCC36" s="61"/>
      <c r="TCD36" s="1"/>
      <c r="TCE36" s="209"/>
      <c r="TCF36" s="1"/>
      <c r="TCG36" s="61"/>
      <c r="TCH36" s="1"/>
      <c r="TCI36" s="209"/>
      <c r="TCJ36" s="1"/>
      <c r="TCK36" s="61"/>
      <c r="TCL36" s="1"/>
      <c r="TCM36" s="209"/>
      <c r="TCN36" s="1"/>
      <c r="TCO36" s="61"/>
      <c r="TCP36" s="1"/>
      <c r="TCQ36" s="209"/>
      <c r="TCR36" s="1"/>
      <c r="TCS36" s="61"/>
      <c r="TCT36" s="1"/>
      <c r="TCU36" s="209"/>
      <c r="TCV36" s="1"/>
      <c r="TCW36" s="61"/>
      <c r="TCX36" s="1"/>
      <c r="TCY36" s="209"/>
      <c r="TCZ36" s="1"/>
      <c r="TDA36" s="61"/>
      <c r="TDB36" s="1"/>
      <c r="TDC36" s="209"/>
      <c r="TDD36" s="1"/>
      <c r="TDE36" s="61"/>
      <c r="TDF36" s="1"/>
      <c r="TDG36" s="209"/>
      <c r="TDH36" s="1"/>
      <c r="TDI36" s="61"/>
      <c r="TDJ36" s="1"/>
      <c r="TDK36" s="209"/>
      <c r="TDL36" s="1"/>
      <c r="TDM36" s="61"/>
      <c r="TDN36" s="1"/>
      <c r="TDO36" s="209"/>
      <c r="TDP36" s="1"/>
      <c r="TDQ36" s="61"/>
      <c r="TDR36" s="1"/>
      <c r="TDS36" s="209"/>
      <c r="TDT36" s="1"/>
      <c r="TDU36" s="61"/>
      <c r="TDV36" s="1"/>
      <c r="TDW36" s="209"/>
      <c r="TDX36" s="1"/>
      <c r="TDY36" s="61"/>
      <c r="TDZ36" s="1"/>
      <c r="TEA36" s="209"/>
      <c r="TEB36" s="1"/>
      <c r="TEC36" s="61"/>
      <c r="TED36" s="1"/>
      <c r="TEE36" s="209"/>
      <c r="TEF36" s="1"/>
      <c r="TEG36" s="61"/>
      <c r="TEH36" s="1"/>
      <c r="TEI36" s="209"/>
      <c r="TEJ36" s="1"/>
      <c r="TEK36" s="61"/>
      <c r="TEL36" s="1"/>
      <c r="TEM36" s="209"/>
      <c r="TEN36" s="1"/>
      <c r="TEO36" s="61"/>
      <c r="TEP36" s="1"/>
      <c r="TEQ36" s="209"/>
      <c r="TER36" s="1"/>
      <c r="TES36" s="61"/>
      <c r="TET36" s="1"/>
      <c r="TEU36" s="209"/>
      <c r="TEV36" s="1"/>
      <c r="TEW36" s="61"/>
      <c r="TEX36" s="1"/>
      <c r="TEY36" s="209"/>
      <c r="TEZ36" s="1"/>
      <c r="TFA36" s="61"/>
      <c r="TFB36" s="1"/>
      <c r="TFC36" s="209"/>
      <c r="TFD36" s="1"/>
      <c r="TFE36" s="61"/>
      <c r="TFF36" s="1"/>
      <c r="TFG36" s="209"/>
      <c r="TFH36" s="1"/>
      <c r="TFI36" s="61"/>
      <c r="TFJ36" s="1"/>
      <c r="TFK36" s="209"/>
      <c r="TFL36" s="1"/>
      <c r="TFM36" s="61"/>
      <c r="TFN36" s="1"/>
      <c r="TFO36" s="209"/>
      <c r="TFP36" s="1"/>
      <c r="TFQ36" s="61"/>
      <c r="TFR36" s="1"/>
      <c r="TFS36" s="209"/>
      <c r="TFT36" s="1"/>
      <c r="TFU36" s="61"/>
      <c r="TFV36" s="1"/>
      <c r="TFW36" s="209"/>
      <c r="TFX36" s="1"/>
      <c r="TFY36" s="61"/>
      <c r="TFZ36" s="1"/>
      <c r="TGA36" s="209"/>
      <c r="TGB36" s="1"/>
      <c r="TGC36" s="61"/>
      <c r="TGD36" s="1"/>
      <c r="TGE36" s="209"/>
      <c r="TGF36" s="1"/>
      <c r="TGG36" s="61"/>
      <c r="TGH36" s="1"/>
      <c r="TGI36" s="209"/>
      <c r="TGJ36" s="1"/>
      <c r="TGK36" s="61"/>
      <c r="TGL36" s="1"/>
      <c r="TGM36" s="209"/>
      <c r="TGN36" s="1"/>
      <c r="TGO36" s="61"/>
      <c r="TGP36" s="1"/>
      <c r="TGQ36" s="209"/>
      <c r="TGR36" s="1"/>
      <c r="TGS36" s="61"/>
      <c r="TGT36" s="1"/>
      <c r="TGU36" s="209"/>
      <c r="TGV36" s="1"/>
      <c r="TGW36" s="61"/>
      <c r="TGX36" s="1"/>
      <c r="TGY36" s="209"/>
      <c r="TGZ36" s="1"/>
      <c r="THA36" s="61"/>
      <c r="THB36" s="1"/>
      <c r="THC36" s="209"/>
      <c r="THD36" s="1"/>
      <c r="THE36" s="61"/>
      <c r="THF36" s="1"/>
      <c r="THG36" s="209"/>
      <c r="THH36" s="1"/>
      <c r="THI36" s="61"/>
      <c r="THJ36" s="1"/>
      <c r="THK36" s="209"/>
      <c r="THL36" s="1"/>
      <c r="THM36" s="61"/>
      <c r="THN36" s="1"/>
      <c r="THO36" s="209"/>
      <c r="THP36" s="1"/>
      <c r="THQ36" s="61"/>
      <c r="THR36" s="1"/>
      <c r="THS36" s="209"/>
      <c r="THT36" s="1"/>
      <c r="THU36" s="61"/>
      <c r="THV36" s="1"/>
      <c r="THW36" s="209"/>
      <c r="THX36" s="1"/>
      <c r="THY36" s="61"/>
      <c r="THZ36" s="1"/>
      <c r="TIA36" s="209"/>
      <c r="TIB36" s="1"/>
      <c r="TIC36" s="61"/>
      <c r="TID36" s="1"/>
      <c r="TIE36" s="209"/>
      <c r="TIF36" s="1"/>
      <c r="TIG36" s="61"/>
      <c r="TIH36" s="1"/>
      <c r="TII36" s="209"/>
      <c r="TIJ36" s="1"/>
      <c r="TIK36" s="61"/>
      <c r="TIL36" s="1"/>
      <c r="TIM36" s="209"/>
      <c r="TIN36" s="1"/>
      <c r="TIO36" s="61"/>
      <c r="TIP36" s="1"/>
      <c r="TIQ36" s="209"/>
      <c r="TIR36" s="1"/>
      <c r="TIS36" s="61"/>
      <c r="TIT36" s="1"/>
      <c r="TIU36" s="209"/>
      <c r="TIV36" s="1"/>
      <c r="TIW36" s="61"/>
      <c r="TIX36" s="1"/>
      <c r="TIY36" s="209"/>
      <c r="TIZ36" s="1"/>
      <c r="TJA36" s="61"/>
      <c r="TJB36" s="1"/>
      <c r="TJC36" s="209"/>
      <c r="TJD36" s="1"/>
      <c r="TJE36" s="61"/>
      <c r="TJF36" s="1"/>
      <c r="TJG36" s="209"/>
      <c r="TJH36" s="1"/>
      <c r="TJI36" s="61"/>
      <c r="TJJ36" s="1"/>
      <c r="TJK36" s="209"/>
      <c r="TJL36" s="1"/>
      <c r="TJM36" s="61"/>
      <c r="TJN36" s="1"/>
      <c r="TJO36" s="209"/>
      <c r="TJP36" s="1"/>
      <c r="TJQ36" s="61"/>
      <c r="TJR36" s="1"/>
      <c r="TJS36" s="209"/>
      <c r="TJT36" s="1"/>
      <c r="TJU36" s="61"/>
      <c r="TJV36" s="1"/>
      <c r="TJW36" s="209"/>
      <c r="TJX36" s="1"/>
      <c r="TJY36" s="61"/>
      <c r="TJZ36" s="1"/>
      <c r="TKA36" s="209"/>
      <c r="TKB36" s="1"/>
      <c r="TKC36" s="61"/>
      <c r="TKD36" s="1"/>
      <c r="TKE36" s="209"/>
      <c r="TKF36" s="1"/>
      <c r="TKG36" s="61"/>
      <c r="TKH36" s="1"/>
      <c r="TKI36" s="209"/>
      <c r="TKJ36" s="1"/>
      <c r="TKK36" s="61"/>
      <c r="TKL36" s="1"/>
      <c r="TKM36" s="209"/>
      <c r="TKN36" s="1"/>
      <c r="TKO36" s="61"/>
      <c r="TKP36" s="1"/>
      <c r="TKQ36" s="209"/>
      <c r="TKR36" s="1"/>
      <c r="TKS36" s="61"/>
      <c r="TKT36" s="1"/>
      <c r="TKU36" s="209"/>
      <c r="TKV36" s="1"/>
      <c r="TKW36" s="61"/>
      <c r="TKX36" s="1"/>
      <c r="TKY36" s="209"/>
      <c r="TKZ36" s="1"/>
      <c r="TLA36" s="61"/>
      <c r="TLB36" s="1"/>
      <c r="TLC36" s="209"/>
      <c r="TLD36" s="1"/>
      <c r="TLE36" s="61"/>
      <c r="TLF36" s="1"/>
      <c r="TLG36" s="209"/>
      <c r="TLH36" s="1"/>
      <c r="TLI36" s="61"/>
      <c r="TLJ36" s="1"/>
      <c r="TLK36" s="209"/>
      <c r="TLL36" s="1"/>
      <c r="TLM36" s="61"/>
      <c r="TLN36" s="1"/>
      <c r="TLO36" s="209"/>
      <c r="TLP36" s="1"/>
      <c r="TLQ36" s="61"/>
      <c r="TLR36" s="1"/>
      <c r="TLS36" s="209"/>
      <c r="TLT36" s="1"/>
      <c r="TLU36" s="61"/>
      <c r="TLV36" s="1"/>
      <c r="TLW36" s="209"/>
      <c r="TLX36" s="1"/>
      <c r="TLY36" s="61"/>
      <c r="TLZ36" s="1"/>
      <c r="TMA36" s="209"/>
      <c r="TMB36" s="1"/>
      <c r="TMC36" s="61"/>
      <c r="TMD36" s="1"/>
      <c r="TME36" s="209"/>
      <c r="TMF36" s="1"/>
      <c r="TMG36" s="61"/>
      <c r="TMH36" s="1"/>
      <c r="TMI36" s="209"/>
      <c r="TMJ36" s="1"/>
      <c r="TMK36" s="61"/>
      <c r="TML36" s="1"/>
      <c r="TMM36" s="209"/>
      <c r="TMN36" s="1"/>
      <c r="TMO36" s="61"/>
      <c r="TMP36" s="1"/>
      <c r="TMQ36" s="209"/>
      <c r="TMR36" s="1"/>
      <c r="TMS36" s="61"/>
      <c r="TMT36" s="1"/>
      <c r="TMU36" s="209"/>
      <c r="TMV36" s="1"/>
      <c r="TMW36" s="61"/>
      <c r="TMX36" s="1"/>
      <c r="TMY36" s="209"/>
      <c r="TMZ36" s="1"/>
      <c r="TNA36" s="61"/>
      <c r="TNB36" s="1"/>
      <c r="TNC36" s="209"/>
      <c r="TND36" s="1"/>
      <c r="TNE36" s="61"/>
      <c r="TNF36" s="1"/>
      <c r="TNG36" s="209"/>
      <c r="TNH36" s="1"/>
      <c r="TNI36" s="61"/>
      <c r="TNJ36" s="1"/>
      <c r="TNK36" s="209"/>
      <c r="TNL36" s="1"/>
      <c r="TNM36" s="61"/>
      <c r="TNN36" s="1"/>
      <c r="TNO36" s="209"/>
      <c r="TNP36" s="1"/>
      <c r="TNQ36" s="61"/>
      <c r="TNR36" s="1"/>
      <c r="TNS36" s="209"/>
      <c r="TNT36" s="1"/>
      <c r="TNU36" s="61"/>
      <c r="TNV36" s="1"/>
      <c r="TNW36" s="209"/>
      <c r="TNX36" s="1"/>
      <c r="TNY36" s="61"/>
      <c r="TNZ36" s="1"/>
      <c r="TOA36" s="209"/>
      <c r="TOB36" s="1"/>
      <c r="TOC36" s="61"/>
      <c r="TOD36" s="1"/>
      <c r="TOE36" s="209"/>
      <c r="TOF36" s="1"/>
      <c r="TOG36" s="61"/>
      <c r="TOH36" s="1"/>
      <c r="TOI36" s="209"/>
      <c r="TOJ36" s="1"/>
      <c r="TOK36" s="61"/>
      <c r="TOL36" s="1"/>
      <c r="TOM36" s="209"/>
      <c r="TON36" s="1"/>
      <c r="TOO36" s="61"/>
      <c r="TOP36" s="1"/>
      <c r="TOQ36" s="209"/>
      <c r="TOR36" s="1"/>
      <c r="TOS36" s="61"/>
      <c r="TOT36" s="1"/>
      <c r="TOU36" s="209"/>
      <c r="TOV36" s="1"/>
      <c r="TOW36" s="61"/>
      <c r="TOX36" s="1"/>
      <c r="TOY36" s="209"/>
      <c r="TOZ36" s="1"/>
      <c r="TPA36" s="61"/>
      <c r="TPB36" s="1"/>
      <c r="TPC36" s="209"/>
      <c r="TPD36" s="1"/>
      <c r="TPE36" s="61"/>
      <c r="TPF36" s="1"/>
      <c r="TPG36" s="209"/>
      <c r="TPH36" s="1"/>
      <c r="TPI36" s="61"/>
      <c r="TPJ36" s="1"/>
      <c r="TPK36" s="209"/>
      <c r="TPL36" s="1"/>
      <c r="TPM36" s="61"/>
      <c r="TPN36" s="1"/>
      <c r="TPO36" s="209"/>
      <c r="TPP36" s="1"/>
      <c r="TPQ36" s="61"/>
      <c r="TPR36" s="1"/>
      <c r="TPS36" s="209"/>
      <c r="TPT36" s="1"/>
      <c r="TPU36" s="61"/>
      <c r="TPV36" s="1"/>
      <c r="TPW36" s="209"/>
      <c r="TPX36" s="1"/>
      <c r="TPY36" s="61"/>
      <c r="TPZ36" s="1"/>
      <c r="TQA36" s="209"/>
      <c r="TQB36" s="1"/>
      <c r="TQC36" s="61"/>
      <c r="TQD36" s="1"/>
      <c r="TQE36" s="209"/>
      <c r="TQF36" s="1"/>
      <c r="TQG36" s="61"/>
      <c r="TQH36" s="1"/>
      <c r="TQI36" s="209"/>
      <c r="TQJ36" s="1"/>
      <c r="TQK36" s="61"/>
      <c r="TQL36" s="1"/>
      <c r="TQM36" s="209"/>
      <c r="TQN36" s="1"/>
      <c r="TQO36" s="61"/>
      <c r="TQP36" s="1"/>
      <c r="TQQ36" s="209"/>
      <c r="TQR36" s="1"/>
      <c r="TQS36" s="61"/>
      <c r="TQT36" s="1"/>
      <c r="TQU36" s="209"/>
      <c r="TQV36" s="1"/>
      <c r="TQW36" s="61"/>
      <c r="TQX36" s="1"/>
      <c r="TQY36" s="209"/>
      <c r="TQZ36" s="1"/>
      <c r="TRA36" s="61"/>
      <c r="TRB36" s="1"/>
      <c r="TRC36" s="209"/>
      <c r="TRD36" s="1"/>
      <c r="TRE36" s="61"/>
      <c r="TRF36" s="1"/>
      <c r="TRG36" s="209"/>
      <c r="TRH36" s="1"/>
      <c r="TRI36" s="61"/>
      <c r="TRJ36" s="1"/>
      <c r="TRK36" s="209"/>
      <c r="TRL36" s="1"/>
      <c r="TRM36" s="61"/>
      <c r="TRN36" s="1"/>
      <c r="TRO36" s="209"/>
      <c r="TRP36" s="1"/>
      <c r="TRQ36" s="61"/>
      <c r="TRR36" s="1"/>
      <c r="TRS36" s="209"/>
      <c r="TRT36" s="1"/>
      <c r="TRU36" s="61"/>
      <c r="TRV36" s="1"/>
      <c r="TRW36" s="209"/>
      <c r="TRX36" s="1"/>
      <c r="TRY36" s="61"/>
      <c r="TRZ36" s="1"/>
      <c r="TSA36" s="209"/>
      <c r="TSB36" s="1"/>
      <c r="TSC36" s="61"/>
      <c r="TSD36" s="1"/>
      <c r="TSE36" s="209"/>
      <c r="TSF36" s="1"/>
      <c r="TSG36" s="61"/>
      <c r="TSH36" s="1"/>
      <c r="TSI36" s="209"/>
      <c r="TSJ36" s="1"/>
      <c r="TSK36" s="61"/>
      <c r="TSL36" s="1"/>
      <c r="TSM36" s="209"/>
      <c r="TSN36" s="1"/>
      <c r="TSO36" s="61"/>
      <c r="TSP36" s="1"/>
      <c r="TSQ36" s="209"/>
      <c r="TSR36" s="1"/>
      <c r="TSS36" s="61"/>
      <c r="TST36" s="1"/>
      <c r="TSU36" s="209"/>
      <c r="TSV36" s="1"/>
      <c r="TSW36" s="61"/>
      <c r="TSX36" s="1"/>
      <c r="TSY36" s="209"/>
      <c r="TSZ36" s="1"/>
      <c r="TTA36" s="61"/>
      <c r="TTB36" s="1"/>
      <c r="TTC36" s="209"/>
      <c r="TTD36" s="1"/>
      <c r="TTE36" s="61"/>
      <c r="TTF36" s="1"/>
      <c r="TTG36" s="209"/>
      <c r="TTH36" s="1"/>
      <c r="TTI36" s="61"/>
      <c r="TTJ36" s="1"/>
      <c r="TTK36" s="209"/>
      <c r="TTL36" s="1"/>
      <c r="TTM36" s="61"/>
      <c r="TTN36" s="1"/>
      <c r="TTO36" s="209"/>
      <c r="TTP36" s="1"/>
      <c r="TTQ36" s="61"/>
      <c r="TTR36" s="1"/>
      <c r="TTS36" s="209"/>
      <c r="TTT36" s="1"/>
      <c r="TTU36" s="61"/>
      <c r="TTV36" s="1"/>
      <c r="TTW36" s="209"/>
      <c r="TTX36" s="1"/>
      <c r="TTY36" s="61"/>
      <c r="TTZ36" s="1"/>
      <c r="TUA36" s="209"/>
      <c r="TUB36" s="1"/>
      <c r="TUC36" s="61"/>
      <c r="TUD36" s="1"/>
      <c r="TUE36" s="209"/>
      <c r="TUF36" s="1"/>
      <c r="TUG36" s="61"/>
      <c r="TUH36" s="1"/>
      <c r="TUI36" s="209"/>
      <c r="TUJ36" s="1"/>
      <c r="TUK36" s="61"/>
      <c r="TUL36" s="1"/>
      <c r="TUM36" s="209"/>
      <c r="TUN36" s="1"/>
      <c r="TUO36" s="61"/>
      <c r="TUP36" s="1"/>
      <c r="TUQ36" s="209"/>
      <c r="TUR36" s="1"/>
      <c r="TUS36" s="61"/>
      <c r="TUT36" s="1"/>
      <c r="TUU36" s="209"/>
      <c r="TUV36" s="1"/>
      <c r="TUW36" s="61"/>
      <c r="TUX36" s="1"/>
      <c r="TUY36" s="209"/>
      <c r="TUZ36" s="1"/>
      <c r="TVA36" s="61"/>
      <c r="TVB36" s="1"/>
      <c r="TVC36" s="209"/>
      <c r="TVD36" s="1"/>
      <c r="TVE36" s="61"/>
      <c r="TVF36" s="1"/>
      <c r="TVG36" s="209"/>
      <c r="TVH36" s="1"/>
      <c r="TVI36" s="61"/>
      <c r="TVJ36" s="1"/>
      <c r="TVK36" s="209"/>
      <c r="TVL36" s="1"/>
      <c r="TVM36" s="61"/>
      <c r="TVN36" s="1"/>
      <c r="TVO36" s="209"/>
      <c r="TVP36" s="1"/>
      <c r="TVQ36" s="61"/>
      <c r="TVR36" s="1"/>
      <c r="TVS36" s="209"/>
      <c r="TVT36" s="1"/>
      <c r="TVU36" s="61"/>
      <c r="TVV36" s="1"/>
      <c r="TVW36" s="209"/>
      <c r="TVX36" s="1"/>
      <c r="TVY36" s="61"/>
      <c r="TVZ36" s="1"/>
      <c r="TWA36" s="209"/>
      <c r="TWB36" s="1"/>
      <c r="TWC36" s="61"/>
      <c r="TWD36" s="1"/>
      <c r="TWE36" s="209"/>
      <c r="TWF36" s="1"/>
      <c r="TWG36" s="61"/>
      <c r="TWH36" s="1"/>
      <c r="TWI36" s="209"/>
      <c r="TWJ36" s="1"/>
      <c r="TWK36" s="61"/>
      <c r="TWL36" s="1"/>
      <c r="TWM36" s="209"/>
      <c r="TWN36" s="1"/>
      <c r="TWO36" s="61"/>
      <c r="TWP36" s="1"/>
      <c r="TWQ36" s="209"/>
      <c r="TWR36" s="1"/>
      <c r="TWS36" s="61"/>
      <c r="TWT36" s="1"/>
      <c r="TWU36" s="209"/>
      <c r="TWV36" s="1"/>
      <c r="TWW36" s="61"/>
      <c r="TWX36" s="1"/>
      <c r="TWY36" s="209"/>
      <c r="TWZ36" s="1"/>
      <c r="TXA36" s="61"/>
      <c r="TXB36" s="1"/>
      <c r="TXC36" s="209"/>
      <c r="TXD36" s="1"/>
      <c r="TXE36" s="61"/>
      <c r="TXF36" s="1"/>
      <c r="TXG36" s="209"/>
      <c r="TXH36" s="1"/>
      <c r="TXI36" s="61"/>
      <c r="TXJ36" s="1"/>
      <c r="TXK36" s="209"/>
      <c r="TXL36" s="1"/>
      <c r="TXM36" s="61"/>
      <c r="TXN36" s="1"/>
      <c r="TXO36" s="209"/>
      <c r="TXP36" s="1"/>
      <c r="TXQ36" s="61"/>
      <c r="TXR36" s="1"/>
      <c r="TXS36" s="209"/>
      <c r="TXT36" s="1"/>
      <c r="TXU36" s="61"/>
      <c r="TXV36" s="1"/>
      <c r="TXW36" s="209"/>
      <c r="TXX36" s="1"/>
      <c r="TXY36" s="61"/>
      <c r="TXZ36" s="1"/>
      <c r="TYA36" s="209"/>
      <c r="TYB36" s="1"/>
      <c r="TYC36" s="61"/>
      <c r="TYD36" s="1"/>
      <c r="TYE36" s="209"/>
      <c r="TYF36" s="1"/>
      <c r="TYG36" s="61"/>
      <c r="TYH36" s="1"/>
      <c r="TYI36" s="209"/>
      <c r="TYJ36" s="1"/>
      <c r="TYK36" s="61"/>
      <c r="TYL36" s="1"/>
      <c r="TYM36" s="209"/>
      <c r="TYN36" s="1"/>
      <c r="TYO36" s="61"/>
      <c r="TYP36" s="1"/>
      <c r="TYQ36" s="209"/>
      <c r="TYR36" s="1"/>
      <c r="TYS36" s="61"/>
      <c r="TYT36" s="1"/>
      <c r="TYU36" s="209"/>
      <c r="TYV36" s="1"/>
      <c r="TYW36" s="61"/>
      <c r="TYX36" s="1"/>
      <c r="TYY36" s="209"/>
      <c r="TYZ36" s="1"/>
      <c r="TZA36" s="61"/>
      <c r="TZB36" s="1"/>
      <c r="TZC36" s="209"/>
      <c r="TZD36" s="1"/>
      <c r="TZE36" s="61"/>
      <c r="TZF36" s="1"/>
      <c r="TZG36" s="209"/>
      <c r="TZH36" s="1"/>
      <c r="TZI36" s="61"/>
      <c r="TZJ36" s="1"/>
      <c r="TZK36" s="209"/>
      <c r="TZL36" s="1"/>
      <c r="TZM36" s="61"/>
      <c r="TZN36" s="1"/>
      <c r="TZO36" s="209"/>
      <c r="TZP36" s="1"/>
      <c r="TZQ36" s="61"/>
      <c r="TZR36" s="1"/>
      <c r="TZS36" s="209"/>
      <c r="TZT36" s="1"/>
      <c r="TZU36" s="61"/>
      <c r="TZV36" s="1"/>
      <c r="TZW36" s="209"/>
      <c r="TZX36" s="1"/>
      <c r="TZY36" s="61"/>
      <c r="TZZ36" s="1"/>
      <c r="UAA36" s="209"/>
      <c r="UAB36" s="1"/>
      <c r="UAC36" s="61"/>
      <c r="UAD36" s="1"/>
      <c r="UAE36" s="209"/>
      <c r="UAF36" s="1"/>
      <c r="UAG36" s="61"/>
      <c r="UAH36" s="1"/>
      <c r="UAI36" s="209"/>
      <c r="UAJ36" s="1"/>
      <c r="UAK36" s="61"/>
      <c r="UAL36" s="1"/>
      <c r="UAM36" s="209"/>
      <c r="UAN36" s="1"/>
      <c r="UAO36" s="61"/>
      <c r="UAP36" s="1"/>
      <c r="UAQ36" s="209"/>
      <c r="UAR36" s="1"/>
      <c r="UAS36" s="61"/>
      <c r="UAT36" s="1"/>
      <c r="UAU36" s="209"/>
      <c r="UAV36" s="1"/>
      <c r="UAW36" s="61"/>
      <c r="UAX36" s="1"/>
      <c r="UAY36" s="209"/>
      <c r="UAZ36" s="1"/>
      <c r="UBA36" s="61"/>
      <c r="UBB36" s="1"/>
      <c r="UBC36" s="209"/>
      <c r="UBD36" s="1"/>
      <c r="UBE36" s="61"/>
      <c r="UBF36" s="1"/>
      <c r="UBG36" s="209"/>
      <c r="UBH36" s="1"/>
      <c r="UBI36" s="61"/>
      <c r="UBJ36" s="1"/>
      <c r="UBK36" s="209"/>
      <c r="UBL36" s="1"/>
      <c r="UBM36" s="61"/>
      <c r="UBN36" s="1"/>
      <c r="UBO36" s="209"/>
      <c r="UBP36" s="1"/>
      <c r="UBQ36" s="61"/>
      <c r="UBR36" s="1"/>
      <c r="UBS36" s="209"/>
      <c r="UBT36" s="1"/>
      <c r="UBU36" s="61"/>
      <c r="UBV36" s="1"/>
      <c r="UBW36" s="209"/>
      <c r="UBX36" s="1"/>
      <c r="UBY36" s="61"/>
      <c r="UBZ36" s="1"/>
      <c r="UCA36" s="209"/>
      <c r="UCB36" s="1"/>
      <c r="UCC36" s="61"/>
      <c r="UCD36" s="1"/>
      <c r="UCE36" s="209"/>
      <c r="UCF36" s="1"/>
      <c r="UCG36" s="61"/>
      <c r="UCH36" s="1"/>
      <c r="UCI36" s="209"/>
      <c r="UCJ36" s="1"/>
      <c r="UCK36" s="61"/>
      <c r="UCL36" s="1"/>
      <c r="UCM36" s="209"/>
      <c r="UCN36" s="1"/>
      <c r="UCO36" s="61"/>
      <c r="UCP36" s="1"/>
      <c r="UCQ36" s="209"/>
      <c r="UCR36" s="1"/>
      <c r="UCS36" s="61"/>
      <c r="UCT36" s="1"/>
      <c r="UCU36" s="209"/>
      <c r="UCV36" s="1"/>
      <c r="UCW36" s="61"/>
      <c r="UCX36" s="1"/>
      <c r="UCY36" s="209"/>
      <c r="UCZ36" s="1"/>
      <c r="UDA36" s="61"/>
      <c r="UDB36" s="1"/>
      <c r="UDC36" s="209"/>
      <c r="UDD36" s="1"/>
      <c r="UDE36" s="61"/>
      <c r="UDF36" s="1"/>
      <c r="UDG36" s="209"/>
      <c r="UDH36" s="1"/>
      <c r="UDI36" s="61"/>
      <c r="UDJ36" s="1"/>
      <c r="UDK36" s="209"/>
      <c r="UDL36" s="1"/>
      <c r="UDM36" s="61"/>
      <c r="UDN36" s="1"/>
      <c r="UDO36" s="209"/>
      <c r="UDP36" s="1"/>
      <c r="UDQ36" s="61"/>
      <c r="UDR36" s="1"/>
      <c r="UDS36" s="209"/>
      <c r="UDT36" s="1"/>
      <c r="UDU36" s="61"/>
      <c r="UDV36" s="1"/>
      <c r="UDW36" s="209"/>
      <c r="UDX36" s="1"/>
      <c r="UDY36" s="61"/>
      <c r="UDZ36" s="1"/>
      <c r="UEA36" s="209"/>
      <c r="UEB36" s="1"/>
      <c r="UEC36" s="61"/>
      <c r="UED36" s="1"/>
      <c r="UEE36" s="209"/>
      <c r="UEF36" s="1"/>
      <c r="UEG36" s="61"/>
      <c r="UEH36" s="1"/>
      <c r="UEI36" s="209"/>
      <c r="UEJ36" s="1"/>
      <c r="UEK36" s="61"/>
      <c r="UEL36" s="1"/>
      <c r="UEM36" s="209"/>
      <c r="UEN36" s="1"/>
      <c r="UEO36" s="61"/>
      <c r="UEP36" s="1"/>
      <c r="UEQ36" s="209"/>
      <c r="UER36" s="1"/>
      <c r="UES36" s="61"/>
      <c r="UET36" s="1"/>
      <c r="UEU36" s="209"/>
      <c r="UEV36" s="1"/>
      <c r="UEW36" s="61"/>
      <c r="UEX36" s="1"/>
      <c r="UEY36" s="209"/>
      <c r="UEZ36" s="1"/>
      <c r="UFA36" s="61"/>
      <c r="UFB36" s="1"/>
      <c r="UFC36" s="209"/>
      <c r="UFD36" s="1"/>
      <c r="UFE36" s="61"/>
      <c r="UFF36" s="1"/>
      <c r="UFG36" s="209"/>
      <c r="UFH36" s="1"/>
      <c r="UFI36" s="61"/>
      <c r="UFJ36" s="1"/>
      <c r="UFK36" s="209"/>
      <c r="UFL36" s="1"/>
      <c r="UFM36" s="61"/>
      <c r="UFN36" s="1"/>
      <c r="UFO36" s="209"/>
      <c r="UFP36" s="1"/>
      <c r="UFQ36" s="61"/>
      <c r="UFR36" s="1"/>
      <c r="UFS36" s="209"/>
      <c r="UFT36" s="1"/>
      <c r="UFU36" s="61"/>
      <c r="UFV36" s="1"/>
      <c r="UFW36" s="209"/>
      <c r="UFX36" s="1"/>
      <c r="UFY36" s="61"/>
      <c r="UFZ36" s="1"/>
      <c r="UGA36" s="209"/>
      <c r="UGB36" s="1"/>
      <c r="UGC36" s="61"/>
      <c r="UGD36" s="1"/>
      <c r="UGE36" s="209"/>
      <c r="UGF36" s="1"/>
      <c r="UGG36" s="61"/>
      <c r="UGH36" s="1"/>
      <c r="UGI36" s="209"/>
      <c r="UGJ36" s="1"/>
      <c r="UGK36" s="61"/>
      <c r="UGL36" s="1"/>
      <c r="UGM36" s="209"/>
      <c r="UGN36" s="1"/>
      <c r="UGO36" s="61"/>
      <c r="UGP36" s="1"/>
      <c r="UGQ36" s="209"/>
      <c r="UGR36" s="1"/>
      <c r="UGS36" s="61"/>
      <c r="UGT36" s="1"/>
      <c r="UGU36" s="209"/>
      <c r="UGV36" s="1"/>
      <c r="UGW36" s="61"/>
      <c r="UGX36" s="1"/>
      <c r="UGY36" s="209"/>
      <c r="UGZ36" s="1"/>
      <c r="UHA36" s="61"/>
      <c r="UHB36" s="1"/>
      <c r="UHC36" s="209"/>
      <c r="UHD36" s="1"/>
      <c r="UHE36" s="61"/>
      <c r="UHF36" s="1"/>
      <c r="UHG36" s="209"/>
      <c r="UHH36" s="1"/>
      <c r="UHI36" s="61"/>
      <c r="UHJ36" s="1"/>
      <c r="UHK36" s="209"/>
      <c r="UHL36" s="1"/>
      <c r="UHM36" s="61"/>
      <c r="UHN36" s="1"/>
      <c r="UHO36" s="209"/>
      <c r="UHP36" s="1"/>
      <c r="UHQ36" s="61"/>
      <c r="UHR36" s="1"/>
      <c r="UHS36" s="209"/>
      <c r="UHT36" s="1"/>
      <c r="UHU36" s="61"/>
      <c r="UHV36" s="1"/>
      <c r="UHW36" s="209"/>
      <c r="UHX36" s="1"/>
      <c r="UHY36" s="61"/>
      <c r="UHZ36" s="1"/>
      <c r="UIA36" s="209"/>
      <c r="UIB36" s="1"/>
      <c r="UIC36" s="61"/>
      <c r="UID36" s="1"/>
      <c r="UIE36" s="209"/>
      <c r="UIF36" s="1"/>
      <c r="UIG36" s="61"/>
      <c r="UIH36" s="1"/>
      <c r="UII36" s="209"/>
      <c r="UIJ36" s="1"/>
      <c r="UIK36" s="61"/>
      <c r="UIL36" s="1"/>
      <c r="UIM36" s="209"/>
      <c r="UIN36" s="1"/>
      <c r="UIO36" s="61"/>
      <c r="UIP36" s="1"/>
      <c r="UIQ36" s="209"/>
      <c r="UIR36" s="1"/>
      <c r="UIS36" s="61"/>
      <c r="UIT36" s="1"/>
      <c r="UIU36" s="209"/>
      <c r="UIV36" s="1"/>
      <c r="UIW36" s="61"/>
      <c r="UIX36" s="1"/>
      <c r="UIY36" s="209"/>
      <c r="UIZ36" s="1"/>
      <c r="UJA36" s="61"/>
      <c r="UJB36" s="1"/>
      <c r="UJC36" s="209"/>
      <c r="UJD36" s="1"/>
      <c r="UJE36" s="61"/>
      <c r="UJF36" s="1"/>
      <c r="UJG36" s="209"/>
      <c r="UJH36" s="1"/>
      <c r="UJI36" s="61"/>
      <c r="UJJ36" s="1"/>
      <c r="UJK36" s="209"/>
      <c r="UJL36" s="1"/>
      <c r="UJM36" s="61"/>
      <c r="UJN36" s="1"/>
      <c r="UJO36" s="209"/>
      <c r="UJP36" s="1"/>
      <c r="UJQ36" s="61"/>
      <c r="UJR36" s="1"/>
      <c r="UJS36" s="209"/>
      <c r="UJT36" s="1"/>
      <c r="UJU36" s="61"/>
      <c r="UJV36" s="1"/>
      <c r="UJW36" s="209"/>
      <c r="UJX36" s="1"/>
      <c r="UJY36" s="61"/>
      <c r="UJZ36" s="1"/>
      <c r="UKA36" s="209"/>
      <c r="UKB36" s="1"/>
      <c r="UKC36" s="61"/>
      <c r="UKD36" s="1"/>
      <c r="UKE36" s="209"/>
      <c r="UKF36" s="1"/>
      <c r="UKG36" s="61"/>
      <c r="UKH36" s="1"/>
      <c r="UKI36" s="209"/>
      <c r="UKJ36" s="1"/>
      <c r="UKK36" s="61"/>
      <c r="UKL36" s="1"/>
      <c r="UKM36" s="209"/>
      <c r="UKN36" s="1"/>
      <c r="UKO36" s="61"/>
      <c r="UKP36" s="1"/>
      <c r="UKQ36" s="209"/>
      <c r="UKR36" s="1"/>
      <c r="UKS36" s="61"/>
      <c r="UKT36" s="1"/>
      <c r="UKU36" s="209"/>
      <c r="UKV36" s="1"/>
      <c r="UKW36" s="61"/>
      <c r="UKX36" s="1"/>
      <c r="UKY36" s="209"/>
      <c r="UKZ36" s="1"/>
      <c r="ULA36" s="61"/>
      <c r="ULB36" s="1"/>
      <c r="ULC36" s="209"/>
      <c r="ULD36" s="1"/>
      <c r="ULE36" s="61"/>
      <c r="ULF36" s="1"/>
      <c r="ULG36" s="209"/>
      <c r="ULH36" s="1"/>
      <c r="ULI36" s="61"/>
      <c r="ULJ36" s="1"/>
      <c r="ULK36" s="209"/>
      <c r="ULL36" s="1"/>
      <c r="ULM36" s="61"/>
      <c r="ULN36" s="1"/>
      <c r="ULO36" s="209"/>
      <c r="ULP36" s="1"/>
      <c r="ULQ36" s="61"/>
      <c r="ULR36" s="1"/>
      <c r="ULS36" s="209"/>
      <c r="ULT36" s="1"/>
      <c r="ULU36" s="61"/>
      <c r="ULV36" s="1"/>
      <c r="ULW36" s="209"/>
      <c r="ULX36" s="1"/>
      <c r="ULY36" s="61"/>
      <c r="ULZ36" s="1"/>
      <c r="UMA36" s="209"/>
      <c r="UMB36" s="1"/>
      <c r="UMC36" s="61"/>
      <c r="UMD36" s="1"/>
      <c r="UME36" s="209"/>
      <c r="UMF36" s="1"/>
      <c r="UMG36" s="61"/>
      <c r="UMH36" s="1"/>
      <c r="UMI36" s="209"/>
      <c r="UMJ36" s="1"/>
      <c r="UMK36" s="61"/>
      <c r="UML36" s="1"/>
      <c r="UMM36" s="209"/>
      <c r="UMN36" s="1"/>
      <c r="UMO36" s="61"/>
      <c r="UMP36" s="1"/>
      <c r="UMQ36" s="209"/>
      <c r="UMR36" s="1"/>
      <c r="UMS36" s="61"/>
      <c r="UMT36" s="1"/>
      <c r="UMU36" s="209"/>
      <c r="UMV36" s="1"/>
      <c r="UMW36" s="61"/>
      <c r="UMX36" s="1"/>
      <c r="UMY36" s="209"/>
      <c r="UMZ36" s="1"/>
      <c r="UNA36" s="61"/>
      <c r="UNB36" s="1"/>
      <c r="UNC36" s="209"/>
      <c r="UND36" s="1"/>
      <c r="UNE36" s="61"/>
      <c r="UNF36" s="1"/>
      <c r="UNG36" s="209"/>
      <c r="UNH36" s="1"/>
      <c r="UNI36" s="61"/>
      <c r="UNJ36" s="1"/>
      <c r="UNK36" s="209"/>
      <c r="UNL36" s="1"/>
      <c r="UNM36" s="61"/>
      <c r="UNN36" s="1"/>
      <c r="UNO36" s="209"/>
      <c r="UNP36" s="1"/>
      <c r="UNQ36" s="61"/>
      <c r="UNR36" s="1"/>
      <c r="UNS36" s="209"/>
      <c r="UNT36" s="1"/>
      <c r="UNU36" s="61"/>
      <c r="UNV36" s="1"/>
      <c r="UNW36" s="209"/>
      <c r="UNX36" s="1"/>
      <c r="UNY36" s="61"/>
      <c r="UNZ36" s="1"/>
      <c r="UOA36" s="209"/>
      <c r="UOB36" s="1"/>
      <c r="UOC36" s="61"/>
      <c r="UOD36" s="1"/>
      <c r="UOE36" s="209"/>
      <c r="UOF36" s="1"/>
      <c r="UOG36" s="61"/>
      <c r="UOH36" s="1"/>
      <c r="UOI36" s="209"/>
      <c r="UOJ36" s="1"/>
      <c r="UOK36" s="61"/>
      <c r="UOL36" s="1"/>
      <c r="UOM36" s="209"/>
      <c r="UON36" s="1"/>
      <c r="UOO36" s="61"/>
      <c r="UOP36" s="1"/>
      <c r="UOQ36" s="209"/>
      <c r="UOR36" s="1"/>
      <c r="UOS36" s="61"/>
      <c r="UOT36" s="1"/>
      <c r="UOU36" s="209"/>
      <c r="UOV36" s="1"/>
      <c r="UOW36" s="61"/>
      <c r="UOX36" s="1"/>
      <c r="UOY36" s="209"/>
      <c r="UOZ36" s="1"/>
      <c r="UPA36" s="61"/>
      <c r="UPB36" s="1"/>
      <c r="UPC36" s="209"/>
      <c r="UPD36" s="1"/>
      <c r="UPE36" s="61"/>
      <c r="UPF36" s="1"/>
      <c r="UPG36" s="209"/>
      <c r="UPH36" s="1"/>
      <c r="UPI36" s="61"/>
      <c r="UPJ36" s="1"/>
      <c r="UPK36" s="209"/>
      <c r="UPL36" s="1"/>
      <c r="UPM36" s="61"/>
      <c r="UPN36" s="1"/>
      <c r="UPO36" s="209"/>
      <c r="UPP36" s="1"/>
      <c r="UPQ36" s="61"/>
      <c r="UPR36" s="1"/>
      <c r="UPS36" s="209"/>
      <c r="UPT36" s="1"/>
      <c r="UPU36" s="61"/>
      <c r="UPV36" s="1"/>
      <c r="UPW36" s="209"/>
      <c r="UPX36" s="1"/>
      <c r="UPY36" s="61"/>
      <c r="UPZ36" s="1"/>
      <c r="UQA36" s="209"/>
      <c r="UQB36" s="1"/>
      <c r="UQC36" s="61"/>
      <c r="UQD36" s="1"/>
      <c r="UQE36" s="209"/>
      <c r="UQF36" s="1"/>
      <c r="UQG36" s="61"/>
      <c r="UQH36" s="1"/>
      <c r="UQI36" s="209"/>
      <c r="UQJ36" s="1"/>
      <c r="UQK36" s="61"/>
      <c r="UQL36" s="1"/>
      <c r="UQM36" s="209"/>
      <c r="UQN36" s="1"/>
      <c r="UQO36" s="61"/>
      <c r="UQP36" s="1"/>
      <c r="UQQ36" s="209"/>
      <c r="UQR36" s="1"/>
      <c r="UQS36" s="61"/>
      <c r="UQT36" s="1"/>
      <c r="UQU36" s="209"/>
      <c r="UQV36" s="1"/>
      <c r="UQW36" s="61"/>
      <c r="UQX36" s="1"/>
      <c r="UQY36" s="209"/>
      <c r="UQZ36" s="1"/>
      <c r="URA36" s="61"/>
      <c r="URB36" s="1"/>
      <c r="URC36" s="209"/>
      <c r="URD36" s="1"/>
      <c r="URE36" s="61"/>
      <c r="URF36" s="1"/>
      <c r="URG36" s="209"/>
      <c r="URH36" s="1"/>
      <c r="URI36" s="61"/>
      <c r="URJ36" s="1"/>
      <c r="URK36" s="209"/>
      <c r="URL36" s="1"/>
      <c r="URM36" s="61"/>
      <c r="URN36" s="1"/>
      <c r="URO36" s="209"/>
      <c r="URP36" s="1"/>
      <c r="URQ36" s="61"/>
      <c r="URR36" s="1"/>
      <c r="URS36" s="209"/>
      <c r="URT36" s="1"/>
      <c r="URU36" s="61"/>
      <c r="URV36" s="1"/>
      <c r="URW36" s="209"/>
      <c r="URX36" s="1"/>
      <c r="URY36" s="61"/>
      <c r="URZ36" s="1"/>
      <c r="USA36" s="209"/>
      <c r="USB36" s="1"/>
      <c r="USC36" s="61"/>
      <c r="USD36" s="1"/>
      <c r="USE36" s="209"/>
      <c r="USF36" s="1"/>
      <c r="USG36" s="61"/>
      <c r="USH36" s="1"/>
      <c r="USI36" s="209"/>
      <c r="USJ36" s="1"/>
      <c r="USK36" s="61"/>
      <c r="USL36" s="1"/>
      <c r="USM36" s="209"/>
      <c r="USN36" s="1"/>
      <c r="USO36" s="61"/>
      <c r="USP36" s="1"/>
      <c r="USQ36" s="209"/>
      <c r="USR36" s="1"/>
      <c r="USS36" s="61"/>
      <c r="UST36" s="1"/>
      <c r="USU36" s="209"/>
      <c r="USV36" s="1"/>
      <c r="USW36" s="61"/>
      <c r="USX36" s="1"/>
      <c r="USY36" s="209"/>
      <c r="USZ36" s="1"/>
      <c r="UTA36" s="61"/>
      <c r="UTB36" s="1"/>
      <c r="UTC36" s="209"/>
      <c r="UTD36" s="1"/>
      <c r="UTE36" s="61"/>
      <c r="UTF36" s="1"/>
      <c r="UTG36" s="209"/>
      <c r="UTH36" s="1"/>
      <c r="UTI36" s="61"/>
      <c r="UTJ36" s="1"/>
      <c r="UTK36" s="209"/>
      <c r="UTL36" s="1"/>
      <c r="UTM36" s="61"/>
      <c r="UTN36" s="1"/>
      <c r="UTO36" s="209"/>
      <c r="UTP36" s="1"/>
      <c r="UTQ36" s="61"/>
      <c r="UTR36" s="1"/>
      <c r="UTS36" s="209"/>
      <c r="UTT36" s="1"/>
      <c r="UTU36" s="61"/>
      <c r="UTV36" s="1"/>
      <c r="UTW36" s="209"/>
      <c r="UTX36" s="1"/>
      <c r="UTY36" s="61"/>
      <c r="UTZ36" s="1"/>
      <c r="UUA36" s="209"/>
      <c r="UUB36" s="1"/>
      <c r="UUC36" s="61"/>
      <c r="UUD36" s="1"/>
      <c r="UUE36" s="209"/>
      <c r="UUF36" s="1"/>
      <c r="UUG36" s="61"/>
      <c r="UUH36" s="1"/>
      <c r="UUI36" s="209"/>
      <c r="UUJ36" s="1"/>
      <c r="UUK36" s="61"/>
      <c r="UUL36" s="1"/>
      <c r="UUM36" s="209"/>
      <c r="UUN36" s="1"/>
      <c r="UUO36" s="61"/>
      <c r="UUP36" s="1"/>
      <c r="UUQ36" s="209"/>
      <c r="UUR36" s="1"/>
      <c r="UUS36" s="61"/>
      <c r="UUT36" s="1"/>
      <c r="UUU36" s="209"/>
      <c r="UUV36" s="1"/>
      <c r="UUW36" s="61"/>
      <c r="UUX36" s="1"/>
      <c r="UUY36" s="209"/>
      <c r="UUZ36" s="1"/>
      <c r="UVA36" s="61"/>
      <c r="UVB36" s="1"/>
      <c r="UVC36" s="209"/>
      <c r="UVD36" s="1"/>
      <c r="UVE36" s="61"/>
      <c r="UVF36" s="1"/>
      <c r="UVG36" s="209"/>
      <c r="UVH36" s="1"/>
      <c r="UVI36" s="61"/>
      <c r="UVJ36" s="1"/>
      <c r="UVK36" s="209"/>
      <c r="UVL36" s="1"/>
      <c r="UVM36" s="61"/>
      <c r="UVN36" s="1"/>
      <c r="UVO36" s="209"/>
      <c r="UVP36" s="1"/>
      <c r="UVQ36" s="61"/>
      <c r="UVR36" s="1"/>
      <c r="UVS36" s="209"/>
      <c r="UVT36" s="1"/>
      <c r="UVU36" s="61"/>
      <c r="UVV36" s="1"/>
      <c r="UVW36" s="209"/>
      <c r="UVX36" s="1"/>
      <c r="UVY36" s="61"/>
      <c r="UVZ36" s="1"/>
      <c r="UWA36" s="209"/>
      <c r="UWB36" s="1"/>
      <c r="UWC36" s="61"/>
      <c r="UWD36" s="1"/>
      <c r="UWE36" s="209"/>
      <c r="UWF36" s="1"/>
      <c r="UWG36" s="61"/>
      <c r="UWH36" s="1"/>
      <c r="UWI36" s="209"/>
      <c r="UWJ36" s="1"/>
      <c r="UWK36" s="61"/>
      <c r="UWL36" s="1"/>
      <c r="UWM36" s="209"/>
      <c r="UWN36" s="1"/>
      <c r="UWO36" s="61"/>
      <c r="UWP36" s="1"/>
      <c r="UWQ36" s="209"/>
      <c r="UWR36" s="1"/>
      <c r="UWS36" s="61"/>
      <c r="UWT36" s="1"/>
      <c r="UWU36" s="209"/>
      <c r="UWV36" s="1"/>
      <c r="UWW36" s="61"/>
      <c r="UWX36" s="1"/>
      <c r="UWY36" s="209"/>
      <c r="UWZ36" s="1"/>
      <c r="UXA36" s="61"/>
      <c r="UXB36" s="1"/>
      <c r="UXC36" s="209"/>
      <c r="UXD36" s="1"/>
      <c r="UXE36" s="61"/>
      <c r="UXF36" s="1"/>
      <c r="UXG36" s="209"/>
      <c r="UXH36" s="1"/>
      <c r="UXI36" s="61"/>
      <c r="UXJ36" s="1"/>
      <c r="UXK36" s="209"/>
      <c r="UXL36" s="1"/>
      <c r="UXM36" s="61"/>
      <c r="UXN36" s="1"/>
      <c r="UXO36" s="209"/>
      <c r="UXP36" s="1"/>
      <c r="UXQ36" s="61"/>
      <c r="UXR36" s="1"/>
      <c r="UXS36" s="209"/>
      <c r="UXT36" s="1"/>
      <c r="UXU36" s="61"/>
      <c r="UXV36" s="1"/>
      <c r="UXW36" s="209"/>
      <c r="UXX36" s="1"/>
      <c r="UXY36" s="61"/>
      <c r="UXZ36" s="1"/>
      <c r="UYA36" s="209"/>
      <c r="UYB36" s="1"/>
      <c r="UYC36" s="61"/>
      <c r="UYD36" s="1"/>
      <c r="UYE36" s="209"/>
      <c r="UYF36" s="1"/>
      <c r="UYG36" s="61"/>
      <c r="UYH36" s="1"/>
      <c r="UYI36" s="209"/>
      <c r="UYJ36" s="1"/>
      <c r="UYK36" s="61"/>
      <c r="UYL36" s="1"/>
      <c r="UYM36" s="209"/>
      <c r="UYN36" s="1"/>
      <c r="UYO36" s="61"/>
      <c r="UYP36" s="1"/>
      <c r="UYQ36" s="209"/>
      <c r="UYR36" s="1"/>
      <c r="UYS36" s="61"/>
      <c r="UYT36" s="1"/>
      <c r="UYU36" s="209"/>
      <c r="UYV36" s="1"/>
      <c r="UYW36" s="61"/>
      <c r="UYX36" s="1"/>
      <c r="UYY36" s="209"/>
      <c r="UYZ36" s="1"/>
      <c r="UZA36" s="61"/>
      <c r="UZB36" s="1"/>
      <c r="UZC36" s="209"/>
      <c r="UZD36" s="1"/>
      <c r="UZE36" s="61"/>
      <c r="UZF36" s="1"/>
      <c r="UZG36" s="209"/>
      <c r="UZH36" s="1"/>
      <c r="UZI36" s="61"/>
      <c r="UZJ36" s="1"/>
      <c r="UZK36" s="209"/>
      <c r="UZL36" s="1"/>
      <c r="UZM36" s="61"/>
      <c r="UZN36" s="1"/>
      <c r="UZO36" s="209"/>
      <c r="UZP36" s="1"/>
      <c r="UZQ36" s="61"/>
      <c r="UZR36" s="1"/>
      <c r="UZS36" s="209"/>
      <c r="UZT36" s="1"/>
      <c r="UZU36" s="61"/>
      <c r="UZV36" s="1"/>
      <c r="UZW36" s="209"/>
      <c r="UZX36" s="1"/>
      <c r="UZY36" s="61"/>
      <c r="UZZ36" s="1"/>
      <c r="VAA36" s="209"/>
      <c r="VAB36" s="1"/>
      <c r="VAC36" s="61"/>
      <c r="VAD36" s="1"/>
      <c r="VAE36" s="209"/>
      <c r="VAF36" s="1"/>
      <c r="VAG36" s="61"/>
      <c r="VAH36" s="1"/>
      <c r="VAI36" s="209"/>
      <c r="VAJ36" s="1"/>
      <c r="VAK36" s="61"/>
      <c r="VAL36" s="1"/>
      <c r="VAM36" s="209"/>
      <c r="VAN36" s="1"/>
      <c r="VAO36" s="61"/>
      <c r="VAP36" s="1"/>
      <c r="VAQ36" s="209"/>
      <c r="VAR36" s="1"/>
      <c r="VAS36" s="61"/>
      <c r="VAT36" s="1"/>
      <c r="VAU36" s="209"/>
      <c r="VAV36" s="1"/>
      <c r="VAW36" s="61"/>
      <c r="VAX36" s="1"/>
      <c r="VAY36" s="209"/>
      <c r="VAZ36" s="1"/>
      <c r="VBA36" s="61"/>
      <c r="VBB36" s="1"/>
      <c r="VBC36" s="209"/>
      <c r="VBD36" s="1"/>
      <c r="VBE36" s="61"/>
      <c r="VBF36" s="1"/>
      <c r="VBG36" s="209"/>
      <c r="VBH36" s="1"/>
      <c r="VBI36" s="61"/>
      <c r="VBJ36" s="1"/>
      <c r="VBK36" s="209"/>
      <c r="VBL36" s="1"/>
      <c r="VBM36" s="61"/>
      <c r="VBN36" s="1"/>
      <c r="VBO36" s="209"/>
      <c r="VBP36" s="1"/>
      <c r="VBQ36" s="61"/>
      <c r="VBR36" s="1"/>
      <c r="VBS36" s="209"/>
      <c r="VBT36" s="1"/>
      <c r="VBU36" s="61"/>
      <c r="VBV36" s="1"/>
      <c r="VBW36" s="209"/>
      <c r="VBX36" s="1"/>
      <c r="VBY36" s="61"/>
      <c r="VBZ36" s="1"/>
      <c r="VCA36" s="209"/>
      <c r="VCB36" s="1"/>
      <c r="VCC36" s="61"/>
      <c r="VCD36" s="1"/>
      <c r="VCE36" s="209"/>
      <c r="VCF36" s="1"/>
      <c r="VCG36" s="61"/>
      <c r="VCH36" s="1"/>
      <c r="VCI36" s="209"/>
      <c r="VCJ36" s="1"/>
      <c r="VCK36" s="61"/>
      <c r="VCL36" s="1"/>
      <c r="VCM36" s="209"/>
      <c r="VCN36" s="1"/>
      <c r="VCO36" s="61"/>
      <c r="VCP36" s="1"/>
      <c r="VCQ36" s="209"/>
      <c r="VCR36" s="1"/>
      <c r="VCS36" s="61"/>
      <c r="VCT36" s="1"/>
      <c r="VCU36" s="209"/>
      <c r="VCV36" s="1"/>
      <c r="VCW36" s="61"/>
      <c r="VCX36" s="1"/>
      <c r="VCY36" s="209"/>
      <c r="VCZ36" s="1"/>
      <c r="VDA36" s="61"/>
      <c r="VDB36" s="1"/>
      <c r="VDC36" s="209"/>
      <c r="VDD36" s="1"/>
      <c r="VDE36" s="61"/>
      <c r="VDF36" s="1"/>
      <c r="VDG36" s="209"/>
      <c r="VDH36" s="1"/>
      <c r="VDI36" s="61"/>
      <c r="VDJ36" s="1"/>
      <c r="VDK36" s="209"/>
      <c r="VDL36" s="1"/>
      <c r="VDM36" s="61"/>
      <c r="VDN36" s="1"/>
      <c r="VDO36" s="209"/>
      <c r="VDP36" s="1"/>
      <c r="VDQ36" s="61"/>
      <c r="VDR36" s="1"/>
      <c r="VDS36" s="209"/>
      <c r="VDT36" s="1"/>
      <c r="VDU36" s="61"/>
      <c r="VDV36" s="1"/>
      <c r="VDW36" s="209"/>
      <c r="VDX36" s="1"/>
      <c r="VDY36" s="61"/>
      <c r="VDZ36" s="1"/>
      <c r="VEA36" s="209"/>
      <c r="VEB36" s="1"/>
      <c r="VEC36" s="61"/>
      <c r="VED36" s="1"/>
      <c r="VEE36" s="209"/>
      <c r="VEF36" s="1"/>
      <c r="VEG36" s="61"/>
      <c r="VEH36" s="1"/>
      <c r="VEI36" s="209"/>
      <c r="VEJ36" s="1"/>
      <c r="VEK36" s="61"/>
      <c r="VEL36" s="1"/>
      <c r="VEM36" s="209"/>
      <c r="VEN36" s="1"/>
      <c r="VEO36" s="61"/>
      <c r="VEP36" s="1"/>
      <c r="VEQ36" s="209"/>
      <c r="VER36" s="1"/>
      <c r="VES36" s="61"/>
      <c r="VET36" s="1"/>
      <c r="VEU36" s="209"/>
      <c r="VEV36" s="1"/>
      <c r="VEW36" s="61"/>
      <c r="VEX36" s="1"/>
      <c r="VEY36" s="209"/>
      <c r="VEZ36" s="1"/>
      <c r="VFA36" s="61"/>
      <c r="VFB36" s="1"/>
      <c r="VFC36" s="209"/>
      <c r="VFD36" s="1"/>
      <c r="VFE36" s="61"/>
      <c r="VFF36" s="1"/>
      <c r="VFG36" s="209"/>
      <c r="VFH36" s="1"/>
      <c r="VFI36" s="61"/>
      <c r="VFJ36" s="1"/>
      <c r="VFK36" s="209"/>
      <c r="VFL36" s="1"/>
      <c r="VFM36" s="61"/>
      <c r="VFN36" s="1"/>
      <c r="VFO36" s="209"/>
      <c r="VFP36" s="1"/>
      <c r="VFQ36" s="61"/>
      <c r="VFR36" s="1"/>
      <c r="VFS36" s="209"/>
      <c r="VFT36" s="1"/>
      <c r="VFU36" s="61"/>
      <c r="VFV36" s="1"/>
      <c r="VFW36" s="209"/>
      <c r="VFX36" s="1"/>
      <c r="VFY36" s="61"/>
      <c r="VFZ36" s="1"/>
      <c r="VGA36" s="209"/>
      <c r="VGB36" s="1"/>
      <c r="VGC36" s="61"/>
      <c r="VGD36" s="1"/>
      <c r="VGE36" s="209"/>
      <c r="VGF36" s="1"/>
      <c r="VGG36" s="61"/>
      <c r="VGH36" s="1"/>
      <c r="VGI36" s="209"/>
      <c r="VGJ36" s="1"/>
      <c r="VGK36" s="61"/>
      <c r="VGL36" s="1"/>
      <c r="VGM36" s="209"/>
      <c r="VGN36" s="1"/>
      <c r="VGO36" s="61"/>
      <c r="VGP36" s="1"/>
      <c r="VGQ36" s="209"/>
      <c r="VGR36" s="1"/>
      <c r="VGS36" s="61"/>
      <c r="VGT36" s="1"/>
      <c r="VGU36" s="209"/>
      <c r="VGV36" s="1"/>
      <c r="VGW36" s="61"/>
      <c r="VGX36" s="1"/>
      <c r="VGY36" s="209"/>
      <c r="VGZ36" s="1"/>
      <c r="VHA36" s="61"/>
      <c r="VHB36" s="1"/>
      <c r="VHC36" s="209"/>
      <c r="VHD36" s="1"/>
      <c r="VHE36" s="61"/>
      <c r="VHF36" s="1"/>
      <c r="VHG36" s="209"/>
      <c r="VHH36" s="1"/>
      <c r="VHI36" s="61"/>
      <c r="VHJ36" s="1"/>
      <c r="VHK36" s="209"/>
      <c r="VHL36" s="1"/>
      <c r="VHM36" s="61"/>
      <c r="VHN36" s="1"/>
      <c r="VHO36" s="209"/>
      <c r="VHP36" s="1"/>
      <c r="VHQ36" s="61"/>
      <c r="VHR36" s="1"/>
      <c r="VHS36" s="209"/>
      <c r="VHT36" s="1"/>
      <c r="VHU36" s="61"/>
      <c r="VHV36" s="1"/>
      <c r="VHW36" s="209"/>
      <c r="VHX36" s="1"/>
      <c r="VHY36" s="61"/>
      <c r="VHZ36" s="1"/>
      <c r="VIA36" s="209"/>
      <c r="VIB36" s="1"/>
      <c r="VIC36" s="61"/>
      <c r="VID36" s="1"/>
      <c r="VIE36" s="209"/>
      <c r="VIF36" s="1"/>
      <c r="VIG36" s="61"/>
      <c r="VIH36" s="1"/>
      <c r="VII36" s="209"/>
      <c r="VIJ36" s="1"/>
      <c r="VIK36" s="61"/>
      <c r="VIL36" s="1"/>
      <c r="VIM36" s="209"/>
      <c r="VIN36" s="1"/>
      <c r="VIO36" s="61"/>
      <c r="VIP36" s="1"/>
      <c r="VIQ36" s="209"/>
      <c r="VIR36" s="1"/>
      <c r="VIS36" s="61"/>
      <c r="VIT36" s="1"/>
      <c r="VIU36" s="209"/>
      <c r="VIV36" s="1"/>
      <c r="VIW36" s="61"/>
      <c r="VIX36" s="1"/>
      <c r="VIY36" s="209"/>
      <c r="VIZ36" s="1"/>
      <c r="VJA36" s="61"/>
      <c r="VJB36" s="1"/>
      <c r="VJC36" s="209"/>
      <c r="VJD36" s="1"/>
      <c r="VJE36" s="61"/>
      <c r="VJF36" s="1"/>
      <c r="VJG36" s="209"/>
      <c r="VJH36" s="1"/>
      <c r="VJI36" s="61"/>
      <c r="VJJ36" s="1"/>
      <c r="VJK36" s="209"/>
      <c r="VJL36" s="1"/>
      <c r="VJM36" s="61"/>
      <c r="VJN36" s="1"/>
      <c r="VJO36" s="209"/>
      <c r="VJP36" s="1"/>
      <c r="VJQ36" s="61"/>
      <c r="VJR36" s="1"/>
      <c r="VJS36" s="209"/>
      <c r="VJT36" s="1"/>
      <c r="VJU36" s="61"/>
      <c r="VJV36" s="1"/>
      <c r="VJW36" s="209"/>
      <c r="VJX36" s="1"/>
      <c r="VJY36" s="61"/>
      <c r="VJZ36" s="1"/>
      <c r="VKA36" s="209"/>
      <c r="VKB36" s="1"/>
      <c r="VKC36" s="61"/>
      <c r="VKD36" s="1"/>
      <c r="VKE36" s="209"/>
      <c r="VKF36" s="1"/>
      <c r="VKG36" s="61"/>
      <c r="VKH36" s="1"/>
      <c r="VKI36" s="209"/>
      <c r="VKJ36" s="1"/>
      <c r="VKK36" s="61"/>
      <c r="VKL36" s="1"/>
      <c r="VKM36" s="209"/>
      <c r="VKN36" s="1"/>
      <c r="VKO36" s="61"/>
      <c r="VKP36" s="1"/>
      <c r="VKQ36" s="209"/>
      <c r="VKR36" s="1"/>
      <c r="VKS36" s="61"/>
      <c r="VKT36" s="1"/>
      <c r="VKU36" s="209"/>
      <c r="VKV36" s="1"/>
      <c r="VKW36" s="61"/>
      <c r="VKX36" s="1"/>
      <c r="VKY36" s="209"/>
      <c r="VKZ36" s="1"/>
      <c r="VLA36" s="61"/>
      <c r="VLB36" s="1"/>
      <c r="VLC36" s="209"/>
      <c r="VLD36" s="1"/>
      <c r="VLE36" s="61"/>
      <c r="VLF36" s="1"/>
      <c r="VLG36" s="209"/>
      <c r="VLH36" s="1"/>
      <c r="VLI36" s="61"/>
      <c r="VLJ36" s="1"/>
      <c r="VLK36" s="209"/>
      <c r="VLL36" s="1"/>
      <c r="VLM36" s="61"/>
      <c r="VLN36" s="1"/>
      <c r="VLO36" s="209"/>
      <c r="VLP36" s="1"/>
      <c r="VLQ36" s="61"/>
      <c r="VLR36" s="1"/>
      <c r="VLS36" s="209"/>
      <c r="VLT36" s="1"/>
      <c r="VLU36" s="61"/>
      <c r="VLV36" s="1"/>
      <c r="VLW36" s="209"/>
      <c r="VLX36" s="1"/>
      <c r="VLY36" s="61"/>
      <c r="VLZ36" s="1"/>
      <c r="VMA36" s="209"/>
      <c r="VMB36" s="1"/>
      <c r="VMC36" s="61"/>
      <c r="VMD36" s="1"/>
      <c r="VME36" s="209"/>
      <c r="VMF36" s="1"/>
      <c r="VMG36" s="61"/>
      <c r="VMH36" s="1"/>
      <c r="VMI36" s="209"/>
      <c r="VMJ36" s="1"/>
      <c r="VMK36" s="61"/>
      <c r="VML36" s="1"/>
      <c r="VMM36" s="209"/>
      <c r="VMN36" s="1"/>
      <c r="VMO36" s="61"/>
      <c r="VMP36" s="1"/>
      <c r="VMQ36" s="209"/>
      <c r="VMR36" s="1"/>
      <c r="VMS36" s="61"/>
      <c r="VMT36" s="1"/>
      <c r="VMU36" s="209"/>
      <c r="VMV36" s="1"/>
      <c r="VMW36" s="61"/>
      <c r="VMX36" s="1"/>
      <c r="VMY36" s="209"/>
      <c r="VMZ36" s="1"/>
      <c r="VNA36" s="61"/>
      <c r="VNB36" s="1"/>
      <c r="VNC36" s="209"/>
      <c r="VND36" s="1"/>
      <c r="VNE36" s="61"/>
      <c r="VNF36" s="1"/>
      <c r="VNG36" s="209"/>
      <c r="VNH36" s="1"/>
      <c r="VNI36" s="61"/>
      <c r="VNJ36" s="1"/>
      <c r="VNK36" s="209"/>
      <c r="VNL36" s="1"/>
      <c r="VNM36" s="61"/>
      <c r="VNN36" s="1"/>
      <c r="VNO36" s="209"/>
      <c r="VNP36" s="1"/>
      <c r="VNQ36" s="61"/>
      <c r="VNR36" s="1"/>
      <c r="VNS36" s="209"/>
      <c r="VNT36" s="1"/>
      <c r="VNU36" s="61"/>
      <c r="VNV36" s="1"/>
      <c r="VNW36" s="209"/>
      <c r="VNX36" s="1"/>
      <c r="VNY36" s="61"/>
      <c r="VNZ36" s="1"/>
      <c r="VOA36" s="209"/>
      <c r="VOB36" s="1"/>
      <c r="VOC36" s="61"/>
      <c r="VOD36" s="1"/>
      <c r="VOE36" s="209"/>
      <c r="VOF36" s="1"/>
      <c r="VOG36" s="61"/>
      <c r="VOH36" s="1"/>
      <c r="VOI36" s="209"/>
      <c r="VOJ36" s="1"/>
      <c r="VOK36" s="61"/>
      <c r="VOL36" s="1"/>
      <c r="VOM36" s="209"/>
      <c r="VON36" s="1"/>
      <c r="VOO36" s="61"/>
      <c r="VOP36" s="1"/>
      <c r="VOQ36" s="209"/>
      <c r="VOR36" s="1"/>
      <c r="VOS36" s="61"/>
      <c r="VOT36" s="1"/>
      <c r="VOU36" s="209"/>
      <c r="VOV36" s="1"/>
      <c r="VOW36" s="61"/>
      <c r="VOX36" s="1"/>
      <c r="VOY36" s="209"/>
      <c r="VOZ36" s="1"/>
      <c r="VPA36" s="61"/>
      <c r="VPB36" s="1"/>
      <c r="VPC36" s="209"/>
      <c r="VPD36" s="1"/>
      <c r="VPE36" s="61"/>
      <c r="VPF36" s="1"/>
      <c r="VPG36" s="209"/>
      <c r="VPH36" s="1"/>
      <c r="VPI36" s="61"/>
      <c r="VPJ36" s="1"/>
      <c r="VPK36" s="209"/>
      <c r="VPL36" s="1"/>
      <c r="VPM36" s="61"/>
      <c r="VPN36" s="1"/>
      <c r="VPO36" s="209"/>
      <c r="VPP36" s="1"/>
      <c r="VPQ36" s="61"/>
      <c r="VPR36" s="1"/>
      <c r="VPS36" s="209"/>
      <c r="VPT36" s="1"/>
      <c r="VPU36" s="61"/>
      <c r="VPV36" s="1"/>
      <c r="VPW36" s="209"/>
      <c r="VPX36" s="1"/>
      <c r="VPY36" s="61"/>
      <c r="VPZ36" s="1"/>
      <c r="VQA36" s="209"/>
      <c r="VQB36" s="1"/>
      <c r="VQC36" s="61"/>
      <c r="VQD36" s="1"/>
      <c r="VQE36" s="209"/>
      <c r="VQF36" s="1"/>
      <c r="VQG36" s="61"/>
      <c r="VQH36" s="1"/>
      <c r="VQI36" s="209"/>
      <c r="VQJ36" s="1"/>
      <c r="VQK36" s="61"/>
      <c r="VQL36" s="1"/>
      <c r="VQM36" s="209"/>
      <c r="VQN36" s="1"/>
      <c r="VQO36" s="61"/>
      <c r="VQP36" s="1"/>
      <c r="VQQ36" s="209"/>
      <c r="VQR36" s="1"/>
      <c r="VQS36" s="61"/>
      <c r="VQT36" s="1"/>
      <c r="VQU36" s="209"/>
      <c r="VQV36" s="1"/>
      <c r="VQW36" s="61"/>
      <c r="VQX36" s="1"/>
      <c r="VQY36" s="209"/>
      <c r="VQZ36" s="1"/>
      <c r="VRA36" s="61"/>
      <c r="VRB36" s="1"/>
      <c r="VRC36" s="209"/>
      <c r="VRD36" s="1"/>
      <c r="VRE36" s="61"/>
      <c r="VRF36" s="1"/>
      <c r="VRG36" s="209"/>
      <c r="VRH36" s="1"/>
      <c r="VRI36" s="61"/>
      <c r="VRJ36" s="1"/>
      <c r="VRK36" s="209"/>
      <c r="VRL36" s="1"/>
      <c r="VRM36" s="61"/>
      <c r="VRN36" s="1"/>
      <c r="VRO36" s="209"/>
      <c r="VRP36" s="1"/>
      <c r="VRQ36" s="61"/>
      <c r="VRR36" s="1"/>
      <c r="VRS36" s="209"/>
      <c r="VRT36" s="1"/>
      <c r="VRU36" s="61"/>
      <c r="VRV36" s="1"/>
      <c r="VRW36" s="209"/>
      <c r="VRX36" s="1"/>
      <c r="VRY36" s="61"/>
      <c r="VRZ36" s="1"/>
      <c r="VSA36" s="209"/>
      <c r="VSB36" s="1"/>
      <c r="VSC36" s="61"/>
      <c r="VSD36" s="1"/>
      <c r="VSE36" s="209"/>
      <c r="VSF36" s="1"/>
      <c r="VSG36" s="61"/>
      <c r="VSH36" s="1"/>
      <c r="VSI36" s="209"/>
      <c r="VSJ36" s="1"/>
      <c r="VSK36" s="61"/>
      <c r="VSL36" s="1"/>
      <c r="VSM36" s="209"/>
      <c r="VSN36" s="1"/>
      <c r="VSO36" s="61"/>
      <c r="VSP36" s="1"/>
      <c r="VSQ36" s="209"/>
      <c r="VSR36" s="1"/>
      <c r="VSS36" s="61"/>
      <c r="VST36" s="1"/>
      <c r="VSU36" s="209"/>
      <c r="VSV36" s="1"/>
      <c r="VSW36" s="61"/>
      <c r="VSX36" s="1"/>
      <c r="VSY36" s="209"/>
      <c r="VSZ36" s="1"/>
      <c r="VTA36" s="61"/>
      <c r="VTB36" s="1"/>
      <c r="VTC36" s="209"/>
      <c r="VTD36" s="1"/>
      <c r="VTE36" s="61"/>
      <c r="VTF36" s="1"/>
      <c r="VTG36" s="209"/>
      <c r="VTH36" s="1"/>
      <c r="VTI36" s="61"/>
      <c r="VTJ36" s="1"/>
      <c r="VTK36" s="209"/>
      <c r="VTL36" s="1"/>
      <c r="VTM36" s="61"/>
      <c r="VTN36" s="1"/>
      <c r="VTO36" s="209"/>
      <c r="VTP36" s="1"/>
      <c r="VTQ36" s="61"/>
      <c r="VTR36" s="1"/>
      <c r="VTS36" s="209"/>
      <c r="VTT36" s="1"/>
      <c r="VTU36" s="61"/>
      <c r="VTV36" s="1"/>
      <c r="VTW36" s="209"/>
      <c r="VTX36" s="1"/>
      <c r="VTY36" s="61"/>
      <c r="VTZ36" s="1"/>
      <c r="VUA36" s="209"/>
      <c r="VUB36" s="1"/>
      <c r="VUC36" s="61"/>
      <c r="VUD36" s="1"/>
      <c r="VUE36" s="209"/>
      <c r="VUF36" s="1"/>
      <c r="VUG36" s="61"/>
      <c r="VUH36" s="1"/>
      <c r="VUI36" s="209"/>
      <c r="VUJ36" s="1"/>
      <c r="VUK36" s="61"/>
      <c r="VUL36" s="1"/>
      <c r="VUM36" s="209"/>
      <c r="VUN36" s="1"/>
      <c r="VUO36" s="61"/>
      <c r="VUP36" s="1"/>
      <c r="VUQ36" s="209"/>
      <c r="VUR36" s="1"/>
      <c r="VUS36" s="61"/>
      <c r="VUT36" s="1"/>
      <c r="VUU36" s="209"/>
      <c r="VUV36" s="1"/>
      <c r="VUW36" s="61"/>
      <c r="VUX36" s="1"/>
      <c r="VUY36" s="209"/>
      <c r="VUZ36" s="1"/>
      <c r="VVA36" s="61"/>
      <c r="VVB36" s="1"/>
      <c r="VVC36" s="209"/>
      <c r="VVD36" s="1"/>
      <c r="VVE36" s="61"/>
      <c r="VVF36" s="1"/>
      <c r="VVG36" s="209"/>
      <c r="VVH36" s="1"/>
      <c r="VVI36" s="61"/>
      <c r="VVJ36" s="1"/>
      <c r="VVK36" s="209"/>
      <c r="VVL36" s="1"/>
      <c r="VVM36" s="61"/>
      <c r="VVN36" s="1"/>
      <c r="VVO36" s="209"/>
      <c r="VVP36" s="1"/>
      <c r="VVQ36" s="61"/>
      <c r="VVR36" s="1"/>
      <c r="VVS36" s="209"/>
      <c r="VVT36" s="1"/>
      <c r="VVU36" s="61"/>
      <c r="VVV36" s="1"/>
      <c r="VVW36" s="209"/>
      <c r="VVX36" s="1"/>
      <c r="VVY36" s="61"/>
      <c r="VVZ36" s="1"/>
      <c r="VWA36" s="209"/>
      <c r="VWB36" s="1"/>
      <c r="VWC36" s="61"/>
      <c r="VWD36" s="1"/>
      <c r="VWE36" s="209"/>
      <c r="VWF36" s="1"/>
      <c r="VWG36" s="61"/>
      <c r="VWH36" s="1"/>
      <c r="VWI36" s="209"/>
      <c r="VWJ36" s="1"/>
      <c r="VWK36" s="61"/>
      <c r="VWL36" s="1"/>
      <c r="VWM36" s="209"/>
      <c r="VWN36" s="1"/>
      <c r="VWO36" s="61"/>
      <c r="VWP36" s="1"/>
      <c r="VWQ36" s="209"/>
      <c r="VWR36" s="1"/>
      <c r="VWS36" s="61"/>
      <c r="VWT36" s="1"/>
      <c r="VWU36" s="209"/>
      <c r="VWV36" s="1"/>
      <c r="VWW36" s="61"/>
      <c r="VWX36" s="1"/>
      <c r="VWY36" s="209"/>
      <c r="VWZ36" s="1"/>
      <c r="VXA36" s="61"/>
      <c r="VXB36" s="1"/>
      <c r="VXC36" s="209"/>
      <c r="VXD36" s="1"/>
      <c r="VXE36" s="61"/>
      <c r="VXF36" s="1"/>
      <c r="VXG36" s="209"/>
      <c r="VXH36" s="1"/>
      <c r="VXI36" s="61"/>
      <c r="VXJ36" s="1"/>
      <c r="VXK36" s="209"/>
      <c r="VXL36" s="1"/>
      <c r="VXM36" s="61"/>
      <c r="VXN36" s="1"/>
      <c r="VXO36" s="209"/>
      <c r="VXP36" s="1"/>
      <c r="VXQ36" s="61"/>
      <c r="VXR36" s="1"/>
      <c r="VXS36" s="209"/>
      <c r="VXT36" s="1"/>
      <c r="VXU36" s="61"/>
      <c r="VXV36" s="1"/>
      <c r="VXW36" s="209"/>
      <c r="VXX36" s="1"/>
      <c r="VXY36" s="61"/>
      <c r="VXZ36" s="1"/>
      <c r="VYA36" s="209"/>
      <c r="VYB36" s="1"/>
      <c r="VYC36" s="61"/>
      <c r="VYD36" s="1"/>
      <c r="VYE36" s="209"/>
      <c r="VYF36" s="1"/>
      <c r="VYG36" s="61"/>
      <c r="VYH36" s="1"/>
      <c r="VYI36" s="209"/>
      <c r="VYJ36" s="1"/>
      <c r="VYK36" s="61"/>
      <c r="VYL36" s="1"/>
      <c r="VYM36" s="209"/>
      <c r="VYN36" s="1"/>
      <c r="VYO36" s="61"/>
      <c r="VYP36" s="1"/>
      <c r="VYQ36" s="209"/>
      <c r="VYR36" s="1"/>
      <c r="VYS36" s="61"/>
      <c r="VYT36" s="1"/>
      <c r="VYU36" s="209"/>
      <c r="VYV36" s="1"/>
      <c r="VYW36" s="61"/>
      <c r="VYX36" s="1"/>
      <c r="VYY36" s="209"/>
      <c r="VYZ36" s="1"/>
      <c r="VZA36" s="61"/>
      <c r="VZB36" s="1"/>
      <c r="VZC36" s="209"/>
      <c r="VZD36" s="1"/>
      <c r="VZE36" s="61"/>
      <c r="VZF36" s="1"/>
      <c r="VZG36" s="209"/>
      <c r="VZH36" s="1"/>
      <c r="VZI36" s="61"/>
      <c r="VZJ36" s="1"/>
      <c r="VZK36" s="209"/>
      <c r="VZL36" s="1"/>
      <c r="VZM36" s="61"/>
      <c r="VZN36" s="1"/>
      <c r="VZO36" s="209"/>
      <c r="VZP36" s="1"/>
      <c r="VZQ36" s="61"/>
      <c r="VZR36" s="1"/>
      <c r="VZS36" s="209"/>
      <c r="VZT36" s="1"/>
      <c r="VZU36" s="61"/>
      <c r="VZV36" s="1"/>
      <c r="VZW36" s="209"/>
      <c r="VZX36" s="1"/>
      <c r="VZY36" s="61"/>
      <c r="VZZ36" s="1"/>
      <c r="WAA36" s="209"/>
      <c r="WAB36" s="1"/>
      <c r="WAC36" s="61"/>
      <c r="WAD36" s="1"/>
      <c r="WAE36" s="209"/>
      <c r="WAF36" s="1"/>
      <c r="WAG36" s="61"/>
      <c r="WAH36" s="1"/>
      <c r="WAI36" s="209"/>
      <c r="WAJ36" s="1"/>
      <c r="WAK36" s="61"/>
      <c r="WAL36" s="1"/>
      <c r="WAM36" s="209"/>
      <c r="WAN36" s="1"/>
      <c r="WAO36" s="61"/>
      <c r="WAP36" s="1"/>
      <c r="WAQ36" s="209"/>
      <c r="WAR36" s="1"/>
      <c r="WAS36" s="61"/>
      <c r="WAT36" s="1"/>
      <c r="WAU36" s="209"/>
      <c r="WAV36" s="1"/>
      <c r="WAW36" s="61"/>
      <c r="WAX36" s="1"/>
      <c r="WAY36" s="209"/>
      <c r="WAZ36" s="1"/>
      <c r="WBA36" s="61"/>
      <c r="WBB36" s="1"/>
      <c r="WBC36" s="209"/>
      <c r="WBD36" s="1"/>
      <c r="WBE36" s="61"/>
      <c r="WBF36" s="1"/>
      <c r="WBG36" s="209"/>
      <c r="WBH36" s="1"/>
      <c r="WBI36" s="61"/>
      <c r="WBJ36" s="1"/>
      <c r="WBK36" s="209"/>
      <c r="WBL36" s="1"/>
      <c r="WBM36" s="61"/>
      <c r="WBN36" s="1"/>
      <c r="WBO36" s="209"/>
      <c r="WBP36" s="1"/>
      <c r="WBQ36" s="61"/>
      <c r="WBR36" s="1"/>
      <c r="WBS36" s="209"/>
      <c r="WBT36" s="1"/>
      <c r="WBU36" s="61"/>
      <c r="WBV36" s="1"/>
      <c r="WBW36" s="209"/>
      <c r="WBX36" s="1"/>
      <c r="WBY36" s="61"/>
      <c r="WBZ36" s="1"/>
      <c r="WCA36" s="209"/>
      <c r="WCB36" s="1"/>
      <c r="WCC36" s="61"/>
      <c r="WCD36" s="1"/>
      <c r="WCE36" s="209"/>
      <c r="WCF36" s="1"/>
      <c r="WCG36" s="61"/>
      <c r="WCH36" s="1"/>
      <c r="WCI36" s="209"/>
      <c r="WCJ36" s="1"/>
      <c r="WCK36" s="61"/>
      <c r="WCL36" s="1"/>
      <c r="WCM36" s="209"/>
      <c r="WCN36" s="1"/>
      <c r="WCO36" s="61"/>
      <c r="WCP36" s="1"/>
      <c r="WCQ36" s="209"/>
      <c r="WCR36" s="1"/>
      <c r="WCS36" s="61"/>
      <c r="WCT36" s="1"/>
      <c r="WCU36" s="209"/>
      <c r="WCV36" s="1"/>
      <c r="WCW36" s="61"/>
      <c r="WCX36" s="1"/>
      <c r="WCY36" s="209"/>
      <c r="WCZ36" s="1"/>
      <c r="WDA36" s="61"/>
      <c r="WDB36" s="1"/>
      <c r="WDC36" s="209"/>
      <c r="WDD36" s="1"/>
      <c r="WDE36" s="61"/>
      <c r="WDF36" s="1"/>
      <c r="WDG36" s="209"/>
      <c r="WDH36" s="1"/>
      <c r="WDI36" s="61"/>
      <c r="WDJ36" s="1"/>
      <c r="WDK36" s="209"/>
      <c r="WDL36" s="1"/>
      <c r="WDM36" s="61"/>
      <c r="WDN36" s="1"/>
      <c r="WDO36" s="209"/>
      <c r="WDP36" s="1"/>
      <c r="WDQ36" s="61"/>
      <c r="WDR36" s="1"/>
      <c r="WDS36" s="209"/>
      <c r="WDT36" s="1"/>
      <c r="WDU36" s="61"/>
      <c r="WDV36" s="1"/>
      <c r="WDW36" s="209"/>
      <c r="WDX36" s="1"/>
      <c r="WDY36" s="61"/>
      <c r="WDZ36" s="1"/>
      <c r="WEA36" s="209"/>
      <c r="WEB36" s="1"/>
      <c r="WEC36" s="61"/>
      <c r="WED36" s="1"/>
      <c r="WEE36" s="209"/>
      <c r="WEF36" s="1"/>
      <c r="WEG36" s="61"/>
      <c r="WEH36" s="1"/>
      <c r="WEI36" s="209"/>
      <c r="WEJ36" s="1"/>
      <c r="WEK36" s="61"/>
      <c r="WEL36" s="1"/>
      <c r="WEM36" s="209"/>
      <c r="WEN36" s="1"/>
      <c r="WEO36" s="61"/>
      <c r="WEP36" s="1"/>
      <c r="WEQ36" s="209"/>
      <c r="WER36" s="1"/>
      <c r="WES36" s="61"/>
      <c r="WET36" s="1"/>
      <c r="WEU36" s="209"/>
      <c r="WEV36" s="1"/>
      <c r="WEW36" s="61"/>
      <c r="WEX36" s="1"/>
      <c r="WEY36" s="209"/>
      <c r="WEZ36" s="1"/>
      <c r="WFA36" s="61"/>
      <c r="WFB36" s="1"/>
      <c r="WFC36" s="209"/>
      <c r="WFD36" s="1"/>
      <c r="WFE36" s="61"/>
      <c r="WFF36" s="1"/>
      <c r="WFG36" s="209"/>
      <c r="WFH36" s="1"/>
      <c r="WFI36" s="61"/>
      <c r="WFJ36" s="1"/>
      <c r="WFK36" s="209"/>
      <c r="WFL36" s="1"/>
      <c r="WFM36" s="61"/>
      <c r="WFN36" s="1"/>
      <c r="WFO36" s="209"/>
      <c r="WFP36" s="1"/>
      <c r="WFQ36" s="61"/>
      <c r="WFR36" s="1"/>
      <c r="WFS36" s="209"/>
      <c r="WFT36" s="1"/>
      <c r="WFU36" s="61"/>
      <c r="WFV36" s="1"/>
      <c r="WFW36" s="209"/>
      <c r="WFX36" s="1"/>
      <c r="WFY36" s="61"/>
      <c r="WFZ36" s="1"/>
      <c r="WGA36" s="209"/>
      <c r="WGB36" s="1"/>
      <c r="WGC36" s="61"/>
      <c r="WGD36" s="1"/>
      <c r="WGE36" s="209"/>
      <c r="WGF36" s="1"/>
      <c r="WGG36" s="61"/>
      <c r="WGH36" s="1"/>
      <c r="WGI36" s="209"/>
      <c r="WGJ36" s="1"/>
      <c r="WGK36" s="61"/>
      <c r="WGL36" s="1"/>
      <c r="WGM36" s="209"/>
      <c r="WGN36" s="1"/>
      <c r="WGO36" s="61"/>
      <c r="WGP36" s="1"/>
      <c r="WGQ36" s="209"/>
      <c r="WGR36" s="1"/>
      <c r="WGS36" s="61"/>
      <c r="WGT36" s="1"/>
      <c r="WGU36" s="209"/>
      <c r="WGV36" s="1"/>
      <c r="WGW36" s="61"/>
      <c r="WGX36" s="1"/>
      <c r="WGY36" s="209"/>
      <c r="WGZ36" s="1"/>
      <c r="WHA36" s="61"/>
      <c r="WHB36" s="1"/>
      <c r="WHC36" s="209"/>
      <c r="WHD36" s="1"/>
      <c r="WHE36" s="61"/>
      <c r="WHF36" s="1"/>
      <c r="WHG36" s="209"/>
      <c r="WHH36" s="1"/>
      <c r="WHI36" s="61"/>
      <c r="WHJ36" s="1"/>
      <c r="WHK36" s="209"/>
      <c r="WHL36" s="1"/>
      <c r="WHM36" s="61"/>
      <c r="WHN36" s="1"/>
      <c r="WHO36" s="209"/>
      <c r="WHP36" s="1"/>
      <c r="WHQ36" s="61"/>
      <c r="WHR36" s="1"/>
      <c r="WHS36" s="209"/>
      <c r="WHT36" s="1"/>
      <c r="WHU36" s="61"/>
      <c r="WHV36" s="1"/>
      <c r="WHW36" s="209"/>
      <c r="WHX36" s="1"/>
      <c r="WHY36" s="61"/>
      <c r="WHZ36" s="1"/>
      <c r="WIA36" s="209"/>
      <c r="WIB36" s="1"/>
      <c r="WIC36" s="61"/>
      <c r="WID36" s="1"/>
      <c r="WIE36" s="209"/>
      <c r="WIF36" s="1"/>
      <c r="WIG36" s="61"/>
      <c r="WIH36" s="1"/>
      <c r="WII36" s="209"/>
      <c r="WIJ36" s="1"/>
      <c r="WIK36" s="61"/>
      <c r="WIL36" s="1"/>
      <c r="WIM36" s="209"/>
      <c r="WIN36" s="1"/>
      <c r="WIO36" s="61"/>
      <c r="WIP36" s="1"/>
      <c r="WIQ36" s="209"/>
      <c r="WIR36" s="1"/>
      <c r="WIS36" s="61"/>
      <c r="WIT36" s="1"/>
      <c r="WIU36" s="209"/>
      <c r="WIV36" s="1"/>
      <c r="WIW36" s="61"/>
      <c r="WIX36" s="1"/>
      <c r="WIY36" s="209"/>
      <c r="WIZ36" s="1"/>
      <c r="WJA36" s="61"/>
      <c r="WJB36" s="1"/>
      <c r="WJC36" s="209"/>
      <c r="WJD36" s="1"/>
      <c r="WJE36" s="61"/>
      <c r="WJF36" s="1"/>
      <c r="WJG36" s="209"/>
      <c r="WJH36" s="1"/>
      <c r="WJI36" s="61"/>
      <c r="WJJ36" s="1"/>
      <c r="WJK36" s="209"/>
      <c r="WJL36" s="1"/>
      <c r="WJM36" s="61"/>
      <c r="WJN36" s="1"/>
      <c r="WJO36" s="209"/>
      <c r="WJP36" s="1"/>
      <c r="WJQ36" s="61"/>
      <c r="WJR36" s="1"/>
      <c r="WJS36" s="209"/>
      <c r="WJT36" s="1"/>
      <c r="WJU36" s="61"/>
      <c r="WJV36" s="1"/>
      <c r="WJW36" s="209"/>
      <c r="WJX36" s="1"/>
      <c r="WJY36" s="61"/>
      <c r="WJZ36" s="1"/>
      <c r="WKA36" s="209"/>
      <c r="WKB36" s="1"/>
      <c r="WKC36" s="61"/>
      <c r="WKD36" s="1"/>
      <c r="WKE36" s="209"/>
      <c r="WKF36" s="1"/>
      <c r="WKG36" s="61"/>
      <c r="WKH36" s="1"/>
      <c r="WKI36" s="209"/>
      <c r="WKJ36" s="1"/>
      <c r="WKK36" s="61"/>
      <c r="WKL36" s="1"/>
      <c r="WKM36" s="209"/>
      <c r="WKN36" s="1"/>
      <c r="WKO36" s="61"/>
      <c r="WKP36" s="1"/>
      <c r="WKQ36" s="209"/>
      <c r="WKR36" s="1"/>
      <c r="WKS36" s="61"/>
      <c r="WKT36" s="1"/>
      <c r="WKU36" s="209"/>
      <c r="WKV36" s="1"/>
      <c r="WKW36" s="61"/>
      <c r="WKX36" s="1"/>
      <c r="WKY36" s="209"/>
      <c r="WKZ36" s="1"/>
      <c r="WLA36" s="61"/>
      <c r="WLB36" s="1"/>
      <c r="WLC36" s="209"/>
      <c r="WLD36" s="1"/>
      <c r="WLE36" s="61"/>
      <c r="WLF36" s="1"/>
      <c r="WLG36" s="209"/>
      <c r="WLH36" s="1"/>
      <c r="WLI36" s="61"/>
      <c r="WLJ36" s="1"/>
      <c r="WLK36" s="209"/>
      <c r="WLL36" s="1"/>
      <c r="WLM36" s="61"/>
      <c r="WLN36" s="1"/>
      <c r="WLO36" s="209"/>
      <c r="WLP36" s="1"/>
      <c r="WLQ36" s="61"/>
      <c r="WLR36" s="1"/>
      <c r="WLS36" s="209"/>
      <c r="WLT36" s="1"/>
      <c r="WLU36" s="61"/>
      <c r="WLV36" s="1"/>
      <c r="WLW36" s="209"/>
      <c r="WLX36" s="1"/>
      <c r="WLY36" s="61"/>
      <c r="WLZ36" s="1"/>
      <c r="WMA36" s="209"/>
      <c r="WMB36" s="1"/>
      <c r="WMC36" s="61"/>
      <c r="WMD36" s="1"/>
      <c r="WME36" s="209"/>
      <c r="WMF36" s="1"/>
      <c r="WMG36" s="61"/>
      <c r="WMH36" s="1"/>
      <c r="WMI36" s="209"/>
      <c r="WMJ36" s="1"/>
      <c r="WMK36" s="61"/>
      <c r="WML36" s="1"/>
      <c r="WMM36" s="209"/>
      <c r="WMN36" s="1"/>
      <c r="WMO36" s="61"/>
      <c r="WMP36" s="1"/>
      <c r="WMQ36" s="209"/>
      <c r="WMR36" s="1"/>
      <c r="WMS36" s="61"/>
      <c r="WMT36" s="1"/>
      <c r="WMU36" s="209"/>
      <c r="WMV36" s="1"/>
      <c r="WMW36" s="61"/>
      <c r="WMX36" s="1"/>
      <c r="WMY36" s="209"/>
      <c r="WMZ36" s="1"/>
      <c r="WNA36" s="61"/>
      <c r="WNB36" s="1"/>
      <c r="WNC36" s="209"/>
      <c r="WND36" s="1"/>
      <c r="WNE36" s="61"/>
      <c r="WNF36" s="1"/>
      <c r="WNG36" s="209"/>
      <c r="WNH36" s="1"/>
      <c r="WNI36" s="61"/>
      <c r="WNJ36" s="1"/>
      <c r="WNK36" s="209"/>
      <c r="WNL36" s="1"/>
      <c r="WNM36" s="61"/>
      <c r="WNN36" s="1"/>
      <c r="WNO36" s="209"/>
      <c r="WNP36" s="1"/>
      <c r="WNQ36" s="61"/>
      <c r="WNR36" s="1"/>
      <c r="WNS36" s="209"/>
      <c r="WNT36" s="1"/>
      <c r="WNU36" s="61"/>
      <c r="WNV36" s="1"/>
      <c r="WNW36" s="209"/>
      <c r="WNX36" s="1"/>
      <c r="WNY36" s="61"/>
      <c r="WNZ36" s="1"/>
      <c r="WOA36" s="209"/>
      <c r="WOB36" s="1"/>
      <c r="WOC36" s="61"/>
      <c r="WOD36" s="1"/>
      <c r="WOE36" s="209"/>
      <c r="WOF36" s="1"/>
      <c r="WOG36" s="61"/>
      <c r="WOH36" s="1"/>
      <c r="WOI36" s="209"/>
      <c r="WOJ36" s="1"/>
      <c r="WOK36" s="61"/>
      <c r="WOL36" s="1"/>
      <c r="WOM36" s="209"/>
      <c r="WON36" s="1"/>
      <c r="WOO36" s="61"/>
      <c r="WOP36" s="1"/>
      <c r="WOQ36" s="209"/>
      <c r="WOR36" s="1"/>
      <c r="WOS36" s="61"/>
      <c r="WOT36" s="1"/>
      <c r="WOU36" s="209"/>
      <c r="WOV36" s="1"/>
      <c r="WOW36" s="61"/>
      <c r="WOX36" s="1"/>
      <c r="WOY36" s="209"/>
      <c r="WOZ36" s="1"/>
      <c r="WPA36" s="61"/>
      <c r="WPB36" s="1"/>
      <c r="WPC36" s="209"/>
      <c r="WPD36" s="1"/>
      <c r="WPE36" s="61"/>
      <c r="WPF36" s="1"/>
      <c r="WPG36" s="209"/>
      <c r="WPH36" s="1"/>
      <c r="WPI36" s="61"/>
      <c r="WPJ36" s="1"/>
      <c r="WPK36" s="209"/>
      <c r="WPL36" s="1"/>
      <c r="WPM36" s="61"/>
      <c r="WPN36" s="1"/>
      <c r="WPO36" s="209"/>
      <c r="WPP36" s="1"/>
      <c r="WPQ36" s="61"/>
      <c r="WPR36" s="1"/>
      <c r="WPS36" s="209"/>
      <c r="WPT36" s="1"/>
      <c r="WPU36" s="61"/>
      <c r="WPV36" s="1"/>
      <c r="WPW36" s="209"/>
      <c r="WPX36" s="1"/>
      <c r="WPY36" s="61"/>
      <c r="WPZ36" s="1"/>
      <c r="WQA36" s="209"/>
      <c r="WQB36" s="1"/>
      <c r="WQC36" s="61"/>
      <c r="WQD36" s="1"/>
      <c r="WQE36" s="209"/>
      <c r="WQF36" s="1"/>
      <c r="WQG36" s="61"/>
      <c r="WQH36" s="1"/>
      <c r="WQI36" s="209"/>
      <c r="WQJ36" s="1"/>
      <c r="WQK36" s="61"/>
      <c r="WQL36" s="1"/>
      <c r="WQM36" s="209"/>
      <c r="WQN36" s="1"/>
      <c r="WQO36" s="61"/>
      <c r="WQP36" s="1"/>
      <c r="WQQ36" s="209"/>
      <c r="WQR36" s="1"/>
      <c r="WQS36" s="61"/>
      <c r="WQT36" s="1"/>
      <c r="WQU36" s="209"/>
      <c r="WQV36" s="1"/>
      <c r="WQW36" s="61"/>
      <c r="WQX36" s="1"/>
      <c r="WQY36" s="209"/>
      <c r="WQZ36" s="1"/>
      <c r="WRA36" s="61"/>
      <c r="WRB36" s="1"/>
      <c r="WRC36" s="209"/>
      <c r="WRD36" s="1"/>
      <c r="WRE36" s="61"/>
      <c r="WRF36" s="1"/>
      <c r="WRG36" s="209"/>
      <c r="WRH36" s="1"/>
      <c r="WRI36" s="61"/>
      <c r="WRJ36" s="1"/>
      <c r="WRK36" s="209"/>
      <c r="WRL36" s="1"/>
      <c r="WRM36" s="61"/>
      <c r="WRN36" s="1"/>
      <c r="WRO36" s="209"/>
      <c r="WRP36" s="1"/>
      <c r="WRQ36" s="61"/>
      <c r="WRR36" s="1"/>
      <c r="WRS36" s="209"/>
      <c r="WRT36" s="1"/>
      <c r="WRU36" s="61"/>
      <c r="WRV36" s="1"/>
      <c r="WRW36" s="209"/>
      <c r="WRX36" s="1"/>
      <c r="WRY36" s="61"/>
      <c r="WRZ36" s="1"/>
      <c r="WSA36" s="209"/>
      <c r="WSB36" s="1"/>
      <c r="WSC36" s="61"/>
      <c r="WSD36" s="1"/>
      <c r="WSE36" s="209"/>
      <c r="WSF36" s="1"/>
      <c r="WSG36" s="61"/>
      <c r="WSH36" s="1"/>
      <c r="WSI36" s="209"/>
      <c r="WSJ36" s="1"/>
      <c r="WSK36" s="61"/>
      <c r="WSL36" s="1"/>
      <c r="WSM36" s="209"/>
      <c r="WSN36" s="1"/>
      <c r="WSO36" s="61"/>
      <c r="WSP36" s="1"/>
      <c r="WSQ36" s="209"/>
      <c r="WSR36" s="1"/>
      <c r="WSS36" s="61"/>
      <c r="WST36" s="1"/>
      <c r="WSU36" s="209"/>
      <c r="WSV36" s="1"/>
      <c r="WSW36" s="61"/>
      <c r="WSX36" s="1"/>
      <c r="WSY36" s="209"/>
      <c r="WSZ36" s="1"/>
      <c r="WTA36" s="61"/>
      <c r="WTB36" s="1"/>
      <c r="WTC36" s="209"/>
      <c r="WTD36" s="1"/>
      <c r="WTE36" s="61"/>
      <c r="WTF36" s="1"/>
      <c r="WTG36" s="209"/>
      <c r="WTH36" s="1"/>
      <c r="WTI36" s="61"/>
      <c r="WTJ36" s="1"/>
      <c r="WTK36" s="209"/>
      <c r="WTL36" s="1"/>
      <c r="WTM36" s="61"/>
      <c r="WTN36" s="1"/>
      <c r="WTO36" s="209"/>
      <c r="WTP36" s="1"/>
      <c r="WTQ36" s="61"/>
      <c r="WTR36" s="1"/>
      <c r="WTS36" s="209"/>
      <c r="WTT36" s="1"/>
      <c r="WTU36" s="61"/>
      <c r="WTV36" s="1"/>
      <c r="WTW36" s="209"/>
      <c r="WTX36" s="1"/>
      <c r="WTY36" s="61"/>
      <c r="WTZ36" s="1"/>
      <c r="WUA36" s="209"/>
      <c r="WUB36" s="1"/>
      <c r="WUC36" s="61"/>
      <c r="WUD36" s="1"/>
      <c r="WUE36" s="209"/>
      <c r="WUF36" s="1"/>
      <c r="WUG36" s="61"/>
      <c r="WUH36" s="1"/>
      <c r="WUI36" s="209"/>
      <c r="WUJ36" s="1"/>
      <c r="WUK36" s="61"/>
      <c r="WUL36" s="1"/>
      <c r="WUM36" s="209"/>
      <c r="WUN36" s="1"/>
      <c r="WUO36" s="61"/>
      <c r="WUP36" s="1"/>
      <c r="WUQ36" s="209"/>
      <c r="WUR36" s="1"/>
      <c r="WUS36" s="61"/>
      <c r="WUT36" s="1"/>
      <c r="WUU36" s="209"/>
      <c r="WUV36" s="1"/>
      <c r="WUW36" s="61"/>
      <c r="WUX36" s="1"/>
      <c r="WUY36" s="209"/>
      <c r="WUZ36" s="1"/>
      <c r="WVA36" s="61"/>
      <c r="WVB36" s="1"/>
      <c r="WVC36" s="209"/>
      <c r="WVD36" s="1"/>
      <c r="WVE36" s="61"/>
      <c r="WVF36" s="1"/>
      <c r="WVG36" s="209"/>
      <c r="WVH36" s="1"/>
      <c r="WVI36" s="61"/>
      <c r="WVJ36" s="1"/>
      <c r="WVK36" s="209"/>
      <c r="WVL36" s="1"/>
      <c r="WVM36" s="61"/>
      <c r="WVN36" s="1"/>
      <c r="WVO36" s="209"/>
      <c r="WVP36" s="1"/>
      <c r="WVQ36" s="61"/>
      <c r="WVR36" s="1"/>
      <c r="WVS36" s="209"/>
      <c r="WVT36" s="1"/>
      <c r="WVU36" s="61"/>
      <c r="WVV36" s="1"/>
      <c r="WVW36" s="209"/>
      <c r="WVX36" s="1"/>
      <c r="WVY36" s="61"/>
      <c r="WVZ36" s="1"/>
      <c r="WWA36" s="209"/>
      <c r="WWB36" s="1"/>
      <c r="WWC36" s="61"/>
      <c r="WWD36" s="1"/>
      <c r="WWE36" s="209"/>
      <c r="WWF36" s="1"/>
      <c r="WWG36" s="61"/>
      <c r="WWH36" s="1"/>
      <c r="WWI36" s="209"/>
      <c r="WWJ36" s="1"/>
      <c r="WWK36" s="61"/>
      <c r="WWL36" s="1"/>
      <c r="WWM36" s="209"/>
      <c r="WWN36" s="1"/>
      <c r="WWO36" s="61"/>
      <c r="WWP36" s="1"/>
      <c r="WWQ36" s="209"/>
      <c r="WWR36" s="1"/>
      <c r="WWS36" s="61"/>
      <c r="WWT36" s="1"/>
      <c r="WWU36" s="209"/>
      <c r="WWV36" s="1"/>
      <c r="WWW36" s="61"/>
      <c r="WWX36" s="1"/>
      <c r="WWY36" s="209"/>
      <c r="WWZ36" s="1"/>
      <c r="WXA36" s="61"/>
      <c r="WXB36" s="1"/>
      <c r="WXC36" s="209"/>
      <c r="WXD36" s="1"/>
      <c r="WXE36" s="61"/>
      <c r="WXF36" s="1"/>
      <c r="WXG36" s="209"/>
      <c r="WXH36" s="1"/>
      <c r="WXI36" s="61"/>
      <c r="WXJ36" s="1"/>
      <c r="WXK36" s="209"/>
      <c r="WXL36" s="1"/>
      <c r="WXM36" s="61"/>
      <c r="WXN36" s="1"/>
      <c r="WXO36" s="209"/>
      <c r="WXP36" s="1"/>
      <c r="WXQ36" s="61"/>
      <c r="WXR36" s="1"/>
      <c r="WXS36" s="209"/>
      <c r="WXT36" s="1"/>
      <c r="WXU36" s="61"/>
      <c r="WXV36" s="1"/>
      <c r="WXW36" s="209"/>
      <c r="WXX36" s="1"/>
      <c r="WXY36" s="61"/>
      <c r="WXZ36" s="1"/>
      <c r="WYA36" s="209"/>
      <c r="WYB36" s="1"/>
      <c r="WYC36" s="61"/>
      <c r="WYD36" s="1"/>
      <c r="WYE36" s="209"/>
      <c r="WYF36" s="1"/>
      <c r="WYG36" s="61"/>
      <c r="WYH36" s="1"/>
      <c r="WYI36" s="209"/>
      <c r="WYJ36" s="1"/>
      <c r="WYK36" s="61"/>
      <c r="WYL36" s="1"/>
      <c r="WYM36" s="209"/>
      <c r="WYN36" s="1"/>
      <c r="WYO36" s="61"/>
      <c r="WYP36" s="1"/>
      <c r="WYQ36" s="209"/>
      <c r="WYR36" s="1"/>
      <c r="WYS36" s="61"/>
      <c r="WYT36" s="1"/>
      <c r="WYU36" s="209"/>
      <c r="WYV36" s="1"/>
      <c r="WYW36" s="61"/>
      <c r="WYX36" s="1"/>
      <c r="WYY36" s="209"/>
      <c r="WYZ36" s="1"/>
      <c r="WZA36" s="61"/>
      <c r="WZB36" s="1"/>
      <c r="WZC36" s="209"/>
      <c r="WZD36" s="1"/>
      <c r="WZE36" s="61"/>
      <c r="WZF36" s="1"/>
      <c r="WZG36" s="209"/>
      <c r="WZH36" s="1"/>
      <c r="WZI36" s="61"/>
      <c r="WZJ36" s="1"/>
      <c r="WZK36" s="209"/>
      <c r="WZL36" s="1"/>
      <c r="WZM36" s="61"/>
      <c r="WZN36" s="1"/>
      <c r="WZO36" s="209"/>
      <c r="WZP36" s="1"/>
      <c r="WZQ36" s="61"/>
      <c r="WZR36" s="1"/>
      <c r="WZS36" s="209"/>
      <c r="WZT36" s="1"/>
      <c r="WZU36" s="61"/>
      <c r="WZV36" s="1"/>
      <c r="WZW36" s="209"/>
      <c r="WZX36" s="1"/>
      <c r="WZY36" s="61"/>
      <c r="WZZ36" s="1"/>
      <c r="XAA36" s="209"/>
      <c r="XAB36" s="1"/>
      <c r="XAC36" s="61"/>
      <c r="XAD36" s="1"/>
      <c r="XAE36" s="209"/>
      <c r="XAF36" s="1"/>
      <c r="XAG36" s="61"/>
      <c r="XAH36" s="1"/>
      <c r="XAI36" s="209"/>
      <c r="XAJ36" s="1"/>
      <c r="XAK36" s="61"/>
      <c r="XAL36" s="1"/>
      <c r="XAM36" s="209"/>
      <c r="XAN36" s="1"/>
      <c r="XAO36" s="61"/>
      <c r="XAP36" s="1"/>
      <c r="XAQ36" s="209"/>
      <c r="XAR36" s="1"/>
      <c r="XAS36" s="61"/>
      <c r="XAT36" s="1"/>
      <c r="XAU36" s="209"/>
      <c r="XAV36" s="1"/>
      <c r="XAW36" s="61"/>
      <c r="XAX36" s="1"/>
      <c r="XAY36" s="209"/>
      <c r="XAZ36" s="1"/>
      <c r="XBA36" s="61"/>
      <c r="XBB36" s="1"/>
      <c r="XBC36" s="209"/>
      <c r="XBD36" s="1"/>
      <c r="XBE36" s="61"/>
      <c r="XBF36" s="1"/>
      <c r="XBG36" s="209"/>
      <c r="XBH36" s="1"/>
      <c r="XBI36" s="61"/>
      <c r="XBJ36" s="1"/>
      <c r="XBK36" s="209"/>
      <c r="XBL36" s="1"/>
      <c r="XBM36" s="61"/>
      <c r="XBN36" s="1"/>
      <c r="XBO36" s="209"/>
      <c r="XBP36" s="1"/>
      <c r="XBQ36" s="61"/>
      <c r="XBR36" s="1"/>
      <c r="XBS36" s="209"/>
      <c r="XBT36" s="1"/>
      <c r="XBU36" s="61"/>
      <c r="XBV36" s="1"/>
      <c r="XBW36" s="209"/>
      <c r="XBX36" s="1"/>
      <c r="XBY36" s="61"/>
      <c r="XBZ36" s="1"/>
      <c r="XCA36" s="209"/>
      <c r="XCB36" s="1"/>
      <c r="XCC36" s="61"/>
      <c r="XCD36" s="1"/>
      <c r="XCE36" s="209"/>
      <c r="XCF36" s="1"/>
      <c r="XCG36" s="61"/>
      <c r="XCH36" s="1"/>
      <c r="XCI36" s="209"/>
      <c r="XCJ36" s="1"/>
      <c r="XCK36" s="61"/>
      <c r="XCL36" s="1"/>
      <c r="XCM36" s="209"/>
      <c r="XCN36" s="1"/>
      <c r="XCO36" s="61"/>
      <c r="XCP36" s="1"/>
      <c r="XCQ36" s="209"/>
      <c r="XCR36" s="1"/>
      <c r="XCS36" s="61"/>
      <c r="XCT36" s="1"/>
      <c r="XCU36" s="209"/>
      <c r="XCV36" s="1"/>
      <c r="XCW36" s="61"/>
      <c r="XCX36" s="1"/>
      <c r="XCY36" s="209"/>
      <c r="XCZ36" s="1"/>
      <c r="XDA36" s="61"/>
      <c r="XDB36" s="1"/>
      <c r="XDC36" s="209"/>
      <c r="XDD36" s="1"/>
      <c r="XDE36" s="61"/>
      <c r="XDF36" s="1"/>
      <c r="XDG36" s="209"/>
      <c r="XDH36" s="1"/>
      <c r="XDI36" s="61"/>
      <c r="XDJ36" s="1"/>
      <c r="XDK36" s="209"/>
      <c r="XDL36" s="1"/>
      <c r="XDM36" s="61"/>
      <c r="XDN36" s="1"/>
      <c r="XDO36" s="209"/>
      <c r="XDP36" s="1"/>
      <c r="XDQ36" s="61"/>
      <c r="XDR36" s="1"/>
      <c r="XDS36" s="209"/>
      <c r="XDT36" s="1"/>
      <c r="XDU36" s="61"/>
      <c r="XDV36" s="1"/>
      <c r="XDW36" s="209"/>
      <c r="XDX36" s="1"/>
      <c r="XDY36" s="61"/>
      <c r="XDZ36" s="1"/>
      <c r="XEA36" s="209"/>
      <c r="XEB36" s="1"/>
      <c r="XEC36" s="61"/>
      <c r="XED36" s="1"/>
      <c r="XEE36" s="209"/>
      <c r="XEF36" s="1"/>
      <c r="XEG36" s="61"/>
      <c r="XEH36" s="1"/>
      <c r="XEI36" s="209"/>
      <c r="XEJ36" s="1"/>
      <c r="XEK36" s="61"/>
      <c r="XEL36" s="1"/>
      <c r="XEM36" s="209"/>
      <c r="XEN36" s="1"/>
      <c r="XEO36" s="61"/>
      <c r="XEP36" s="1"/>
      <c r="XEQ36" s="209"/>
      <c r="XER36" s="1"/>
      <c r="XES36" s="61"/>
      <c r="XET36" s="1"/>
      <c r="XEU36" s="209"/>
      <c r="XEV36" s="1"/>
      <c r="XEW36" s="61"/>
      <c r="XEX36" s="1"/>
      <c r="XEY36" s="209"/>
      <c r="XEZ36" s="1"/>
      <c r="XFA36" s="61"/>
      <c r="XFB36" s="1"/>
      <c r="XFC36" s="209"/>
      <c r="XFD36" s="1"/>
    </row>
    <row r="37" spans="1:16384" ht="16.5" x14ac:dyDescent="0.3">
      <c r="A37" s="61"/>
      <c r="B37" s="1"/>
      <c r="C37" s="1"/>
      <c r="D37" s="1"/>
      <c r="E37" s="179"/>
    </row>
    <row r="38" spans="1:16384" ht="16.5" x14ac:dyDescent="0.3">
      <c r="A38" s="61"/>
      <c r="B38" s="1"/>
      <c r="C38" s="1"/>
      <c r="D38" s="1"/>
      <c r="E38" s="179"/>
    </row>
    <row r="39" spans="1:16384" ht="16.5" x14ac:dyDescent="0.3">
      <c r="A39" s="61"/>
      <c r="B39" s="1"/>
      <c r="C39" s="1"/>
      <c r="D39" s="1"/>
      <c r="E39" s="179"/>
    </row>
    <row r="40" spans="1:16384" ht="16.5" x14ac:dyDescent="0.3">
      <c r="A40" s="61"/>
      <c r="B40" s="1"/>
      <c r="C40" s="1"/>
      <c r="D40" s="1"/>
      <c r="E40" s="179"/>
    </row>
    <row r="41" spans="1:16384" s="179" customFormat="1" ht="16.5" x14ac:dyDescent="0.3">
      <c r="A41" s="61"/>
      <c r="B41" s="1"/>
      <c r="C41" s="1"/>
      <c r="D41" s="1"/>
    </row>
    <row r="42" spans="1:16384" s="1" customFormat="1" ht="16.5" x14ac:dyDescent="0.3">
      <c r="A42" s="210"/>
      <c r="B42" s="210" t="s">
        <v>143</v>
      </c>
      <c r="C42" s="210"/>
      <c r="D42" s="210"/>
    </row>
    <row r="43" spans="1:16384" s="1" customFormat="1" ht="16.5" x14ac:dyDescent="0.3"/>
    <row r="44" spans="1:16384" s="1" customFormat="1" ht="16.5" x14ac:dyDescent="0.3"/>
    <row r="45" spans="1:16384" s="1" customFormat="1" ht="16.5" x14ac:dyDescent="0.3"/>
    <row r="46" spans="1:16384" s="1" customFormat="1" ht="16.5" x14ac:dyDescent="0.3"/>
    <row r="47" spans="1:16384" s="1" customFormat="1" ht="16.5" x14ac:dyDescent="0.3"/>
    <row r="48" spans="1:16384" s="1" customFormat="1" ht="16.5" x14ac:dyDescent="0.3"/>
    <row r="49" s="1" customFormat="1" ht="16.5" x14ac:dyDescent="0.3"/>
    <row r="50" s="1" customFormat="1" ht="16.5" x14ac:dyDescent="0.3"/>
    <row r="51" s="1" customFormat="1" ht="16.5" x14ac:dyDescent="0.3"/>
    <row r="52" s="1" customFormat="1" ht="16.5" x14ac:dyDescent="0.3"/>
    <row r="53" s="1" customFormat="1" ht="16.5" x14ac:dyDescent="0.3"/>
    <row r="54" s="1" customFormat="1" ht="16.5" x14ac:dyDescent="0.3"/>
    <row r="55" s="1" customFormat="1" ht="16.5" x14ac:dyDescent="0.3"/>
    <row r="56" s="1" customFormat="1" ht="16.5" x14ac:dyDescent="0.3"/>
    <row r="57" s="1" customFormat="1" ht="16.5" x14ac:dyDescent="0.3"/>
    <row r="58" s="1" customFormat="1" ht="16.5" x14ac:dyDescent="0.3"/>
    <row r="59" s="1" customFormat="1" ht="16.5" x14ac:dyDescent="0.3"/>
    <row r="60" s="1" customFormat="1" ht="16.5" x14ac:dyDescent="0.3"/>
    <row r="61" s="1" customFormat="1" ht="16.5" x14ac:dyDescent="0.3"/>
    <row r="62" s="1" customFormat="1" ht="16.5" x14ac:dyDescent="0.3"/>
    <row r="63" s="1" customFormat="1" ht="16.5" x14ac:dyDescent="0.3"/>
    <row r="64" s="1" customFormat="1" ht="16.5" x14ac:dyDescent="0.3"/>
    <row r="65" s="1" customFormat="1" ht="16.5" x14ac:dyDescent="0.3"/>
    <row r="66" s="1" customFormat="1" ht="16.5" x14ac:dyDescent="0.3"/>
    <row r="67" s="1" customFormat="1" ht="16.5" x14ac:dyDescent="0.3"/>
    <row r="68" s="1" customFormat="1" ht="16.5" x14ac:dyDescent="0.3"/>
    <row r="69" s="1" customFormat="1" ht="16.5" x14ac:dyDescent="0.3"/>
    <row r="70" s="1" customFormat="1" ht="16.5" x14ac:dyDescent="0.3"/>
    <row r="71" s="1" customFormat="1" ht="16.5" x14ac:dyDescent="0.3"/>
    <row r="72" s="1" customFormat="1" ht="16.5" x14ac:dyDescent="0.3"/>
    <row r="73" s="1" customFormat="1" ht="16.5" x14ac:dyDescent="0.3"/>
    <row r="74" s="1" customFormat="1" ht="16.5" x14ac:dyDescent="0.3"/>
    <row r="75" s="1" customFormat="1" ht="16.5" x14ac:dyDescent="0.3"/>
    <row r="76" s="1" customFormat="1" ht="16.5" x14ac:dyDescent="0.3"/>
    <row r="77" s="1" customFormat="1" ht="16.5" x14ac:dyDescent="0.3"/>
    <row r="78" s="1" customFormat="1" ht="16.5" x14ac:dyDescent="0.3"/>
    <row r="79" s="1" customFormat="1" ht="16.5" x14ac:dyDescent="0.3"/>
    <row r="80" s="1" customFormat="1" ht="16.5" x14ac:dyDescent="0.3"/>
    <row r="81" s="1" customFormat="1" ht="16.5" x14ac:dyDescent="0.3"/>
    <row r="82" s="1" customFormat="1" ht="16.5" x14ac:dyDescent="0.3"/>
    <row r="83" s="1" customFormat="1" ht="16.5" x14ac:dyDescent="0.3"/>
    <row r="84" s="1" customFormat="1" ht="16.5" x14ac:dyDescent="0.3"/>
    <row r="85" s="1" customFormat="1" ht="16.5" x14ac:dyDescent="0.3"/>
    <row r="86" s="1" customFormat="1" ht="16.5" x14ac:dyDescent="0.3"/>
    <row r="87" s="1" customFormat="1" ht="16.5" x14ac:dyDescent="0.3"/>
    <row r="88" s="1" customFormat="1" ht="16.5" x14ac:dyDescent="0.3"/>
    <row r="89" s="1" customFormat="1" ht="16.5" x14ac:dyDescent="0.3"/>
    <row r="90" s="1" customFormat="1" ht="16.5" x14ac:dyDescent="0.3"/>
    <row r="91" s="1" customFormat="1" ht="16.5" x14ac:dyDescent="0.3"/>
    <row r="92" s="1" customFormat="1" ht="16.5" x14ac:dyDescent="0.3"/>
    <row r="93" s="1" customFormat="1" ht="16.5" x14ac:dyDescent="0.3"/>
    <row r="94" s="1" customFormat="1" ht="16.5" x14ac:dyDescent="0.3"/>
    <row r="95" s="1" customFormat="1" ht="16.5" x14ac:dyDescent="0.3"/>
    <row r="96" s="1" customFormat="1" ht="16.5" x14ac:dyDescent="0.3"/>
    <row r="97" s="1" customFormat="1" ht="16.5" x14ac:dyDescent="0.3"/>
    <row r="98" s="1" customFormat="1" ht="16.5" x14ac:dyDescent="0.3"/>
    <row r="99" s="1" customFormat="1" ht="16.5" x14ac:dyDescent="0.3"/>
    <row r="100" s="1" customFormat="1" ht="16.5" x14ac:dyDescent="0.3"/>
    <row r="101" s="1" customFormat="1" ht="16.5" x14ac:dyDescent="0.3"/>
    <row r="102" s="1" customFormat="1" ht="16.5" x14ac:dyDescent="0.3"/>
    <row r="103" s="1" customFormat="1" ht="16.5" x14ac:dyDescent="0.3"/>
    <row r="104" s="1" customFormat="1" ht="16.5" x14ac:dyDescent="0.3"/>
    <row r="105" s="1" customFormat="1" ht="16.5" x14ac:dyDescent="0.3"/>
    <row r="106" s="1" customFormat="1" ht="16.5" x14ac:dyDescent="0.3"/>
    <row r="107" s="1" customFormat="1" ht="16.5" x14ac:dyDescent="0.3"/>
    <row r="108" s="1" customFormat="1" ht="16.5" x14ac:dyDescent="0.3"/>
    <row r="109" s="1" customFormat="1" ht="16.5" x14ac:dyDescent="0.3"/>
    <row r="110" s="1" customFormat="1" ht="16.5" x14ac:dyDescent="0.3"/>
    <row r="111" s="1" customFormat="1" ht="16.5" x14ac:dyDescent="0.3"/>
    <row r="112" s="1" customFormat="1" ht="16.5" x14ac:dyDescent="0.3"/>
    <row r="113" s="1" customFormat="1" ht="16.5" x14ac:dyDescent="0.3"/>
    <row r="114" s="1" customFormat="1" ht="16.5" x14ac:dyDescent="0.3"/>
    <row r="115" s="1" customFormat="1" ht="16.5" x14ac:dyDescent="0.3"/>
    <row r="116" s="1" customFormat="1" ht="16.5" x14ac:dyDescent="0.3"/>
    <row r="117" s="1" customFormat="1" ht="16.5" x14ac:dyDescent="0.3"/>
    <row r="118" s="1" customFormat="1" ht="16.5" x14ac:dyDescent="0.3"/>
    <row r="119" s="1" customFormat="1" ht="16.5" x14ac:dyDescent="0.3"/>
    <row r="120" s="1" customFormat="1" ht="16.5" x14ac:dyDescent="0.3"/>
    <row r="121" s="1" customFormat="1" ht="16.5" x14ac:dyDescent="0.3"/>
    <row r="122" s="1" customFormat="1" ht="16.5" x14ac:dyDescent="0.3"/>
    <row r="123" s="1" customFormat="1" ht="16.5" x14ac:dyDescent="0.3"/>
    <row r="124" s="1" customFormat="1" ht="16.5" x14ac:dyDescent="0.3"/>
    <row r="125" s="1" customFormat="1" ht="16.5" x14ac:dyDescent="0.3"/>
    <row r="126" s="1" customFormat="1" ht="16.5" x14ac:dyDescent="0.3"/>
    <row r="127" s="1" customFormat="1" ht="16.5" x14ac:dyDescent="0.3"/>
    <row r="128" s="1" customFormat="1" ht="16.5" x14ac:dyDescent="0.3"/>
    <row r="129" s="1" customFormat="1" ht="16.5" x14ac:dyDescent="0.3"/>
    <row r="130" s="1" customFormat="1" ht="16.5" x14ac:dyDescent="0.3"/>
    <row r="131" s="1" customFormat="1" ht="16.5" x14ac:dyDescent="0.3"/>
    <row r="132" s="1" customFormat="1" ht="16.5" x14ac:dyDescent="0.3"/>
    <row r="133" s="1" customFormat="1" ht="16.5" x14ac:dyDescent="0.3"/>
    <row r="134" s="1" customFormat="1" ht="16.5" x14ac:dyDescent="0.3"/>
    <row r="135" s="1" customFormat="1" ht="16.5" x14ac:dyDescent="0.3"/>
    <row r="136" s="1" customFormat="1" ht="16.5" x14ac:dyDescent="0.3"/>
    <row r="137" s="1" customFormat="1" ht="16.5" x14ac:dyDescent="0.3"/>
    <row r="138" s="1" customFormat="1" ht="16.5" x14ac:dyDescent="0.3"/>
    <row r="139" s="1" customFormat="1" ht="16.5" x14ac:dyDescent="0.3"/>
    <row r="140" s="1" customFormat="1" ht="16.5" x14ac:dyDescent="0.3"/>
    <row r="141" s="1" customFormat="1" ht="16.5" x14ac:dyDescent="0.3"/>
    <row r="142" s="1" customFormat="1" ht="16.5" x14ac:dyDescent="0.3"/>
    <row r="143" s="1" customFormat="1" ht="16.5" x14ac:dyDescent="0.3"/>
    <row r="144" s="1" customFormat="1" ht="16.5" x14ac:dyDescent="0.3"/>
    <row r="145" s="1" customFormat="1" ht="16.5" x14ac:dyDescent="0.3"/>
    <row r="146" s="1" customFormat="1" ht="16.5" x14ac:dyDescent="0.3"/>
    <row r="147" s="1" customFormat="1" ht="16.5" x14ac:dyDescent="0.3"/>
    <row r="148" s="1" customFormat="1" ht="16.5" x14ac:dyDescent="0.3"/>
    <row r="149" s="1" customFormat="1" ht="16.5" x14ac:dyDescent="0.3"/>
    <row r="150" s="1" customFormat="1" ht="16.5" x14ac:dyDescent="0.3"/>
    <row r="151" s="1" customFormat="1" ht="16.5" x14ac:dyDescent="0.3"/>
    <row r="152" s="1" customFormat="1" ht="16.5" x14ac:dyDescent="0.3"/>
    <row r="153" s="1" customFormat="1" ht="16.5" x14ac:dyDescent="0.3"/>
    <row r="154" s="1" customFormat="1" ht="16.5" x14ac:dyDescent="0.3"/>
    <row r="155" s="1" customFormat="1" ht="16.5" x14ac:dyDescent="0.3"/>
    <row r="156" s="1" customFormat="1" ht="16.5" x14ac:dyDescent="0.3"/>
    <row r="157" s="1" customFormat="1" ht="16.5" x14ac:dyDescent="0.3"/>
    <row r="158" s="1" customFormat="1" ht="16.5" x14ac:dyDescent="0.3"/>
    <row r="159" s="1" customFormat="1" ht="16.5" x14ac:dyDescent="0.3"/>
    <row r="160" s="1" customFormat="1" ht="16.5" x14ac:dyDescent="0.3"/>
    <row r="161" spans="1:5" s="1" customFormat="1" ht="16.5" x14ac:dyDescent="0.3"/>
    <row r="162" spans="1:5" s="1" customFormat="1" ht="16.5" x14ac:dyDescent="0.3"/>
    <row r="163" spans="1:5" s="1" customFormat="1" ht="16.5" x14ac:dyDescent="0.3"/>
    <row r="164" spans="1:5" s="1" customFormat="1" ht="16.5" x14ac:dyDescent="0.3"/>
    <row r="165" spans="1:5" s="1" customFormat="1" ht="16.5" x14ac:dyDescent="0.3"/>
    <row r="166" spans="1:5" s="1" customFormat="1" ht="16.5" x14ac:dyDescent="0.3"/>
    <row r="167" spans="1:5" s="1" customFormat="1" ht="16.5" x14ac:dyDescent="0.3"/>
    <row r="168" spans="1:5" s="1" customFormat="1" ht="16.5" x14ac:dyDescent="0.3"/>
    <row r="169" spans="1:5" s="1" customFormat="1" ht="16.5" x14ac:dyDescent="0.3"/>
    <row r="170" spans="1:5" s="1" customFormat="1" ht="16.5" x14ac:dyDescent="0.3"/>
    <row r="171" spans="1:5" s="1" customFormat="1" ht="16.5" x14ac:dyDescent="0.3"/>
    <row r="172" spans="1:5" s="1" customFormat="1" ht="16.5" x14ac:dyDescent="0.3"/>
    <row r="173" spans="1:5" x14ac:dyDescent="0.3">
      <c r="A173" s="204"/>
      <c r="E173" s="179"/>
    </row>
    <row r="174" spans="1:5" x14ac:dyDescent="0.3">
      <c r="A174" s="204"/>
      <c r="E174" s="179"/>
    </row>
    <row r="175" spans="1:5" x14ac:dyDescent="0.3">
      <c r="A175" s="204"/>
      <c r="E175" s="179"/>
    </row>
    <row r="176" spans="1:5" x14ac:dyDescent="0.3">
      <c r="A176" s="204"/>
      <c r="E176" s="179"/>
    </row>
    <row r="177" spans="1:5" x14ac:dyDescent="0.3">
      <c r="A177" s="204"/>
      <c r="E177" s="179"/>
    </row>
    <row r="178" spans="1:5" x14ac:dyDescent="0.3">
      <c r="A178" s="204"/>
      <c r="E178" s="179"/>
    </row>
    <row r="179" spans="1:5" x14ac:dyDescent="0.3">
      <c r="A179" s="204"/>
      <c r="E179" s="179"/>
    </row>
    <row r="180" spans="1:5" x14ac:dyDescent="0.3">
      <c r="A180" s="204"/>
      <c r="E180" s="179"/>
    </row>
    <row r="181" spans="1:5" x14ac:dyDescent="0.3">
      <c r="A181" s="204"/>
      <c r="E181" s="179"/>
    </row>
    <row r="182" spans="1:5" x14ac:dyDescent="0.3">
      <c r="A182" s="204"/>
      <c r="E182" s="179"/>
    </row>
    <row r="183" spans="1:5" x14ac:dyDescent="0.3">
      <c r="A183" s="204"/>
      <c r="E183" s="179"/>
    </row>
    <row r="184" spans="1:5" x14ac:dyDescent="0.3">
      <c r="A184" s="204"/>
      <c r="E184" s="179"/>
    </row>
    <row r="185" spans="1:5" x14ac:dyDescent="0.3">
      <c r="A185" s="204"/>
      <c r="E185" s="179"/>
    </row>
    <row r="186" spans="1:5" x14ac:dyDescent="0.3">
      <c r="A186" s="204"/>
      <c r="E186" s="179"/>
    </row>
    <row r="187" spans="1:5" x14ac:dyDescent="0.3">
      <c r="A187" s="204"/>
      <c r="E187" s="179"/>
    </row>
    <row r="188" spans="1:5" x14ac:dyDescent="0.3">
      <c r="A188" s="204"/>
      <c r="E188" s="179"/>
    </row>
    <row r="189" spans="1:5" x14ac:dyDescent="0.3">
      <c r="A189" s="204"/>
      <c r="E189" s="179"/>
    </row>
    <row r="190" spans="1:5" x14ac:dyDescent="0.3">
      <c r="A190" s="204"/>
      <c r="E190" s="179"/>
    </row>
    <row r="191" spans="1:5" x14ac:dyDescent="0.3">
      <c r="A191" s="204"/>
      <c r="E191" s="179"/>
    </row>
    <row r="192" spans="1:5" x14ac:dyDescent="0.3">
      <c r="A192" s="204"/>
      <c r="E192" s="179"/>
    </row>
    <row r="193" spans="1:5" x14ac:dyDescent="0.3">
      <c r="A193" s="204"/>
      <c r="E193" s="179"/>
    </row>
    <row r="194" spans="1:5" x14ac:dyDescent="0.3">
      <c r="A194" s="204"/>
      <c r="E194" s="179"/>
    </row>
    <row r="195" spans="1:5" x14ac:dyDescent="0.3">
      <c r="A195" s="204"/>
      <c r="E195" s="179"/>
    </row>
    <row r="196" spans="1:5" x14ac:dyDescent="0.3">
      <c r="A196" s="204"/>
      <c r="E196" s="179"/>
    </row>
    <row r="197" spans="1:5" x14ac:dyDescent="0.3">
      <c r="A197" s="204"/>
      <c r="E197" s="179"/>
    </row>
    <row r="198" spans="1:5" x14ac:dyDescent="0.3">
      <c r="A198" s="204"/>
      <c r="E198" s="179"/>
    </row>
    <row r="199" spans="1:5" x14ac:dyDescent="0.3">
      <c r="A199" s="204"/>
      <c r="E199" s="179"/>
    </row>
    <row r="200" spans="1:5" x14ac:dyDescent="0.3">
      <c r="E200" s="179"/>
    </row>
    <row r="201" spans="1:5" x14ac:dyDescent="0.3">
      <c r="E201" s="179"/>
    </row>
    <row r="202" spans="1:5" x14ac:dyDescent="0.3">
      <c r="E202" s="179"/>
    </row>
    <row r="203" spans="1:5" x14ac:dyDescent="0.3">
      <c r="E203" s="179"/>
    </row>
    <row r="204" spans="1:5" x14ac:dyDescent="0.3">
      <c r="E204" s="179"/>
    </row>
    <row r="205" spans="1:5" x14ac:dyDescent="0.3">
      <c r="E205" s="179"/>
    </row>
    <row r="206" spans="1:5" x14ac:dyDescent="0.3">
      <c r="E206" s="179"/>
    </row>
    <row r="207" spans="1:5" x14ac:dyDescent="0.3">
      <c r="E207" s="179"/>
    </row>
    <row r="208" spans="1:5" x14ac:dyDescent="0.3">
      <c r="E208" s="179"/>
    </row>
    <row r="209" spans="5:5" x14ac:dyDescent="0.3">
      <c r="E209" s="179"/>
    </row>
    <row r="210" spans="5:5" x14ac:dyDescent="0.3">
      <c r="E210" s="179"/>
    </row>
    <row r="211" spans="5:5" x14ac:dyDescent="0.3">
      <c r="E211" s="179"/>
    </row>
    <row r="212" spans="5:5" x14ac:dyDescent="0.3">
      <c r="E212" s="179"/>
    </row>
    <row r="213" spans="5:5" x14ac:dyDescent="0.3">
      <c r="E213" s="179"/>
    </row>
    <row r="214" spans="5:5" x14ac:dyDescent="0.3">
      <c r="E214" s="179"/>
    </row>
    <row r="215" spans="5:5" x14ac:dyDescent="0.3">
      <c r="E215" s="179"/>
    </row>
    <row r="216" spans="5:5" x14ac:dyDescent="0.3">
      <c r="E216" s="179"/>
    </row>
    <row r="217" spans="5:5" x14ac:dyDescent="0.3">
      <c r="E217" s="179"/>
    </row>
    <row r="218" spans="5:5" x14ac:dyDescent="0.3">
      <c r="E218" s="179"/>
    </row>
    <row r="219" spans="5:5" x14ac:dyDescent="0.3">
      <c r="E219" s="179"/>
    </row>
    <row r="220" spans="5:5" x14ac:dyDescent="0.3">
      <c r="E220" s="179"/>
    </row>
    <row r="221" spans="5:5" x14ac:dyDescent="0.3">
      <c r="E221" s="179"/>
    </row>
    <row r="222" spans="5:5" x14ac:dyDescent="0.3">
      <c r="E222" s="179"/>
    </row>
    <row r="223" spans="5:5" x14ac:dyDescent="0.3">
      <c r="E223" s="179"/>
    </row>
    <row r="224" spans="5:5" x14ac:dyDescent="0.3">
      <c r="E224" s="179"/>
    </row>
    <row r="225" spans="5:5" x14ac:dyDescent="0.3">
      <c r="E225" s="179"/>
    </row>
    <row r="226" spans="5:5" x14ac:dyDescent="0.3">
      <c r="E226" s="179"/>
    </row>
    <row r="227" spans="5:5" x14ac:dyDescent="0.3">
      <c r="E227" s="179"/>
    </row>
    <row r="228" spans="5:5" x14ac:dyDescent="0.3">
      <c r="E228" s="179"/>
    </row>
    <row r="229" spans="5:5" x14ac:dyDescent="0.3">
      <c r="E229" s="179"/>
    </row>
    <row r="230" spans="5:5" x14ac:dyDescent="0.3">
      <c r="E230" s="179"/>
    </row>
    <row r="231" spans="5:5" x14ac:dyDescent="0.3">
      <c r="E231" s="179"/>
    </row>
    <row r="232" spans="5:5" x14ac:dyDescent="0.3">
      <c r="E232" s="179"/>
    </row>
    <row r="233" spans="5:5" x14ac:dyDescent="0.3">
      <c r="E233" s="179"/>
    </row>
    <row r="234" spans="5:5" x14ac:dyDescent="0.3">
      <c r="E234" s="179"/>
    </row>
    <row r="235" spans="5:5" x14ac:dyDescent="0.3">
      <c r="E235" s="179"/>
    </row>
    <row r="236" spans="5:5" x14ac:dyDescent="0.3">
      <c r="E236" s="179"/>
    </row>
    <row r="237" spans="5:5" x14ac:dyDescent="0.3">
      <c r="E237" s="179"/>
    </row>
    <row r="238" spans="5:5" x14ac:dyDescent="0.3">
      <c r="E238" s="179"/>
    </row>
    <row r="239" spans="5:5" x14ac:dyDescent="0.3">
      <c r="E239" s="179"/>
    </row>
    <row r="240" spans="5:5" x14ac:dyDescent="0.3">
      <c r="E240" s="179"/>
    </row>
    <row r="241" spans="5:5" x14ac:dyDescent="0.3">
      <c r="E241" s="179"/>
    </row>
    <row r="242" spans="5:5" x14ac:dyDescent="0.3">
      <c r="E242" s="179"/>
    </row>
    <row r="243" spans="5:5" x14ac:dyDescent="0.3">
      <c r="E243" s="179"/>
    </row>
    <row r="244" spans="5:5" x14ac:dyDescent="0.3">
      <c r="E244" s="179"/>
    </row>
    <row r="245" spans="5:5" x14ac:dyDescent="0.3">
      <c r="E245" s="179"/>
    </row>
    <row r="246" spans="5:5" x14ac:dyDescent="0.3">
      <c r="E246" s="179"/>
    </row>
    <row r="247" spans="5:5" x14ac:dyDescent="0.3">
      <c r="E247" s="179"/>
    </row>
    <row r="248" spans="5:5" x14ac:dyDescent="0.3">
      <c r="E248" s="179"/>
    </row>
    <row r="249" spans="5:5" x14ac:dyDescent="0.3">
      <c r="E249" s="179"/>
    </row>
    <row r="250" spans="5:5" x14ac:dyDescent="0.3">
      <c r="E250" s="179"/>
    </row>
    <row r="251" spans="5:5" x14ac:dyDescent="0.3">
      <c r="E251" s="179"/>
    </row>
    <row r="252" spans="5:5" x14ac:dyDescent="0.3">
      <c r="E252" s="179"/>
    </row>
    <row r="253" spans="5:5" x14ac:dyDescent="0.3">
      <c r="E253" s="179"/>
    </row>
    <row r="254" spans="5:5" x14ac:dyDescent="0.3">
      <c r="E254" s="179"/>
    </row>
    <row r="255" spans="5:5" x14ac:dyDescent="0.3">
      <c r="E255" s="179"/>
    </row>
    <row r="256" spans="5:5" x14ac:dyDescent="0.3">
      <c r="E256" s="179"/>
    </row>
    <row r="257" spans="5:5" x14ac:dyDescent="0.3">
      <c r="E257" s="179"/>
    </row>
    <row r="258" spans="5:5" x14ac:dyDescent="0.3">
      <c r="E258" s="179"/>
    </row>
    <row r="259" spans="5:5" x14ac:dyDescent="0.3">
      <c r="E259" s="179"/>
    </row>
    <row r="260" spans="5:5" x14ac:dyDescent="0.3">
      <c r="E260" s="179"/>
    </row>
    <row r="261" spans="5:5" x14ac:dyDescent="0.3">
      <c r="E261" s="179"/>
    </row>
    <row r="262" spans="5:5" x14ac:dyDescent="0.3">
      <c r="E262" s="179"/>
    </row>
    <row r="263" spans="5:5" x14ac:dyDescent="0.3">
      <c r="E263" s="179"/>
    </row>
    <row r="264" spans="5:5" x14ac:dyDescent="0.3">
      <c r="E264" s="179"/>
    </row>
    <row r="265" spans="5:5" x14ac:dyDescent="0.3">
      <c r="E265" s="179"/>
    </row>
    <row r="266" spans="5:5" x14ac:dyDescent="0.3">
      <c r="E266" s="179"/>
    </row>
    <row r="267" spans="5:5" x14ac:dyDescent="0.3">
      <c r="E267" s="179"/>
    </row>
    <row r="268" spans="5:5" x14ac:dyDescent="0.3">
      <c r="E268" s="179"/>
    </row>
    <row r="269" spans="5:5" x14ac:dyDescent="0.3">
      <c r="E269" s="179"/>
    </row>
    <row r="270" spans="5:5" x14ac:dyDescent="0.3">
      <c r="E270" s="179"/>
    </row>
    <row r="271" spans="5:5" x14ac:dyDescent="0.3">
      <c r="E271" s="179"/>
    </row>
    <row r="272" spans="5:5" x14ac:dyDescent="0.3">
      <c r="E272" s="179"/>
    </row>
    <row r="273" spans="5:5" x14ac:dyDescent="0.3">
      <c r="E273" s="179"/>
    </row>
    <row r="274" spans="5:5" x14ac:dyDescent="0.3">
      <c r="E274" s="179"/>
    </row>
    <row r="275" spans="5:5" x14ac:dyDescent="0.3">
      <c r="E275" s="179"/>
    </row>
    <row r="276" spans="5:5" x14ac:dyDescent="0.3">
      <c r="E276" s="179"/>
    </row>
    <row r="277" spans="5:5" x14ac:dyDescent="0.3">
      <c r="E277" s="179"/>
    </row>
    <row r="278" spans="5:5" x14ac:dyDescent="0.3">
      <c r="E278" s="179"/>
    </row>
    <row r="279" spans="5:5" x14ac:dyDescent="0.3">
      <c r="E279" s="179"/>
    </row>
    <row r="280" spans="5:5" x14ac:dyDescent="0.3">
      <c r="E280" s="179"/>
    </row>
    <row r="281" spans="5:5" x14ac:dyDescent="0.3">
      <c r="E281" s="179"/>
    </row>
    <row r="282" spans="5:5" x14ac:dyDescent="0.3">
      <c r="E282" s="179"/>
    </row>
    <row r="283" spans="5:5" x14ac:dyDescent="0.3">
      <c r="E283" s="179"/>
    </row>
    <row r="284" spans="5:5" x14ac:dyDescent="0.3">
      <c r="E284" s="179"/>
    </row>
    <row r="285" spans="5:5" x14ac:dyDescent="0.3">
      <c r="E285" s="179"/>
    </row>
    <row r="286" spans="5:5" x14ac:dyDescent="0.3">
      <c r="E286" s="179"/>
    </row>
    <row r="287" spans="5:5" x14ac:dyDescent="0.3">
      <c r="E287" s="179"/>
    </row>
    <row r="288" spans="5:5" x14ac:dyDescent="0.3">
      <c r="E288" s="179"/>
    </row>
    <row r="289" spans="5:5" x14ac:dyDescent="0.3">
      <c r="E289" s="179"/>
    </row>
    <row r="290" spans="5:5" x14ac:dyDescent="0.3">
      <c r="E290" s="179"/>
    </row>
    <row r="291" spans="5:5" x14ac:dyDescent="0.3">
      <c r="E291" s="179"/>
    </row>
    <row r="292" spans="5:5" x14ac:dyDescent="0.3">
      <c r="E292" s="179"/>
    </row>
    <row r="293" spans="5:5" x14ac:dyDescent="0.3">
      <c r="E293" s="179"/>
    </row>
    <row r="294" spans="5:5" x14ac:dyDescent="0.3">
      <c r="E294" s="179"/>
    </row>
    <row r="295" spans="5:5" x14ac:dyDescent="0.3">
      <c r="E295" s="179"/>
    </row>
    <row r="296" spans="5:5" x14ac:dyDescent="0.3">
      <c r="E296" s="179"/>
    </row>
    <row r="297" spans="5:5" x14ac:dyDescent="0.3">
      <c r="E297" s="179"/>
    </row>
    <row r="298" spans="5:5" x14ac:dyDescent="0.3">
      <c r="E298" s="179"/>
    </row>
    <row r="299" spans="5:5" x14ac:dyDescent="0.3">
      <c r="E299" s="179"/>
    </row>
    <row r="300" spans="5:5" x14ac:dyDescent="0.3">
      <c r="E300" s="179"/>
    </row>
    <row r="301" spans="5:5" x14ac:dyDescent="0.3">
      <c r="E301" s="179"/>
    </row>
    <row r="302" spans="5:5" x14ac:dyDescent="0.3">
      <c r="E302" s="179"/>
    </row>
    <row r="303" spans="5:5" x14ac:dyDescent="0.3">
      <c r="E303" s="179"/>
    </row>
    <row r="304" spans="5:5" x14ac:dyDescent="0.3">
      <c r="E304" s="179"/>
    </row>
    <row r="305" spans="5:5" x14ac:dyDescent="0.3">
      <c r="E305" s="179"/>
    </row>
    <row r="306" spans="5:5" x14ac:dyDescent="0.3">
      <c r="E306" s="179"/>
    </row>
    <row r="307" spans="5:5" x14ac:dyDescent="0.3">
      <c r="E307" s="179"/>
    </row>
    <row r="308" spans="5:5" x14ac:dyDescent="0.3">
      <c r="E308" s="179"/>
    </row>
    <row r="309" spans="5:5" x14ac:dyDescent="0.3">
      <c r="E309" s="179"/>
    </row>
    <row r="310" spans="5:5" x14ac:dyDescent="0.3">
      <c r="E310" s="179"/>
    </row>
    <row r="311" spans="5:5" x14ac:dyDescent="0.3">
      <c r="E311" s="179"/>
    </row>
    <row r="312" spans="5:5" x14ac:dyDescent="0.3">
      <c r="E312" s="179"/>
    </row>
    <row r="313" spans="5:5" x14ac:dyDescent="0.3">
      <c r="E313" s="179"/>
    </row>
    <row r="314" spans="5:5" x14ac:dyDescent="0.3">
      <c r="E314" s="179"/>
    </row>
    <row r="315" spans="5:5" x14ac:dyDescent="0.3">
      <c r="E315" s="179"/>
    </row>
    <row r="316" spans="5:5" x14ac:dyDescent="0.3">
      <c r="E316" s="179"/>
    </row>
    <row r="317" spans="5:5" x14ac:dyDescent="0.3">
      <c r="E317" s="179"/>
    </row>
    <row r="318" spans="5:5" x14ac:dyDescent="0.3">
      <c r="E318" s="179"/>
    </row>
    <row r="319" spans="5:5" x14ac:dyDescent="0.3">
      <c r="E319" s="179"/>
    </row>
    <row r="320" spans="5:5" x14ac:dyDescent="0.3">
      <c r="E320" s="179"/>
    </row>
    <row r="321" spans="5:5" x14ac:dyDescent="0.3">
      <c r="E321" s="179"/>
    </row>
    <row r="322" spans="5:5" x14ac:dyDescent="0.3">
      <c r="E322" s="179"/>
    </row>
    <row r="323" spans="5:5" x14ac:dyDescent="0.3">
      <c r="E323" s="179"/>
    </row>
    <row r="324" spans="5:5" x14ac:dyDescent="0.3">
      <c r="E324" s="179"/>
    </row>
    <row r="325" spans="5:5" x14ac:dyDescent="0.3">
      <c r="E325" s="179"/>
    </row>
    <row r="326" spans="5:5" x14ac:dyDescent="0.3">
      <c r="E326" s="179"/>
    </row>
    <row r="327" spans="5:5" x14ac:dyDescent="0.3">
      <c r="E327" s="179"/>
    </row>
    <row r="328" spans="5:5" x14ac:dyDescent="0.3">
      <c r="E328" s="179"/>
    </row>
    <row r="329" spans="5:5" x14ac:dyDescent="0.3">
      <c r="E329" s="179"/>
    </row>
    <row r="330" spans="5:5" x14ac:dyDescent="0.3">
      <c r="E330" s="179"/>
    </row>
    <row r="331" spans="5:5" x14ac:dyDescent="0.3">
      <c r="E331" s="179"/>
    </row>
    <row r="332" spans="5:5" x14ac:dyDescent="0.3">
      <c r="E332" s="179"/>
    </row>
    <row r="333" spans="5:5" x14ac:dyDescent="0.3">
      <c r="E333" s="179"/>
    </row>
    <row r="334" spans="5:5" x14ac:dyDescent="0.3">
      <c r="E334" s="179"/>
    </row>
    <row r="335" spans="5:5" x14ac:dyDescent="0.3">
      <c r="E335" s="179"/>
    </row>
    <row r="336" spans="5:5" x14ac:dyDescent="0.3">
      <c r="E336" s="179"/>
    </row>
    <row r="337" spans="5:5" x14ac:dyDescent="0.3">
      <c r="E337" s="179"/>
    </row>
    <row r="338" spans="5:5" x14ac:dyDescent="0.3">
      <c r="E338" s="179"/>
    </row>
    <row r="339" spans="5:5" x14ac:dyDescent="0.3">
      <c r="E339" s="179"/>
    </row>
    <row r="340" spans="5:5" x14ac:dyDescent="0.3">
      <c r="E340" s="179"/>
    </row>
    <row r="341" spans="5:5" x14ac:dyDescent="0.3">
      <c r="E341" s="179"/>
    </row>
    <row r="342" spans="5:5" x14ac:dyDescent="0.3">
      <c r="E342" s="179"/>
    </row>
    <row r="343" spans="5:5" x14ac:dyDescent="0.3">
      <c r="E343" s="179"/>
    </row>
    <row r="344" spans="5:5" x14ac:dyDescent="0.3">
      <c r="E344" s="179"/>
    </row>
    <row r="345" spans="5:5" x14ac:dyDescent="0.3">
      <c r="E345" s="179"/>
    </row>
    <row r="346" spans="5:5" x14ac:dyDescent="0.3">
      <c r="E346" s="179"/>
    </row>
    <row r="347" spans="5:5" x14ac:dyDescent="0.3">
      <c r="E347" s="179"/>
    </row>
    <row r="348" spans="5:5" x14ac:dyDescent="0.3">
      <c r="E348" s="179"/>
    </row>
    <row r="349" spans="5:5" x14ac:dyDescent="0.3">
      <c r="E349" s="179"/>
    </row>
    <row r="350" spans="5:5" x14ac:dyDescent="0.3">
      <c r="E350" s="179"/>
    </row>
    <row r="351" spans="5:5" x14ac:dyDescent="0.3">
      <c r="E351" s="179"/>
    </row>
    <row r="352" spans="5:5" x14ac:dyDescent="0.3">
      <c r="E352" s="179"/>
    </row>
    <row r="353" spans="5:5" x14ac:dyDescent="0.3">
      <c r="E353" s="179"/>
    </row>
    <row r="354" spans="5:5" x14ac:dyDescent="0.3">
      <c r="E354" s="179"/>
    </row>
    <row r="355" spans="5:5" x14ac:dyDescent="0.3">
      <c r="E355" s="179"/>
    </row>
    <row r="356" spans="5:5" x14ac:dyDescent="0.3">
      <c r="E356" s="179"/>
    </row>
    <row r="357" spans="5:5" x14ac:dyDescent="0.3">
      <c r="E357" s="179"/>
    </row>
    <row r="358" spans="5:5" x14ac:dyDescent="0.3">
      <c r="E358" s="179"/>
    </row>
    <row r="359" spans="5:5" x14ac:dyDescent="0.3">
      <c r="E359" s="179"/>
    </row>
    <row r="360" spans="5:5" x14ac:dyDescent="0.3">
      <c r="E360" s="179"/>
    </row>
    <row r="361" spans="5:5" x14ac:dyDescent="0.3">
      <c r="E361" s="179"/>
    </row>
    <row r="362" spans="5:5" x14ac:dyDescent="0.3">
      <c r="E362" s="179"/>
    </row>
    <row r="363" spans="5:5" x14ac:dyDescent="0.3">
      <c r="E363" s="179"/>
    </row>
    <row r="364" spans="5:5" x14ac:dyDescent="0.3">
      <c r="E364" s="179"/>
    </row>
    <row r="365" spans="5:5" x14ac:dyDescent="0.3">
      <c r="E365" s="179"/>
    </row>
    <row r="366" spans="5:5" x14ac:dyDescent="0.3">
      <c r="E366" s="179"/>
    </row>
    <row r="367" spans="5:5" x14ac:dyDescent="0.3">
      <c r="E367" s="179"/>
    </row>
    <row r="368" spans="5:5" x14ac:dyDescent="0.3">
      <c r="E368" s="179"/>
    </row>
    <row r="369" spans="5:5" x14ac:dyDescent="0.3">
      <c r="E369" s="179"/>
    </row>
    <row r="370" spans="5:5" x14ac:dyDescent="0.3">
      <c r="E370" s="179"/>
    </row>
    <row r="371" spans="5:5" x14ac:dyDescent="0.3">
      <c r="E371" s="179"/>
    </row>
    <row r="372" spans="5:5" x14ac:dyDescent="0.3">
      <c r="E372" s="179"/>
    </row>
    <row r="373" spans="5:5" x14ac:dyDescent="0.3">
      <c r="E373" s="179"/>
    </row>
    <row r="374" spans="5:5" x14ac:dyDescent="0.3">
      <c r="E374" s="179"/>
    </row>
    <row r="375" spans="5:5" x14ac:dyDescent="0.3">
      <c r="E375" s="179"/>
    </row>
    <row r="376" spans="5:5" x14ac:dyDescent="0.3">
      <c r="E376" s="179"/>
    </row>
    <row r="377" spans="5:5" x14ac:dyDescent="0.3">
      <c r="E377" s="179"/>
    </row>
    <row r="378" spans="5:5" x14ac:dyDescent="0.3">
      <c r="E378" s="179"/>
    </row>
    <row r="379" spans="5:5" x14ac:dyDescent="0.3">
      <c r="E379" s="179"/>
    </row>
    <row r="380" spans="5:5" x14ac:dyDescent="0.3">
      <c r="E380" s="179"/>
    </row>
    <row r="381" spans="5:5" x14ac:dyDescent="0.3">
      <c r="E381" s="179"/>
    </row>
    <row r="382" spans="5:5" x14ac:dyDescent="0.3">
      <c r="E382" s="179"/>
    </row>
    <row r="383" spans="5:5" x14ac:dyDescent="0.3">
      <c r="E383" s="179"/>
    </row>
    <row r="384" spans="5:5" x14ac:dyDescent="0.3">
      <c r="E384" s="179"/>
    </row>
    <row r="385" spans="5:5" x14ac:dyDescent="0.3">
      <c r="E385" s="179"/>
    </row>
    <row r="386" spans="5:5" x14ac:dyDescent="0.3">
      <c r="E386" s="179"/>
    </row>
    <row r="387" spans="5:5" x14ac:dyDescent="0.3">
      <c r="E387" s="179"/>
    </row>
    <row r="388" spans="5:5" x14ac:dyDescent="0.3">
      <c r="E388" s="179"/>
    </row>
    <row r="389" spans="5:5" x14ac:dyDescent="0.3">
      <c r="E389" s="179"/>
    </row>
    <row r="390" spans="5:5" x14ac:dyDescent="0.3">
      <c r="E390" s="179"/>
    </row>
    <row r="391" spans="5:5" x14ac:dyDescent="0.3">
      <c r="E391" s="179"/>
    </row>
    <row r="392" spans="5:5" x14ac:dyDescent="0.3">
      <c r="E392" s="179"/>
    </row>
    <row r="393" spans="5:5" x14ac:dyDescent="0.3">
      <c r="E393" s="179"/>
    </row>
    <row r="394" spans="5:5" x14ac:dyDescent="0.3">
      <c r="E394" s="179"/>
    </row>
    <row r="395" spans="5:5" x14ac:dyDescent="0.3">
      <c r="E395" s="179"/>
    </row>
    <row r="396" spans="5:5" x14ac:dyDescent="0.3">
      <c r="E396" s="179"/>
    </row>
    <row r="397" spans="5:5" x14ac:dyDescent="0.3">
      <c r="E397" s="179"/>
    </row>
    <row r="398" spans="5:5" x14ac:dyDescent="0.3">
      <c r="E398" s="179"/>
    </row>
    <row r="399" spans="5:5" x14ac:dyDescent="0.3">
      <c r="E399" s="179"/>
    </row>
    <row r="400" spans="5:5" x14ac:dyDescent="0.3">
      <c r="E400" s="179"/>
    </row>
    <row r="401" spans="5:5" x14ac:dyDescent="0.3">
      <c r="E401" s="179"/>
    </row>
    <row r="402" spans="5:5" x14ac:dyDescent="0.3">
      <c r="E402" s="179"/>
    </row>
    <row r="403" spans="5:5" x14ac:dyDescent="0.3">
      <c r="E403" s="179"/>
    </row>
    <row r="404" spans="5:5" x14ac:dyDescent="0.3">
      <c r="E404" s="179"/>
    </row>
    <row r="405" spans="5:5" x14ac:dyDescent="0.3">
      <c r="E405" s="179"/>
    </row>
    <row r="406" spans="5:5" x14ac:dyDescent="0.3">
      <c r="E406" s="179"/>
    </row>
    <row r="407" spans="5:5" x14ac:dyDescent="0.3">
      <c r="E407" s="179"/>
    </row>
    <row r="408" spans="5:5" x14ac:dyDescent="0.3">
      <c r="E408" s="179"/>
    </row>
    <row r="409" spans="5:5" x14ac:dyDescent="0.3">
      <c r="E409" s="179"/>
    </row>
    <row r="410" spans="5:5" x14ac:dyDescent="0.3">
      <c r="E410" s="179"/>
    </row>
    <row r="411" spans="5:5" x14ac:dyDescent="0.3">
      <c r="E411" s="179"/>
    </row>
    <row r="412" spans="5:5" x14ac:dyDescent="0.3">
      <c r="E412" s="179"/>
    </row>
    <row r="413" spans="5:5" x14ac:dyDescent="0.3">
      <c r="E413" s="179"/>
    </row>
    <row r="414" spans="5:5" x14ac:dyDescent="0.3">
      <c r="E414" s="179"/>
    </row>
    <row r="415" spans="5:5" x14ac:dyDescent="0.3">
      <c r="E415" s="179"/>
    </row>
    <row r="416" spans="5:5" x14ac:dyDescent="0.3">
      <c r="E416" s="179"/>
    </row>
    <row r="417" spans="5:5" x14ac:dyDescent="0.3">
      <c r="E417" s="179"/>
    </row>
    <row r="418" spans="5:5" x14ac:dyDescent="0.3">
      <c r="E418" s="179"/>
    </row>
    <row r="419" spans="5:5" x14ac:dyDescent="0.3">
      <c r="E419" s="179"/>
    </row>
    <row r="420" spans="5:5" x14ac:dyDescent="0.3">
      <c r="E420" s="179"/>
    </row>
    <row r="421" spans="5:5" x14ac:dyDescent="0.3">
      <c r="E421" s="179"/>
    </row>
    <row r="422" spans="5:5" x14ac:dyDescent="0.3">
      <c r="E422" s="179"/>
    </row>
    <row r="423" spans="5:5" x14ac:dyDescent="0.3">
      <c r="E423" s="179"/>
    </row>
    <row r="424" spans="5:5" x14ac:dyDescent="0.3">
      <c r="E424" s="179"/>
    </row>
    <row r="425" spans="5:5" x14ac:dyDescent="0.3">
      <c r="E425" s="179"/>
    </row>
    <row r="426" spans="5:5" x14ac:dyDescent="0.3">
      <c r="E426" s="179"/>
    </row>
    <row r="427" spans="5:5" x14ac:dyDescent="0.3">
      <c r="E427" s="179"/>
    </row>
    <row r="428" spans="5:5" x14ac:dyDescent="0.3">
      <c r="E428" s="179"/>
    </row>
    <row r="429" spans="5:5" x14ac:dyDescent="0.3">
      <c r="E429" s="179"/>
    </row>
    <row r="430" spans="5:5" x14ac:dyDescent="0.3">
      <c r="E430" s="179"/>
    </row>
    <row r="431" spans="5:5" x14ac:dyDescent="0.3">
      <c r="E431" s="179"/>
    </row>
    <row r="432" spans="5:5" x14ac:dyDescent="0.3">
      <c r="E432" s="179"/>
    </row>
    <row r="433" spans="5:5" x14ac:dyDescent="0.3">
      <c r="E433" s="179"/>
    </row>
    <row r="434" spans="5:5" x14ac:dyDescent="0.3">
      <c r="E434" s="179"/>
    </row>
    <row r="435" spans="5:5" x14ac:dyDescent="0.3">
      <c r="E435" s="179"/>
    </row>
    <row r="436" spans="5:5" x14ac:dyDescent="0.3">
      <c r="E436" s="179"/>
    </row>
    <row r="437" spans="5:5" x14ac:dyDescent="0.3">
      <c r="E437" s="179"/>
    </row>
    <row r="438" spans="5:5" x14ac:dyDescent="0.3">
      <c r="E438" s="179"/>
    </row>
    <row r="439" spans="5:5" x14ac:dyDescent="0.3">
      <c r="E439" s="179"/>
    </row>
    <row r="440" spans="5:5" x14ac:dyDescent="0.3">
      <c r="E440" s="179"/>
    </row>
    <row r="441" spans="5:5" x14ac:dyDescent="0.3">
      <c r="E441" s="179"/>
    </row>
    <row r="442" spans="5:5" x14ac:dyDescent="0.3">
      <c r="E442" s="179"/>
    </row>
    <row r="443" spans="5:5" x14ac:dyDescent="0.3">
      <c r="E443" s="179"/>
    </row>
    <row r="444" spans="5:5" x14ac:dyDescent="0.3">
      <c r="E444" s="179"/>
    </row>
    <row r="445" spans="5:5" x14ac:dyDescent="0.3">
      <c r="E445" s="179"/>
    </row>
    <row r="446" spans="5:5" x14ac:dyDescent="0.3">
      <c r="E446" s="179"/>
    </row>
    <row r="447" spans="5:5" x14ac:dyDescent="0.3">
      <c r="E447" s="179"/>
    </row>
    <row r="448" spans="5:5" x14ac:dyDescent="0.3">
      <c r="E448" s="179"/>
    </row>
    <row r="449" spans="5:5" x14ac:dyDescent="0.3">
      <c r="E449" s="179"/>
    </row>
    <row r="450" spans="5:5" x14ac:dyDescent="0.3">
      <c r="E450" s="179"/>
    </row>
    <row r="451" spans="5:5" x14ac:dyDescent="0.3">
      <c r="E451" s="179"/>
    </row>
    <row r="452" spans="5:5" x14ac:dyDescent="0.3">
      <c r="E452" s="179"/>
    </row>
    <row r="453" spans="5:5" x14ac:dyDescent="0.3">
      <c r="E453" s="179"/>
    </row>
    <row r="454" spans="5:5" x14ac:dyDescent="0.3">
      <c r="E454" s="179"/>
    </row>
    <row r="455" spans="5:5" x14ac:dyDescent="0.3">
      <c r="E455" s="179"/>
    </row>
    <row r="456" spans="5:5" x14ac:dyDescent="0.3">
      <c r="E456" s="179"/>
    </row>
    <row r="457" spans="5:5" x14ac:dyDescent="0.3">
      <c r="E457" s="179"/>
    </row>
    <row r="458" spans="5:5" x14ac:dyDescent="0.3">
      <c r="E458" s="179"/>
    </row>
    <row r="459" spans="5:5" x14ac:dyDescent="0.3">
      <c r="E459" s="179"/>
    </row>
    <row r="460" spans="5:5" x14ac:dyDescent="0.3">
      <c r="E460" s="179"/>
    </row>
    <row r="461" spans="5:5" x14ac:dyDescent="0.3">
      <c r="E461" s="179"/>
    </row>
    <row r="462" spans="5:5" x14ac:dyDescent="0.3">
      <c r="E462" s="179"/>
    </row>
    <row r="463" spans="5:5" x14ac:dyDescent="0.3">
      <c r="E463" s="179"/>
    </row>
    <row r="464" spans="5:5" x14ac:dyDescent="0.3">
      <c r="E464" s="179"/>
    </row>
    <row r="465" spans="5:5" x14ac:dyDescent="0.3">
      <c r="E465" s="179"/>
    </row>
    <row r="466" spans="5:5" x14ac:dyDescent="0.3">
      <c r="E466" s="179"/>
    </row>
    <row r="467" spans="5:5" x14ac:dyDescent="0.3">
      <c r="E467" s="179"/>
    </row>
    <row r="468" spans="5:5" x14ac:dyDescent="0.3">
      <c r="E468" s="179"/>
    </row>
    <row r="469" spans="5:5" x14ac:dyDescent="0.3">
      <c r="E469" s="179"/>
    </row>
    <row r="470" spans="5:5" x14ac:dyDescent="0.3">
      <c r="E470" s="179"/>
    </row>
    <row r="471" spans="5:5" x14ac:dyDescent="0.3">
      <c r="E471" s="179"/>
    </row>
    <row r="472" spans="5:5" x14ac:dyDescent="0.3">
      <c r="E472" s="179"/>
    </row>
    <row r="473" spans="5:5" x14ac:dyDescent="0.3">
      <c r="E473" s="179"/>
    </row>
    <row r="474" spans="5:5" x14ac:dyDescent="0.3">
      <c r="E474" s="179"/>
    </row>
    <row r="475" spans="5:5" x14ac:dyDescent="0.3">
      <c r="E475" s="179"/>
    </row>
    <row r="476" spans="5:5" x14ac:dyDescent="0.3">
      <c r="E476" s="179"/>
    </row>
    <row r="477" spans="5:5" x14ac:dyDescent="0.3">
      <c r="E477" s="179"/>
    </row>
    <row r="478" spans="5:5" x14ac:dyDescent="0.3">
      <c r="E478" s="179"/>
    </row>
    <row r="479" spans="5:5" x14ac:dyDescent="0.3">
      <c r="E479" s="179"/>
    </row>
    <row r="480" spans="5:5" x14ac:dyDescent="0.3">
      <c r="E480" s="179"/>
    </row>
    <row r="481" spans="5:5" x14ac:dyDescent="0.3">
      <c r="E481" s="179"/>
    </row>
    <row r="482" spans="5:5" x14ac:dyDescent="0.3">
      <c r="E482" s="179"/>
    </row>
    <row r="483" spans="5:5" x14ac:dyDescent="0.3">
      <c r="E483" s="179"/>
    </row>
    <row r="484" spans="5:5" x14ac:dyDescent="0.3">
      <c r="E484" s="179"/>
    </row>
    <row r="485" spans="5:5" x14ac:dyDescent="0.3">
      <c r="E485" s="179"/>
    </row>
    <row r="486" spans="5:5" x14ac:dyDescent="0.3">
      <c r="E486" s="179"/>
    </row>
    <row r="487" spans="5:5" x14ac:dyDescent="0.3">
      <c r="E487" s="179"/>
    </row>
    <row r="488" spans="5:5" x14ac:dyDescent="0.3">
      <c r="E488" s="179"/>
    </row>
    <row r="489" spans="5:5" x14ac:dyDescent="0.3">
      <c r="E489" s="179"/>
    </row>
    <row r="490" spans="5:5" x14ac:dyDescent="0.3">
      <c r="E490" s="179"/>
    </row>
    <row r="491" spans="5:5" x14ac:dyDescent="0.3">
      <c r="E491" s="179"/>
    </row>
    <row r="492" spans="5:5" x14ac:dyDescent="0.3">
      <c r="E492" s="179"/>
    </row>
    <row r="493" spans="5:5" x14ac:dyDescent="0.3">
      <c r="E493" s="179"/>
    </row>
    <row r="494" spans="5:5" x14ac:dyDescent="0.3">
      <c r="E494" s="179"/>
    </row>
    <row r="495" spans="5:5" x14ac:dyDescent="0.3">
      <c r="E495" s="179"/>
    </row>
    <row r="496" spans="5:5" x14ac:dyDescent="0.3">
      <c r="E496" s="179"/>
    </row>
    <row r="497" spans="5:5" x14ac:dyDescent="0.3">
      <c r="E497" s="179"/>
    </row>
    <row r="498" spans="5:5" x14ac:dyDescent="0.3">
      <c r="E498" s="179"/>
    </row>
    <row r="499" spans="5:5" x14ac:dyDescent="0.3">
      <c r="E499" s="179"/>
    </row>
    <row r="500" spans="5:5" x14ac:dyDescent="0.3">
      <c r="E500" s="179"/>
    </row>
    <row r="501" spans="5:5" x14ac:dyDescent="0.3">
      <c r="E501" s="179"/>
    </row>
    <row r="502" spans="5:5" x14ac:dyDescent="0.3">
      <c r="E502" s="179"/>
    </row>
    <row r="503" spans="5:5" x14ac:dyDescent="0.3">
      <c r="E503" s="179"/>
    </row>
    <row r="504" spans="5:5" x14ac:dyDescent="0.3">
      <c r="E504" s="179"/>
    </row>
    <row r="505" spans="5:5" x14ac:dyDescent="0.3">
      <c r="E505" s="179"/>
    </row>
    <row r="506" spans="5:5" x14ac:dyDescent="0.3">
      <c r="E506" s="179"/>
    </row>
    <row r="507" spans="5:5" x14ac:dyDescent="0.3">
      <c r="E507" s="179"/>
    </row>
    <row r="508" spans="5:5" x14ac:dyDescent="0.3">
      <c r="E508" s="179"/>
    </row>
    <row r="509" spans="5:5" x14ac:dyDescent="0.3">
      <c r="E509" s="179"/>
    </row>
    <row r="510" spans="5:5" x14ac:dyDescent="0.3">
      <c r="E510" s="179"/>
    </row>
    <row r="511" spans="5:5" x14ac:dyDescent="0.3">
      <c r="E511" s="179"/>
    </row>
    <row r="512" spans="5:5" x14ac:dyDescent="0.3">
      <c r="E512" s="179"/>
    </row>
    <row r="513" spans="5:5" x14ac:dyDescent="0.3">
      <c r="E513" s="179"/>
    </row>
    <row r="514" spans="5:5" x14ac:dyDescent="0.3">
      <c r="E514" s="179"/>
    </row>
    <row r="515" spans="5:5" x14ac:dyDescent="0.3">
      <c r="E515" s="179"/>
    </row>
    <row r="516" spans="5:5" x14ac:dyDescent="0.3">
      <c r="E516" s="179"/>
    </row>
    <row r="517" spans="5:5" x14ac:dyDescent="0.3">
      <c r="E517" s="179"/>
    </row>
    <row r="518" spans="5:5" x14ac:dyDescent="0.3">
      <c r="E518" s="179"/>
    </row>
    <row r="519" spans="5:5" x14ac:dyDescent="0.3">
      <c r="E519" s="179"/>
    </row>
    <row r="520" spans="5:5" x14ac:dyDescent="0.3">
      <c r="E520" s="179"/>
    </row>
    <row r="521" spans="5:5" x14ac:dyDescent="0.3">
      <c r="E521" s="179"/>
    </row>
    <row r="522" spans="5:5" x14ac:dyDescent="0.3">
      <c r="E522" s="179"/>
    </row>
    <row r="523" spans="5:5" x14ac:dyDescent="0.3">
      <c r="E523" s="179"/>
    </row>
    <row r="524" spans="5:5" x14ac:dyDescent="0.3">
      <c r="E524" s="179"/>
    </row>
    <row r="525" spans="5:5" x14ac:dyDescent="0.3">
      <c r="E525" s="179"/>
    </row>
    <row r="526" spans="5:5" x14ac:dyDescent="0.3">
      <c r="E526" s="179"/>
    </row>
    <row r="527" spans="5:5" x14ac:dyDescent="0.3">
      <c r="E527" s="179"/>
    </row>
    <row r="528" spans="5:5" x14ac:dyDescent="0.3">
      <c r="E528" s="179"/>
    </row>
    <row r="529" spans="5:5" x14ac:dyDescent="0.3">
      <c r="E529" s="179"/>
    </row>
    <row r="530" spans="5:5" x14ac:dyDescent="0.3">
      <c r="E530" s="179"/>
    </row>
    <row r="531" spans="5:5" x14ac:dyDescent="0.3">
      <c r="E531" s="179"/>
    </row>
    <row r="532" spans="5:5" x14ac:dyDescent="0.3">
      <c r="E532" s="179"/>
    </row>
    <row r="533" spans="5:5" x14ac:dyDescent="0.3">
      <c r="E533" s="179"/>
    </row>
    <row r="534" spans="5:5" x14ac:dyDescent="0.3">
      <c r="E534" s="179"/>
    </row>
    <row r="535" spans="5:5" x14ac:dyDescent="0.3">
      <c r="E535" s="179"/>
    </row>
    <row r="536" spans="5:5" x14ac:dyDescent="0.3">
      <c r="E536" s="179"/>
    </row>
    <row r="537" spans="5:5" x14ac:dyDescent="0.3">
      <c r="E537" s="179"/>
    </row>
    <row r="538" spans="5:5" x14ac:dyDescent="0.3">
      <c r="E538" s="179"/>
    </row>
    <row r="539" spans="5:5" x14ac:dyDescent="0.3">
      <c r="E539" s="179"/>
    </row>
    <row r="540" spans="5:5" x14ac:dyDescent="0.3">
      <c r="E540" s="179"/>
    </row>
    <row r="541" spans="5:5" x14ac:dyDescent="0.3">
      <c r="E541" s="179"/>
    </row>
    <row r="542" spans="5:5" x14ac:dyDescent="0.3">
      <c r="E542" s="179"/>
    </row>
    <row r="543" spans="5:5" x14ac:dyDescent="0.3">
      <c r="E543" s="179"/>
    </row>
    <row r="544" spans="5:5" x14ac:dyDescent="0.3">
      <c r="E544" s="179"/>
    </row>
    <row r="545" spans="5:5" x14ac:dyDescent="0.3">
      <c r="E545" s="179"/>
    </row>
    <row r="546" spans="5:5" x14ac:dyDescent="0.3">
      <c r="E546" s="179"/>
    </row>
    <row r="547" spans="5:5" x14ac:dyDescent="0.3">
      <c r="E547" s="179"/>
    </row>
    <row r="548" spans="5:5" x14ac:dyDescent="0.3">
      <c r="E548" s="179"/>
    </row>
    <row r="549" spans="5:5" x14ac:dyDescent="0.3">
      <c r="E549" s="179"/>
    </row>
    <row r="550" spans="5:5" x14ac:dyDescent="0.3">
      <c r="E550" s="179"/>
    </row>
    <row r="551" spans="5:5" x14ac:dyDescent="0.3">
      <c r="E551" s="179"/>
    </row>
    <row r="552" spans="5:5" x14ac:dyDescent="0.3">
      <c r="E552" s="179"/>
    </row>
    <row r="553" spans="5:5" x14ac:dyDescent="0.3">
      <c r="E553" s="179"/>
    </row>
    <row r="554" spans="5:5" x14ac:dyDescent="0.3">
      <c r="E554" s="179"/>
    </row>
    <row r="555" spans="5:5" x14ac:dyDescent="0.3">
      <c r="E555" s="179"/>
    </row>
    <row r="556" spans="5:5" x14ac:dyDescent="0.3">
      <c r="E556" s="179"/>
    </row>
    <row r="557" spans="5:5" x14ac:dyDescent="0.3">
      <c r="E557" s="179"/>
    </row>
    <row r="558" spans="5:5" x14ac:dyDescent="0.3">
      <c r="E558" s="179"/>
    </row>
    <row r="559" spans="5:5" x14ac:dyDescent="0.3">
      <c r="E559" s="179"/>
    </row>
    <row r="560" spans="5:5" x14ac:dyDescent="0.3">
      <c r="E560" s="179"/>
    </row>
    <row r="561" spans="5:5" x14ac:dyDescent="0.3">
      <c r="E561" s="179"/>
    </row>
    <row r="562" spans="5:5" x14ac:dyDescent="0.3">
      <c r="E562" s="179"/>
    </row>
    <row r="563" spans="5:5" x14ac:dyDescent="0.3">
      <c r="E563" s="179"/>
    </row>
    <row r="564" spans="5:5" x14ac:dyDescent="0.3">
      <c r="E564" s="179"/>
    </row>
    <row r="565" spans="5:5" x14ac:dyDescent="0.3">
      <c r="E565" s="179"/>
    </row>
    <row r="566" spans="5:5" x14ac:dyDescent="0.3">
      <c r="E566" s="179"/>
    </row>
    <row r="567" spans="5:5" x14ac:dyDescent="0.3">
      <c r="E567" s="179"/>
    </row>
    <row r="568" spans="5:5" x14ac:dyDescent="0.3">
      <c r="E568" s="179"/>
    </row>
    <row r="569" spans="5:5" x14ac:dyDescent="0.3">
      <c r="E569" s="179"/>
    </row>
    <row r="570" spans="5:5" x14ac:dyDescent="0.3">
      <c r="E570" s="179"/>
    </row>
    <row r="571" spans="5:5" x14ac:dyDescent="0.3">
      <c r="E571" s="179"/>
    </row>
    <row r="572" spans="5:5" x14ac:dyDescent="0.3">
      <c r="E572" s="179"/>
    </row>
    <row r="573" spans="5:5" x14ac:dyDescent="0.3">
      <c r="E573" s="179"/>
    </row>
    <row r="574" spans="5:5" x14ac:dyDescent="0.3">
      <c r="E574" s="179"/>
    </row>
    <row r="575" spans="5:5" x14ac:dyDescent="0.3">
      <c r="E575" s="179"/>
    </row>
    <row r="576" spans="5:5" x14ac:dyDescent="0.3">
      <c r="E576" s="179"/>
    </row>
    <row r="577" spans="5:5" x14ac:dyDescent="0.3">
      <c r="E577" s="179"/>
    </row>
    <row r="578" spans="5:5" x14ac:dyDescent="0.3">
      <c r="E578" s="179"/>
    </row>
    <row r="579" spans="5:5" x14ac:dyDescent="0.3">
      <c r="E579" s="179"/>
    </row>
    <row r="580" spans="5:5" x14ac:dyDescent="0.3">
      <c r="E580" s="179"/>
    </row>
    <row r="581" spans="5:5" x14ac:dyDescent="0.3">
      <c r="E581" s="179"/>
    </row>
    <row r="582" spans="5:5" x14ac:dyDescent="0.3">
      <c r="E582" s="179"/>
    </row>
    <row r="583" spans="5:5" x14ac:dyDescent="0.3">
      <c r="E583" s="179"/>
    </row>
    <row r="584" spans="5:5" x14ac:dyDescent="0.3">
      <c r="E584" s="179"/>
    </row>
    <row r="585" spans="5:5" x14ac:dyDescent="0.3">
      <c r="E585" s="179"/>
    </row>
    <row r="586" spans="5:5" x14ac:dyDescent="0.3">
      <c r="E586" s="179"/>
    </row>
    <row r="587" spans="5:5" x14ac:dyDescent="0.3">
      <c r="E587" s="179"/>
    </row>
    <row r="588" spans="5:5" x14ac:dyDescent="0.3">
      <c r="E588" s="179"/>
    </row>
    <row r="589" spans="5:5" x14ac:dyDescent="0.3">
      <c r="E589" s="179"/>
    </row>
    <row r="590" spans="5:5" x14ac:dyDescent="0.3">
      <c r="E590" s="179"/>
    </row>
    <row r="591" spans="5:5" x14ac:dyDescent="0.3">
      <c r="E591" s="179"/>
    </row>
    <row r="592" spans="5:5" x14ac:dyDescent="0.3">
      <c r="E592" s="179"/>
    </row>
    <row r="593" spans="5:5" x14ac:dyDescent="0.3">
      <c r="E593" s="179"/>
    </row>
    <row r="594" spans="5:5" x14ac:dyDescent="0.3">
      <c r="E594" s="179"/>
    </row>
    <row r="595" spans="5:5" x14ac:dyDescent="0.3">
      <c r="E595" s="179"/>
    </row>
    <row r="596" spans="5:5" x14ac:dyDescent="0.3">
      <c r="E596" s="179"/>
    </row>
    <row r="597" spans="5:5" x14ac:dyDescent="0.3">
      <c r="E597" s="179"/>
    </row>
    <row r="598" spans="5:5" x14ac:dyDescent="0.3">
      <c r="E598" s="179"/>
    </row>
    <row r="599" spans="5:5" x14ac:dyDescent="0.3">
      <c r="E599" s="179"/>
    </row>
    <row r="600" spans="5:5" x14ac:dyDescent="0.3">
      <c r="E600" s="179"/>
    </row>
    <row r="601" spans="5:5" x14ac:dyDescent="0.3">
      <c r="E601" s="179"/>
    </row>
    <row r="602" spans="5:5" x14ac:dyDescent="0.3">
      <c r="E602" s="179"/>
    </row>
    <row r="603" spans="5:5" x14ac:dyDescent="0.3">
      <c r="E603" s="179"/>
    </row>
    <row r="604" spans="5:5" x14ac:dyDescent="0.3">
      <c r="E604" s="179"/>
    </row>
    <row r="605" spans="5:5" x14ac:dyDescent="0.3">
      <c r="E605" s="179"/>
    </row>
    <row r="606" spans="5:5" x14ac:dyDescent="0.3">
      <c r="E606" s="179"/>
    </row>
    <row r="607" spans="5:5" x14ac:dyDescent="0.3">
      <c r="E607" s="179"/>
    </row>
    <row r="608" spans="5:5" x14ac:dyDescent="0.3">
      <c r="E608" s="179"/>
    </row>
    <row r="609" spans="5:5" x14ac:dyDescent="0.3">
      <c r="E609" s="179"/>
    </row>
    <row r="610" spans="5:5" x14ac:dyDescent="0.3">
      <c r="E610" s="179"/>
    </row>
    <row r="611" spans="5:5" x14ac:dyDescent="0.3">
      <c r="E611" s="179"/>
    </row>
    <row r="612" spans="5:5" x14ac:dyDescent="0.3">
      <c r="E612" s="179"/>
    </row>
    <row r="613" spans="5:5" x14ac:dyDescent="0.3">
      <c r="E613" s="179"/>
    </row>
    <row r="614" spans="5:5" x14ac:dyDescent="0.3">
      <c r="E614" s="179"/>
    </row>
    <row r="615" spans="5:5" x14ac:dyDescent="0.3">
      <c r="E615" s="179"/>
    </row>
    <row r="616" spans="5:5" x14ac:dyDescent="0.3">
      <c r="E616" s="179"/>
    </row>
    <row r="617" spans="5:5" x14ac:dyDescent="0.3">
      <c r="E617" s="179"/>
    </row>
    <row r="618" spans="5:5" x14ac:dyDescent="0.3">
      <c r="E618" s="179"/>
    </row>
    <row r="619" spans="5:5" x14ac:dyDescent="0.3">
      <c r="E619" s="179"/>
    </row>
    <row r="620" spans="5:5" x14ac:dyDescent="0.3">
      <c r="E620" s="179"/>
    </row>
    <row r="621" spans="5:5" x14ac:dyDescent="0.3">
      <c r="E621" s="179"/>
    </row>
    <row r="622" spans="5:5" x14ac:dyDescent="0.3">
      <c r="E622" s="179"/>
    </row>
    <row r="623" spans="5:5" x14ac:dyDescent="0.3">
      <c r="E623" s="179"/>
    </row>
    <row r="624" spans="5:5" x14ac:dyDescent="0.3">
      <c r="E624" s="179"/>
    </row>
    <row r="625" spans="5:5" x14ac:dyDescent="0.3">
      <c r="E625" s="179"/>
    </row>
    <row r="626" spans="5:5" x14ac:dyDescent="0.3">
      <c r="E626" s="179"/>
    </row>
    <row r="627" spans="5:5" x14ac:dyDescent="0.3">
      <c r="E627" s="179"/>
    </row>
    <row r="628" spans="5:5" x14ac:dyDescent="0.3">
      <c r="E628" s="179"/>
    </row>
    <row r="629" spans="5:5" x14ac:dyDescent="0.3">
      <c r="E629" s="179"/>
    </row>
    <row r="630" spans="5:5" x14ac:dyDescent="0.3">
      <c r="E630" s="179"/>
    </row>
    <row r="631" spans="5:5" x14ac:dyDescent="0.3">
      <c r="E631" s="179"/>
    </row>
    <row r="632" spans="5:5" x14ac:dyDescent="0.3">
      <c r="E632" s="179"/>
    </row>
  </sheetData>
  <mergeCells count="9">
    <mergeCell ref="A35:D35"/>
    <mergeCell ref="A7:B8"/>
    <mergeCell ref="C7:C8"/>
    <mergeCell ref="D7:D8"/>
    <mergeCell ref="A1:D1"/>
    <mergeCell ref="A2:D2"/>
    <mergeCell ref="A3:D3"/>
    <mergeCell ref="A4:D4"/>
    <mergeCell ref="B5:C5"/>
  </mergeCells>
  <printOptions horizontalCentered="1"/>
  <pageMargins left="0.39370078740157483" right="0.39370078740157483" top="0.74803149606299213" bottom="0.74803149606299213" header="0.31496062992125984" footer="0.31496062992125984"/>
  <pageSetup scale="85"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view="pageBreakPreview" topLeftCell="A7" zoomScaleNormal="100" zoomScaleSheetLayoutView="100" workbookViewId="0">
      <selection activeCell="A5" sqref="A5"/>
    </sheetView>
  </sheetViews>
  <sheetFormatPr baseColWidth="10" defaultColWidth="11.42578125" defaultRowHeight="15" x14ac:dyDescent="0.25"/>
  <cols>
    <col min="6" max="6" width="26.42578125" customWidth="1"/>
    <col min="7" max="7" width="25.28515625" customWidth="1"/>
    <col min="8" max="8" width="11.7109375" customWidth="1"/>
  </cols>
  <sheetData/>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118"/>
  <sheetViews>
    <sheetView view="pageBreakPreview" zoomScaleNormal="100" zoomScaleSheetLayoutView="100" workbookViewId="0">
      <selection activeCell="E13" sqref="E13"/>
    </sheetView>
  </sheetViews>
  <sheetFormatPr baseColWidth="10" defaultColWidth="11.28515625" defaultRowHeight="16.5" x14ac:dyDescent="0.3"/>
  <cols>
    <col min="1" max="1" width="6.7109375" style="1" customWidth="1"/>
    <col min="2" max="2" width="25.7109375" style="1" customWidth="1"/>
    <col min="3" max="3" width="23.7109375" style="3" customWidth="1"/>
    <col min="4" max="4" width="23.28515625" style="1" customWidth="1"/>
    <col min="5" max="5" width="23" style="1" customWidth="1"/>
    <col min="6" max="6" width="34.7109375" style="1" customWidth="1"/>
    <col min="7" max="7" width="20.140625" style="1" customWidth="1"/>
    <col min="8" max="16384" width="11.28515625" style="1"/>
  </cols>
  <sheetData>
    <row r="1" spans="1:5" x14ac:dyDescent="0.3">
      <c r="A1" s="313"/>
      <c r="B1" s="313"/>
      <c r="C1" s="313"/>
      <c r="D1" s="313"/>
      <c r="E1" s="313"/>
    </row>
    <row r="2" spans="1:5" x14ac:dyDescent="0.3">
      <c r="A2" s="328" t="s">
        <v>213</v>
      </c>
      <c r="B2" s="328"/>
      <c r="C2" s="328"/>
      <c r="D2" s="328"/>
      <c r="E2" s="328"/>
    </row>
    <row r="3" spans="1:5" x14ac:dyDescent="0.3">
      <c r="A3" s="313" t="s">
        <v>220</v>
      </c>
      <c r="B3" s="313"/>
      <c r="C3" s="313"/>
      <c r="D3" s="313"/>
      <c r="E3" s="313"/>
    </row>
    <row r="4" spans="1:5" x14ac:dyDescent="0.3">
      <c r="A4" s="328" t="str">
        <f>'ETCA-IV-03'!A4:D4</f>
        <v>Del 01 de Enero al 31 de Diciembre de 2019</v>
      </c>
      <c r="B4" s="328"/>
      <c r="C4" s="328"/>
      <c r="D4" s="328"/>
      <c r="E4" s="328"/>
    </row>
    <row r="5" spans="1:5" x14ac:dyDescent="0.3">
      <c r="A5" s="8"/>
      <c r="B5" s="328" t="s">
        <v>127</v>
      </c>
      <c r="C5" s="328"/>
      <c r="D5" s="328"/>
      <c r="E5" s="12"/>
    </row>
    <row r="6" spans="1:5" x14ac:dyDescent="0.3">
      <c r="A6" s="8"/>
      <c r="B6" s="42"/>
      <c r="C6" s="236"/>
      <c r="D6" s="42"/>
      <c r="E6" s="12"/>
    </row>
    <row r="7" spans="1:5" ht="33" customHeight="1" x14ac:dyDescent="0.3">
      <c r="A7" s="427" t="s">
        <v>214</v>
      </c>
      <c r="B7" s="428"/>
      <c r="C7" s="428"/>
      <c r="D7" s="428"/>
      <c r="E7" s="429"/>
    </row>
    <row r="8" spans="1:5" ht="32.25" customHeight="1" x14ac:dyDescent="0.3">
      <c r="A8" s="430" t="s">
        <v>129</v>
      </c>
      <c r="B8" s="430"/>
      <c r="C8" s="430"/>
      <c r="D8" s="430"/>
      <c r="E8" s="426" t="s">
        <v>212</v>
      </c>
    </row>
    <row r="9" spans="1:5" x14ac:dyDescent="0.3">
      <c r="A9" s="167"/>
      <c r="B9" s="166" t="s">
        <v>130</v>
      </c>
      <c r="C9" s="237" t="s">
        <v>131</v>
      </c>
      <c r="D9" s="166" t="s">
        <v>9</v>
      </c>
      <c r="E9" s="426"/>
    </row>
    <row r="10" spans="1:5" s="4" customFormat="1" ht="24" customHeight="1" x14ac:dyDescent="0.25">
      <c r="A10" s="5">
        <v>1</v>
      </c>
      <c r="B10" s="30" t="s">
        <v>267</v>
      </c>
      <c r="C10" s="30">
        <v>4038052957</v>
      </c>
      <c r="D10" s="30">
        <v>444837.1</v>
      </c>
      <c r="E10" s="30" t="s">
        <v>265</v>
      </c>
    </row>
    <row r="11" spans="1:5" s="4" customFormat="1" ht="24" customHeight="1" x14ac:dyDescent="0.25">
      <c r="A11" s="5">
        <v>2</v>
      </c>
      <c r="B11" s="30" t="s">
        <v>267</v>
      </c>
      <c r="C11" s="30">
        <v>4038052940</v>
      </c>
      <c r="D11" s="30">
        <v>93315.23</v>
      </c>
      <c r="E11" s="30" t="s">
        <v>265</v>
      </c>
    </row>
    <row r="12" spans="1:5" s="4" customFormat="1" ht="24" customHeight="1" x14ac:dyDescent="0.25">
      <c r="A12" s="5">
        <v>3</v>
      </c>
      <c r="B12" s="30" t="s">
        <v>222</v>
      </c>
      <c r="C12" s="30" t="s">
        <v>268</v>
      </c>
      <c r="D12" s="30">
        <v>36456.660000000003</v>
      </c>
      <c r="E12" s="30" t="s">
        <v>265</v>
      </c>
    </row>
    <row r="13" spans="1:5" s="4" customFormat="1" ht="24" customHeight="1" x14ac:dyDescent="0.25">
      <c r="A13" s="5">
        <v>4</v>
      </c>
      <c r="B13" s="30" t="s">
        <v>222</v>
      </c>
      <c r="C13" s="30" t="s">
        <v>269</v>
      </c>
      <c r="D13" s="30">
        <v>17124.45</v>
      </c>
      <c r="E13" s="30" t="s">
        <v>265</v>
      </c>
    </row>
    <row r="14" spans="1:5" s="4" customFormat="1" ht="24" customHeight="1" x14ac:dyDescent="0.25">
      <c r="A14" s="5">
        <v>5</v>
      </c>
      <c r="B14" s="30" t="s">
        <v>222</v>
      </c>
      <c r="C14" s="30" t="s">
        <v>270</v>
      </c>
      <c r="D14" s="30">
        <v>30001.71</v>
      </c>
      <c r="E14" s="30" t="s">
        <v>265</v>
      </c>
    </row>
    <row r="15" spans="1:5" s="4" customFormat="1" ht="24" customHeight="1" x14ac:dyDescent="0.25">
      <c r="A15" s="5">
        <v>6</v>
      </c>
      <c r="B15" s="30" t="s">
        <v>222</v>
      </c>
      <c r="C15" s="30" t="s">
        <v>271</v>
      </c>
      <c r="D15" s="30">
        <v>15058.28</v>
      </c>
      <c r="E15" s="30" t="s">
        <v>265</v>
      </c>
    </row>
    <row r="16" spans="1:5" s="4" customFormat="1" ht="24" customHeight="1" x14ac:dyDescent="0.25">
      <c r="A16" s="5">
        <v>7</v>
      </c>
      <c r="B16" s="30" t="s">
        <v>222</v>
      </c>
      <c r="C16" s="30" t="s">
        <v>272</v>
      </c>
      <c r="D16" s="30">
        <v>15030.75</v>
      </c>
      <c r="E16" s="30" t="s">
        <v>265</v>
      </c>
    </row>
    <row r="17" spans="1:5" s="4" customFormat="1" ht="24" customHeight="1" x14ac:dyDescent="0.25">
      <c r="A17" s="5">
        <v>8</v>
      </c>
      <c r="B17" s="30" t="s">
        <v>222</v>
      </c>
      <c r="C17" s="30" t="s">
        <v>273</v>
      </c>
      <c r="D17" s="30">
        <v>223750.19</v>
      </c>
      <c r="E17" s="30" t="s">
        <v>265</v>
      </c>
    </row>
    <row r="18" spans="1:5" s="4" customFormat="1" ht="24" customHeight="1" x14ac:dyDescent="0.25">
      <c r="A18" s="5">
        <v>9</v>
      </c>
      <c r="B18" s="30" t="s">
        <v>222</v>
      </c>
      <c r="C18" s="30" t="s">
        <v>274</v>
      </c>
      <c r="D18" s="30">
        <v>21804.82</v>
      </c>
      <c r="E18" s="30" t="s">
        <v>265</v>
      </c>
    </row>
    <row r="19" spans="1:5" s="4" customFormat="1" ht="24" customHeight="1" x14ac:dyDescent="0.25">
      <c r="A19" s="5">
        <v>10</v>
      </c>
      <c r="B19" s="30" t="s">
        <v>222</v>
      </c>
      <c r="C19" s="30" t="s">
        <v>275</v>
      </c>
      <c r="D19" s="30">
        <v>19379</v>
      </c>
      <c r="E19" s="30" t="s">
        <v>265</v>
      </c>
    </row>
    <row r="20" spans="1:5" s="4" customFormat="1" ht="24" customHeight="1" x14ac:dyDescent="0.25">
      <c r="A20" s="5">
        <v>11</v>
      </c>
      <c r="B20" s="30" t="s">
        <v>222</v>
      </c>
      <c r="C20" s="30" t="s">
        <v>276</v>
      </c>
      <c r="D20" s="30">
        <v>15066.64</v>
      </c>
      <c r="E20" s="30" t="s">
        <v>265</v>
      </c>
    </row>
    <row r="21" spans="1:5" s="4" customFormat="1" ht="24" customHeight="1" x14ac:dyDescent="0.25">
      <c r="A21" s="5">
        <v>12</v>
      </c>
      <c r="B21" s="30" t="s">
        <v>222</v>
      </c>
      <c r="C21" s="30" t="s">
        <v>277</v>
      </c>
      <c r="D21" s="30">
        <v>15084.15</v>
      </c>
      <c r="E21" s="30" t="s">
        <v>265</v>
      </c>
    </row>
    <row r="22" spans="1:5" s="4" customFormat="1" ht="24" customHeight="1" x14ac:dyDescent="0.25">
      <c r="A22" s="5">
        <v>13</v>
      </c>
      <c r="B22" s="30" t="s">
        <v>222</v>
      </c>
      <c r="C22" s="30" t="s">
        <v>278</v>
      </c>
      <c r="D22" s="30">
        <v>15066.7</v>
      </c>
      <c r="E22" s="30" t="s">
        <v>265</v>
      </c>
    </row>
    <row r="23" spans="1:5" s="4" customFormat="1" ht="24" customHeight="1" x14ac:dyDescent="0.25">
      <c r="A23" s="5">
        <v>14</v>
      </c>
      <c r="B23" s="30" t="s">
        <v>222</v>
      </c>
      <c r="C23" s="30" t="s">
        <v>279</v>
      </c>
      <c r="D23" s="30">
        <v>635566.13</v>
      </c>
      <c r="E23" s="30" t="s">
        <v>265</v>
      </c>
    </row>
    <row r="24" spans="1:5" s="4" customFormat="1" ht="24" customHeight="1" x14ac:dyDescent="0.25">
      <c r="A24" s="5">
        <v>15</v>
      </c>
      <c r="B24" s="30" t="s">
        <v>222</v>
      </c>
      <c r="C24" s="30" t="s">
        <v>280</v>
      </c>
      <c r="D24" s="30">
        <v>15174.2</v>
      </c>
      <c r="E24" s="30" t="s">
        <v>265</v>
      </c>
    </row>
    <row r="25" spans="1:5" s="4" customFormat="1" ht="24" customHeight="1" x14ac:dyDescent="0.25">
      <c r="A25" s="5">
        <v>16</v>
      </c>
      <c r="B25" s="30" t="s">
        <v>222</v>
      </c>
      <c r="C25" s="30" t="s">
        <v>281</v>
      </c>
      <c r="D25" s="30">
        <v>17800.32</v>
      </c>
      <c r="E25" s="30" t="s">
        <v>265</v>
      </c>
    </row>
    <row r="26" spans="1:5" s="4" customFormat="1" ht="24" customHeight="1" x14ac:dyDescent="0.25">
      <c r="A26" s="5">
        <v>17</v>
      </c>
      <c r="B26" s="30" t="s">
        <v>222</v>
      </c>
      <c r="C26" s="30" t="s">
        <v>282</v>
      </c>
      <c r="D26" s="30">
        <v>20006.27</v>
      </c>
      <c r="E26" s="30" t="s">
        <v>283</v>
      </c>
    </row>
    <row r="27" spans="1:5" s="4" customFormat="1" ht="24" customHeight="1" x14ac:dyDescent="0.25">
      <c r="A27" s="5">
        <v>18</v>
      </c>
      <c r="B27" s="30" t="s">
        <v>222</v>
      </c>
      <c r="C27" s="30" t="s">
        <v>284</v>
      </c>
      <c r="D27" s="30">
        <v>20006.18</v>
      </c>
      <c r="E27" s="30" t="s">
        <v>283</v>
      </c>
    </row>
    <row r="28" spans="1:5" s="4" customFormat="1" ht="24" customHeight="1" x14ac:dyDescent="0.25">
      <c r="A28" s="5">
        <v>19</v>
      </c>
      <c r="B28" s="30" t="s">
        <v>222</v>
      </c>
      <c r="C28" s="30" t="s">
        <v>285</v>
      </c>
      <c r="D28" s="30">
        <v>15007.31</v>
      </c>
      <c r="E28" s="30" t="s">
        <v>283</v>
      </c>
    </row>
    <row r="29" spans="1:5" s="4" customFormat="1" ht="24" customHeight="1" x14ac:dyDescent="0.25">
      <c r="A29" s="5">
        <v>20</v>
      </c>
      <c r="B29" s="30" t="s">
        <v>222</v>
      </c>
      <c r="C29" s="30" t="s">
        <v>286</v>
      </c>
      <c r="D29" s="30">
        <v>16154.57</v>
      </c>
      <c r="E29" s="30" t="s">
        <v>283</v>
      </c>
    </row>
    <row r="30" spans="1:5" s="4" customFormat="1" ht="24" customHeight="1" x14ac:dyDescent="0.25">
      <c r="A30" s="5">
        <v>21</v>
      </c>
      <c r="B30" s="30" t="s">
        <v>222</v>
      </c>
      <c r="C30" s="30" t="s">
        <v>287</v>
      </c>
      <c r="D30" s="30">
        <v>21667.68</v>
      </c>
      <c r="E30" s="30" t="s">
        <v>283</v>
      </c>
    </row>
    <row r="31" spans="1:5" s="4" customFormat="1" ht="24" customHeight="1" x14ac:dyDescent="0.25">
      <c r="A31" s="5">
        <v>22</v>
      </c>
      <c r="B31" s="30" t="s">
        <v>222</v>
      </c>
      <c r="C31" s="30" t="s">
        <v>288</v>
      </c>
      <c r="D31" s="30">
        <v>15005.7</v>
      </c>
      <c r="E31" s="30" t="s">
        <v>283</v>
      </c>
    </row>
    <row r="32" spans="1:5" s="4" customFormat="1" ht="24" customHeight="1" x14ac:dyDescent="0.25">
      <c r="A32" s="5">
        <v>23</v>
      </c>
      <c r="B32" s="30" t="s">
        <v>222</v>
      </c>
      <c r="C32" s="30" t="s">
        <v>289</v>
      </c>
      <c r="D32" s="30">
        <v>20006.490000000002</v>
      </c>
      <c r="E32" s="30" t="s">
        <v>283</v>
      </c>
    </row>
    <row r="33" spans="1:5" s="4" customFormat="1" ht="24" customHeight="1" x14ac:dyDescent="0.25">
      <c r="A33" s="5">
        <v>24</v>
      </c>
      <c r="B33" s="30" t="s">
        <v>222</v>
      </c>
      <c r="C33" s="30" t="s">
        <v>290</v>
      </c>
      <c r="D33" s="30">
        <v>15009.69</v>
      </c>
      <c r="E33" s="30" t="s">
        <v>283</v>
      </c>
    </row>
    <row r="34" spans="1:5" s="4" customFormat="1" ht="24" customHeight="1" x14ac:dyDescent="0.25">
      <c r="A34" s="5">
        <v>25</v>
      </c>
      <c r="B34" s="30" t="s">
        <v>222</v>
      </c>
      <c r="C34" s="30" t="s">
        <v>291</v>
      </c>
      <c r="D34" s="30">
        <v>340288.65</v>
      </c>
      <c r="E34" s="30" t="s">
        <v>292</v>
      </c>
    </row>
    <row r="35" spans="1:5" s="4" customFormat="1" ht="24" customHeight="1" x14ac:dyDescent="0.25">
      <c r="A35" s="5">
        <v>26</v>
      </c>
      <c r="B35" s="30" t="s">
        <v>222</v>
      </c>
      <c r="C35" s="30" t="s">
        <v>293</v>
      </c>
      <c r="D35" s="30">
        <v>79854.990000000005</v>
      </c>
      <c r="E35" s="30" t="s">
        <v>283</v>
      </c>
    </row>
    <row r="36" spans="1:5" s="4" customFormat="1" ht="24" customHeight="1" x14ac:dyDescent="0.25">
      <c r="A36" s="5">
        <v>27</v>
      </c>
      <c r="B36" s="30" t="s">
        <v>222</v>
      </c>
      <c r="C36" s="30" t="s">
        <v>294</v>
      </c>
      <c r="D36" s="30">
        <v>20006.78</v>
      </c>
      <c r="E36" s="30" t="s">
        <v>283</v>
      </c>
    </row>
    <row r="37" spans="1:5" s="4" customFormat="1" ht="24" customHeight="1" x14ac:dyDescent="0.25">
      <c r="A37" s="5">
        <v>28</v>
      </c>
      <c r="B37" s="30" t="s">
        <v>222</v>
      </c>
      <c r="C37" s="30" t="s">
        <v>295</v>
      </c>
      <c r="D37" s="217">
        <v>20013.12</v>
      </c>
      <c r="E37" s="30" t="s">
        <v>283</v>
      </c>
    </row>
    <row r="38" spans="1:5" s="4" customFormat="1" ht="24" customHeight="1" x14ac:dyDescent="0.25">
      <c r="A38" s="5">
        <v>29</v>
      </c>
      <c r="B38" s="30" t="s">
        <v>222</v>
      </c>
      <c r="C38" s="30" t="s">
        <v>296</v>
      </c>
      <c r="D38" s="30">
        <v>20013.310000000001</v>
      </c>
      <c r="E38" s="30" t="s">
        <v>283</v>
      </c>
    </row>
    <row r="39" spans="1:5" s="4" customFormat="1" ht="24" customHeight="1" x14ac:dyDescent="0.25">
      <c r="A39" s="5">
        <v>30</v>
      </c>
      <c r="B39" s="30" t="s">
        <v>222</v>
      </c>
      <c r="C39" s="30" t="s">
        <v>297</v>
      </c>
      <c r="D39" s="30">
        <v>20012.77</v>
      </c>
      <c r="E39" s="30" t="s">
        <v>283</v>
      </c>
    </row>
    <row r="40" spans="1:5" s="4" customFormat="1" ht="24" customHeight="1" x14ac:dyDescent="0.25">
      <c r="A40" s="5">
        <v>31</v>
      </c>
      <c r="B40" s="30" t="s">
        <v>222</v>
      </c>
      <c r="C40" s="30" t="s">
        <v>298</v>
      </c>
      <c r="D40" s="30">
        <v>20058.75</v>
      </c>
      <c r="E40" s="30" t="s">
        <v>283</v>
      </c>
    </row>
    <row r="41" spans="1:5" s="4" customFormat="1" ht="24" customHeight="1" x14ac:dyDescent="0.25">
      <c r="A41" s="5">
        <v>32</v>
      </c>
      <c r="B41" s="30" t="s">
        <v>222</v>
      </c>
      <c r="C41" s="30" t="s">
        <v>299</v>
      </c>
      <c r="D41" s="30">
        <v>20006.71</v>
      </c>
      <c r="E41" s="30" t="s">
        <v>283</v>
      </c>
    </row>
    <row r="42" spans="1:5" s="4" customFormat="1" ht="24" customHeight="1" x14ac:dyDescent="0.25">
      <c r="A42" s="5">
        <v>33</v>
      </c>
      <c r="B42" s="30" t="s">
        <v>222</v>
      </c>
      <c r="C42" s="30" t="s">
        <v>300</v>
      </c>
      <c r="D42" s="30">
        <v>20113.25</v>
      </c>
      <c r="E42" s="30" t="s">
        <v>283</v>
      </c>
    </row>
    <row r="43" spans="1:5" s="4" customFormat="1" ht="24" customHeight="1" x14ac:dyDescent="0.25">
      <c r="A43" s="5">
        <v>34</v>
      </c>
      <c r="B43" s="30" t="s">
        <v>222</v>
      </c>
      <c r="C43" s="30" t="s">
        <v>301</v>
      </c>
      <c r="D43" s="30">
        <v>20006.900000000001</v>
      </c>
      <c r="E43" s="30" t="s">
        <v>283</v>
      </c>
    </row>
    <row r="44" spans="1:5" s="4" customFormat="1" ht="24" customHeight="1" x14ac:dyDescent="0.25">
      <c r="A44" s="5">
        <v>35</v>
      </c>
      <c r="B44" s="30" t="s">
        <v>222</v>
      </c>
      <c r="C44" s="30" t="s">
        <v>302</v>
      </c>
      <c r="D44" s="30">
        <v>20007.189999999999</v>
      </c>
      <c r="E44" s="30" t="s">
        <v>283</v>
      </c>
    </row>
    <row r="45" spans="1:5" s="4" customFormat="1" ht="24" customHeight="1" x14ac:dyDescent="0.25">
      <c r="A45" s="5">
        <v>36</v>
      </c>
      <c r="B45" s="30" t="s">
        <v>222</v>
      </c>
      <c r="C45" s="30" t="s">
        <v>263</v>
      </c>
      <c r="D45" s="30">
        <v>71298.240000000005</v>
      </c>
      <c r="E45" s="30" t="s">
        <v>262</v>
      </c>
    </row>
    <row r="46" spans="1:5" s="4" customFormat="1" ht="21.75" customHeight="1" x14ac:dyDescent="0.25">
      <c r="A46" s="5">
        <v>37</v>
      </c>
      <c r="B46" s="30" t="s">
        <v>222</v>
      </c>
      <c r="C46" s="218" t="s">
        <v>331</v>
      </c>
      <c r="D46" s="30">
        <v>192512.98</v>
      </c>
      <c r="E46" s="30" t="s">
        <v>332</v>
      </c>
    </row>
    <row r="47" spans="1:5" s="274" customFormat="1" ht="21.75" customHeight="1" x14ac:dyDescent="0.25">
      <c r="A47" s="5">
        <v>38</v>
      </c>
      <c r="B47" s="273" t="s">
        <v>222</v>
      </c>
      <c r="C47" s="273" t="s">
        <v>303</v>
      </c>
      <c r="D47" s="273"/>
      <c r="E47" s="273" t="s">
        <v>264</v>
      </c>
    </row>
    <row r="48" spans="1:5" s="4" customFormat="1" ht="21.75" customHeight="1" x14ac:dyDescent="0.25">
      <c r="A48" s="5">
        <v>39</v>
      </c>
      <c r="B48" s="30" t="s">
        <v>222</v>
      </c>
      <c r="C48" s="218" t="s">
        <v>333</v>
      </c>
      <c r="D48" s="30">
        <v>29347.86</v>
      </c>
      <c r="E48" s="30" t="s">
        <v>334</v>
      </c>
    </row>
    <row r="49" spans="1:5" s="4" customFormat="1" ht="21.75" customHeight="1" x14ac:dyDescent="0.25">
      <c r="A49" s="5">
        <v>40</v>
      </c>
      <c r="B49" s="30" t="s">
        <v>222</v>
      </c>
      <c r="C49" s="30" t="s">
        <v>325</v>
      </c>
      <c r="D49" s="30">
        <v>983229.96</v>
      </c>
      <c r="E49" s="219" t="s">
        <v>335</v>
      </c>
    </row>
    <row r="50" spans="1:5" s="4" customFormat="1" ht="21.75" customHeight="1" x14ac:dyDescent="0.25">
      <c r="A50" s="5">
        <v>41</v>
      </c>
      <c r="B50" s="30" t="s">
        <v>222</v>
      </c>
      <c r="C50" s="218" t="s">
        <v>336</v>
      </c>
      <c r="D50" s="30">
        <v>626823.84</v>
      </c>
      <c r="E50" s="30" t="s">
        <v>337</v>
      </c>
    </row>
    <row r="51" spans="1:5" s="4" customFormat="1" ht="21.75" customHeight="1" x14ac:dyDescent="0.25">
      <c r="A51" s="5">
        <v>42</v>
      </c>
      <c r="B51" s="30" t="s">
        <v>222</v>
      </c>
      <c r="C51" s="30" t="s">
        <v>326</v>
      </c>
      <c r="D51" s="30">
        <v>7013973.4400000004</v>
      </c>
      <c r="E51" s="30" t="s">
        <v>338</v>
      </c>
    </row>
    <row r="52" spans="1:5" s="4" customFormat="1" ht="21.75" customHeight="1" x14ac:dyDescent="0.25">
      <c r="A52" s="5">
        <v>43</v>
      </c>
      <c r="B52" s="30" t="s">
        <v>222</v>
      </c>
      <c r="C52" s="30">
        <v>113136388</v>
      </c>
      <c r="D52" s="30">
        <v>4180558.04</v>
      </c>
      <c r="E52" s="30" t="s">
        <v>339</v>
      </c>
    </row>
    <row r="53" spans="1:5" s="4" customFormat="1" ht="21.75" customHeight="1" x14ac:dyDescent="0.25">
      <c r="A53" s="5">
        <v>44</v>
      </c>
      <c r="B53" s="30" t="s">
        <v>222</v>
      </c>
      <c r="C53" s="30" t="s">
        <v>327</v>
      </c>
      <c r="D53" s="30">
        <v>52596.74</v>
      </c>
      <c r="E53" s="219" t="s">
        <v>500</v>
      </c>
    </row>
    <row r="54" spans="1:5" s="4" customFormat="1" ht="21.75" customHeight="1" x14ac:dyDescent="0.25">
      <c r="A54" s="5">
        <v>45</v>
      </c>
      <c r="B54" s="30" t="s">
        <v>222</v>
      </c>
      <c r="C54" s="30">
        <v>113136434</v>
      </c>
      <c r="D54" s="30">
        <v>85959.67</v>
      </c>
      <c r="E54" s="219" t="s">
        <v>499</v>
      </c>
    </row>
    <row r="55" spans="1:5" s="4" customFormat="1" ht="21.75" customHeight="1" x14ac:dyDescent="0.25">
      <c r="A55" s="5">
        <v>46</v>
      </c>
      <c r="B55" s="30" t="s">
        <v>222</v>
      </c>
      <c r="C55" s="30" t="s">
        <v>328</v>
      </c>
      <c r="D55" s="30">
        <v>400116.99</v>
      </c>
      <c r="E55" s="30" t="s">
        <v>340</v>
      </c>
    </row>
    <row r="56" spans="1:5" s="274" customFormat="1" ht="21.75" customHeight="1" x14ac:dyDescent="0.25">
      <c r="A56" s="5">
        <v>47</v>
      </c>
      <c r="B56" s="30" t="s">
        <v>222</v>
      </c>
      <c r="C56" s="218" t="s">
        <v>515</v>
      </c>
      <c r="D56" s="273">
        <v>398519.42</v>
      </c>
      <c r="E56" s="273" t="s">
        <v>341</v>
      </c>
    </row>
    <row r="57" spans="1:5" s="4" customFormat="1" ht="21.75" customHeight="1" x14ac:dyDescent="0.25">
      <c r="A57" s="5">
        <v>48</v>
      </c>
      <c r="B57" s="30" t="s">
        <v>222</v>
      </c>
      <c r="C57" s="218" t="s">
        <v>343</v>
      </c>
      <c r="D57" s="30">
        <v>9910962.4499999993</v>
      </c>
      <c r="E57" s="30" t="s">
        <v>341</v>
      </c>
    </row>
    <row r="58" spans="1:5" s="4" customFormat="1" ht="21.75" customHeight="1" x14ac:dyDescent="0.25">
      <c r="A58" s="5">
        <v>49</v>
      </c>
      <c r="B58" s="30" t="s">
        <v>222</v>
      </c>
      <c r="C58" s="218" t="s">
        <v>344</v>
      </c>
      <c r="D58" s="30">
        <v>11407533.939999999</v>
      </c>
      <c r="E58" s="30" t="s">
        <v>342</v>
      </c>
    </row>
    <row r="59" spans="1:5" s="4" customFormat="1" ht="21.75" customHeight="1" x14ac:dyDescent="0.25">
      <c r="A59" s="5">
        <v>50</v>
      </c>
      <c r="B59" s="30" t="s">
        <v>222</v>
      </c>
      <c r="C59" s="218" t="s">
        <v>498</v>
      </c>
      <c r="D59" s="30">
        <v>517625</v>
      </c>
      <c r="E59" s="30" t="s">
        <v>501</v>
      </c>
    </row>
    <row r="60" spans="1:5" s="274" customFormat="1" ht="21.75" customHeight="1" x14ac:dyDescent="0.25">
      <c r="A60" s="5">
        <v>51</v>
      </c>
      <c r="B60" s="273" t="s">
        <v>222</v>
      </c>
      <c r="C60" s="275" t="s">
        <v>517</v>
      </c>
      <c r="D60" s="273">
        <v>517203.4</v>
      </c>
      <c r="E60" s="273" t="s">
        <v>516</v>
      </c>
    </row>
    <row r="61" spans="1:5" s="4" customFormat="1" ht="21" customHeight="1" x14ac:dyDescent="0.25">
      <c r="A61" s="5">
        <v>52</v>
      </c>
      <c r="B61" s="30" t="s">
        <v>222</v>
      </c>
      <c r="C61" s="218" t="s">
        <v>502</v>
      </c>
      <c r="D61" s="30">
        <v>544958.05000000005</v>
      </c>
      <c r="E61" s="30" t="s">
        <v>265</v>
      </c>
    </row>
    <row r="62" spans="1:5" s="4" customFormat="1" ht="21" customHeight="1" x14ac:dyDescent="0.25">
      <c r="A62" s="5">
        <v>53</v>
      </c>
      <c r="B62" s="30" t="s">
        <v>222</v>
      </c>
      <c r="C62" s="218" t="s">
        <v>503</v>
      </c>
      <c r="D62" s="30">
        <v>449039.67</v>
      </c>
      <c r="E62" s="30" t="s">
        <v>265</v>
      </c>
    </row>
    <row r="63" spans="1:5" s="4" customFormat="1" ht="21" customHeight="1" x14ac:dyDescent="0.25">
      <c r="A63" s="5">
        <v>54</v>
      </c>
      <c r="B63" s="30" t="s">
        <v>222</v>
      </c>
      <c r="C63" s="218" t="s">
        <v>504</v>
      </c>
      <c r="D63" s="30">
        <v>74846.759999999995</v>
      </c>
      <c r="E63" s="30" t="s">
        <v>265</v>
      </c>
    </row>
    <row r="64" spans="1:5" s="274" customFormat="1" ht="21" customHeight="1" x14ac:dyDescent="0.25">
      <c r="A64" s="5">
        <v>55</v>
      </c>
      <c r="B64" s="273" t="s">
        <v>222</v>
      </c>
      <c r="C64" s="275" t="s">
        <v>518</v>
      </c>
      <c r="D64" s="273">
        <v>42983648.770000003</v>
      </c>
      <c r="E64" s="273" t="s">
        <v>514</v>
      </c>
    </row>
    <row r="65" spans="1:5" s="4" customFormat="1" ht="21" customHeight="1" x14ac:dyDescent="0.25">
      <c r="A65" s="5">
        <v>56</v>
      </c>
      <c r="B65" s="30" t="s">
        <v>304</v>
      </c>
      <c r="C65" s="30">
        <v>7679512</v>
      </c>
      <c r="D65" s="30">
        <v>488.76</v>
      </c>
      <c r="E65" s="30" t="s">
        <v>283</v>
      </c>
    </row>
    <row r="66" spans="1:5" s="4" customFormat="1" ht="21" customHeight="1" x14ac:dyDescent="0.25">
      <c r="A66" s="5">
        <v>57</v>
      </c>
      <c r="B66" s="30" t="s">
        <v>304</v>
      </c>
      <c r="C66" s="30">
        <v>7679539</v>
      </c>
      <c r="D66" s="30">
        <v>177799.48</v>
      </c>
      <c r="E66" s="30" t="s">
        <v>283</v>
      </c>
    </row>
    <row r="67" spans="1:5" s="4" customFormat="1" ht="21" customHeight="1" x14ac:dyDescent="0.25">
      <c r="A67" s="5">
        <v>58</v>
      </c>
      <c r="B67" s="30" t="s">
        <v>222</v>
      </c>
      <c r="C67" s="30" t="s">
        <v>305</v>
      </c>
      <c r="D67" s="30">
        <v>99960.01</v>
      </c>
      <c r="E67" s="30" t="s">
        <v>283</v>
      </c>
    </row>
    <row r="68" spans="1:5" s="4" customFormat="1" ht="21" customHeight="1" x14ac:dyDescent="0.25">
      <c r="A68" s="5">
        <v>59</v>
      </c>
      <c r="B68" s="30" t="s">
        <v>222</v>
      </c>
      <c r="C68" s="30" t="s">
        <v>306</v>
      </c>
      <c r="D68" s="30">
        <v>2950036.45</v>
      </c>
      <c r="E68" s="30" t="s">
        <v>283</v>
      </c>
    </row>
    <row r="69" spans="1:5" s="4" customFormat="1" ht="21" customHeight="1" x14ac:dyDescent="0.25">
      <c r="A69" s="5">
        <v>60</v>
      </c>
      <c r="B69" s="30" t="s">
        <v>222</v>
      </c>
      <c r="C69" s="30" t="s">
        <v>307</v>
      </c>
      <c r="D69" s="30">
        <v>820671.83</v>
      </c>
      <c r="E69" s="30" t="s">
        <v>283</v>
      </c>
    </row>
    <row r="70" spans="1:5" s="4" customFormat="1" ht="21" customHeight="1" x14ac:dyDescent="0.25">
      <c r="A70" s="5">
        <v>61</v>
      </c>
      <c r="B70" s="30" t="s">
        <v>222</v>
      </c>
      <c r="C70" s="30" t="s">
        <v>308</v>
      </c>
      <c r="D70" s="30">
        <v>451670.27</v>
      </c>
      <c r="E70" s="30" t="s">
        <v>283</v>
      </c>
    </row>
    <row r="71" spans="1:5" s="4" customFormat="1" ht="21" customHeight="1" x14ac:dyDescent="0.25">
      <c r="A71" s="5">
        <v>62</v>
      </c>
      <c r="B71" s="30" t="s">
        <v>309</v>
      </c>
      <c r="C71" s="30">
        <v>7679741</v>
      </c>
      <c r="D71" s="30">
        <v>148.56</v>
      </c>
      <c r="E71" s="30" t="s">
        <v>283</v>
      </c>
    </row>
    <row r="72" spans="1:5" s="4" customFormat="1" ht="21" customHeight="1" x14ac:dyDescent="0.25">
      <c r="A72" s="5">
        <v>63</v>
      </c>
      <c r="B72" s="30" t="s">
        <v>222</v>
      </c>
      <c r="C72" s="30" t="s">
        <v>310</v>
      </c>
      <c r="D72" s="30">
        <v>344967.65</v>
      </c>
      <c r="E72" s="30" t="s">
        <v>283</v>
      </c>
    </row>
    <row r="73" spans="1:5" s="4" customFormat="1" ht="21" customHeight="1" x14ac:dyDescent="0.25">
      <c r="A73" s="5">
        <v>64</v>
      </c>
      <c r="B73" s="30" t="s">
        <v>222</v>
      </c>
      <c r="C73" s="30" t="s">
        <v>311</v>
      </c>
      <c r="D73" s="30">
        <v>1782588.83</v>
      </c>
      <c r="E73" s="30" t="s">
        <v>283</v>
      </c>
    </row>
    <row r="74" spans="1:5" s="4" customFormat="1" ht="21" customHeight="1" x14ac:dyDescent="0.25">
      <c r="A74" s="5">
        <v>65</v>
      </c>
      <c r="B74" s="30" t="s">
        <v>222</v>
      </c>
      <c r="C74" s="30" t="s">
        <v>312</v>
      </c>
      <c r="D74" s="30">
        <v>446054.91</v>
      </c>
      <c r="E74" s="30" t="s">
        <v>283</v>
      </c>
    </row>
    <row r="75" spans="1:5" s="4" customFormat="1" ht="21" customHeight="1" x14ac:dyDescent="0.25">
      <c r="A75" s="5">
        <v>66</v>
      </c>
      <c r="B75" s="30" t="s">
        <v>304</v>
      </c>
      <c r="C75" s="30">
        <v>7679482</v>
      </c>
      <c r="D75" s="30">
        <v>14679.68</v>
      </c>
      <c r="E75" s="30" t="s">
        <v>283</v>
      </c>
    </row>
    <row r="76" spans="1:5" s="4" customFormat="1" ht="21" customHeight="1" x14ac:dyDescent="0.25">
      <c r="A76" s="5">
        <v>67</v>
      </c>
      <c r="B76" s="30" t="s">
        <v>222</v>
      </c>
      <c r="C76" s="30" t="s">
        <v>317</v>
      </c>
      <c r="D76" s="30">
        <v>109217.34</v>
      </c>
      <c r="E76" s="30" t="s">
        <v>283</v>
      </c>
    </row>
    <row r="77" spans="1:5" s="4" customFormat="1" ht="21" customHeight="1" x14ac:dyDescent="0.25">
      <c r="A77" s="5">
        <v>68</v>
      </c>
      <c r="B77" s="30" t="s">
        <v>222</v>
      </c>
      <c r="C77" s="30" t="s">
        <v>313</v>
      </c>
      <c r="D77" s="30">
        <v>93541.01</v>
      </c>
      <c r="E77" s="30" t="s">
        <v>283</v>
      </c>
    </row>
    <row r="78" spans="1:5" s="4" customFormat="1" ht="21" customHeight="1" x14ac:dyDescent="0.25">
      <c r="A78" s="5">
        <v>69</v>
      </c>
      <c r="B78" s="30" t="s">
        <v>222</v>
      </c>
      <c r="C78" s="30" t="s">
        <v>314</v>
      </c>
      <c r="D78" s="30">
        <v>669929.43000000005</v>
      </c>
      <c r="E78" s="30" t="s">
        <v>283</v>
      </c>
    </row>
    <row r="79" spans="1:5" s="4" customFormat="1" ht="21" customHeight="1" x14ac:dyDescent="0.25">
      <c r="A79" s="5">
        <v>70</v>
      </c>
      <c r="B79" s="30" t="s">
        <v>315</v>
      </c>
      <c r="C79" s="30" t="s">
        <v>316</v>
      </c>
      <c r="D79" s="30">
        <v>1889986.21</v>
      </c>
      <c r="E79" s="30" t="s">
        <v>283</v>
      </c>
    </row>
    <row r="80" spans="1:5" s="4" customFormat="1" ht="21" customHeight="1" x14ac:dyDescent="0.25">
      <c r="A80" s="5">
        <v>71</v>
      </c>
      <c r="B80" s="30" t="s">
        <v>222</v>
      </c>
      <c r="C80" s="30" t="s">
        <v>318</v>
      </c>
      <c r="D80" s="30">
        <v>50201.97</v>
      </c>
      <c r="E80" s="30" t="s">
        <v>283</v>
      </c>
    </row>
    <row r="81" spans="1:6" s="4" customFormat="1" ht="21" customHeight="1" x14ac:dyDescent="0.25">
      <c r="A81" s="5">
        <v>72</v>
      </c>
      <c r="B81" s="30" t="s">
        <v>222</v>
      </c>
      <c r="C81" s="30" t="s">
        <v>319</v>
      </c>
      <c r="D81" s="30">
        <v>64061.99</v>
      </c>
      <c r="E81" s="30" t="s">
        <v>283</v>
      </c>
    </row>
    <row r="82" spans="1:6" s="4" customFormat="1" ht="21" customHeight="1" x14ac:dyDescent="0.25">
      <c r="A82" s="5">
        <v>73</v>
      </c>
      <c r="B82" s="30" t="s">
        <v>222</v>
      </c>
      <c r="C82" s="30" t="s">
        <v>320</v>
      </c>
      <c r="D82" s="30">
        <v>10000</v>
      </c>
      <c r="E82" s="30" t="s">
        <v>283</v>
      </c>
    </row>
    <row r="83" spans="1:6" s="4" customFormat="1" ht="18.75" customHeight="1" x14ac:dyDescent="0.25">
      <c r="A83" s="168"/>
      <c r="B83" s="169"/>
      <c r="C83" s="173" t="s">
        <v>26</v>
      </c>
      <c r="D83" s="169">
        <f>SUM(D10:D82)</f>
        <v>92790522.240000024</v>
      </c>
      <c r="E83" s="170"/>
      <c r="F83" s="172" t="str">
        <f>IF(D83='[4]ETCA-I-02'!$B$11,"","VALOR INCORRECTO, DEBE SER IGUAL A LO REPORTADO EN ETCA-I-02 EN LA CUENTA a2) BANCOS/TESORERÍA")</f>
        <v/>
      </c>
    </row>
    <row r="84" spans="1:6" s="61" customFormat="1" ht="15" customHeight="1" x14ac:dyDescent="0.2">
      <c r="A84" s="3" t="s">
        <v>2</v>
      </c>
    </row>
    <row r="85" spans="1:6" x14ac:dyDescent="0.3">
      <c r="A85" s="3" t="s">
        <v>219</v>
      </c>
    </row>
    <row r="86" spans="1:6" s="61" customFormat="1" ht="12.75" x14ac:dyDescent="0.2">
      <c r="A86" s="3" t="s">
        <v>218</v>
      </c>
    </row>
    <row r="88" spans="1:6" ht="33" customHeight="1" x14ac:dyDescent="0.3">
      <c r="A88" s="229" t="s">
        <v>215</v>
      </c>
      <c r="B88" s="230"/>
      <c r="C88" s="238"/>
      <c r="D88" s="230"/>
      <c r="E88" s="231"/>
    </row>
    <row r="89" spans="1:6" ht="18" customHeight="1" x14ac:dyDescent="0.3">
      <c r="A89" s="228" t="s">
        <v>129</v>
      </c>
      <c r="B89" s="228"/>
      <c r="C89" s="239"/>
      <c r="D89" s="228"/>
      <c r="E89" s="426" t="s">
        <v>212</v>
      </c>
    </row>
    <row r="90" spans="1:6" x14ac:dyDescent="0.3">
      <c r="A90" s="167"/>
      <c r="B90" s="166" t="s">
        <v>130</v>
      </c>
      <c r="C90" s="237" t="s">
        <v>131</v>
      </c>
      <c r="D90" s="166" t="s">
        <v>9</v>
      </c>
      <c r="E90" s="426"/>
    </row>
    <row r="91" spans="1:6" x14ac:dyDescent="0.3">
      <c r="A91" s="5">
        <v>1</v>
      </c>
      <c r="B91" s="30" t="s">
        <v>222</v>
      </c>
      <c r="C91" s="30">
        <v>2047875177</v>
      </c>
      <c r="D91" s="30">
        <v>1827130.53</v>
      </c>
      <c r="E91" s="30" t="s">
        <v>265</v>
      </c>
    </row>
    <row r="92" spans="1:6" x14ac:dyDescent="0.3">
      <c r="A92" s="5">
        <v>2</v>
      </c>
      <c r="B92" s="30" t="s">
        <v>222</v>
      </c>
      <c r="C92" s="30">
        <v>2047401612</v>
      </c>
      <c r="D92" s="30">
        <v>24599301.390000001</v>
      </c>
      <c r="E92" s="30" t="s">
        <v>283</v>
      </c>
    </row>
    <row r="93" spans="1:6" x14ac:dyDescent="0.3">
      <c r="A93" s="5">
        <v>3</v>
      </c>
      <c r="B93" s="30" t="s">
        <v>222</v>
      </c>
      <c r="C93" s="30">
        <v>2050209937</v>
      </c>
      <c r="D93" s="30">
        <v>696450.62</v>
      </c>
      <c r="E93" s="30" t="s">
        <v>265</v>
      </c>
    </row>
    <row r="94" spans="1:6" x14ac:dyDescent="0.3">
      <c r="A94" s="5">
        <v>4</v>
      </c>
      <c r="B94" s="30" t="s">
        <v>222</v>
      </c>
      <c r="C94" s="30">
        <v>2050209961</v>
      </c>
      <c r="D94" s="30">
        <v>226542.5</v>
      </c>
      <c r="E94" s="30" t="s">
        <v>265</v>
      </c>
    </row>
    <row r="95" spans="1:6" x14ac:dyDescent="0.3">
      <c r="A95" s="5">
        <v>5</v>
      </c>
      <c r="B95" s="30" t="s">
        <v>222</v>
      </c>
      <c r="C95" s="30" t="s">
        <v>505</v>
      </c>
      <c r="D95" s="276">
        <v>500144.31</v>
      </c>
      <c r="E95" s="30" t="s">
        <v>283</v>
      </c>
    </row>
    <row r="96" spans="1:6" ht="18.75" x14ac:dyDescent="0.3">
      <c r="A96" s="168"/>
      <c r="B96" s="169"/>
      <c r="C96" s="173" t="s">
        <v>26</v>
      </c>
      <c r="D96" s="169">
        <f>SUM(D91:D95)</f>
        <v>27849569.350000001</v>
      </c>
      <c r="E96" s="170"/>
      <c r="F96" s="172" t="str">
        <f>IF(D96='[4]ETCA-I-02'!$B$13,"","VALOR INCORRECTO, DEBE SER IGUAL A LO REPORTADO EN ETCA-I-02 EN LA CUENTA a4) INVERSIONES TEMPORALES (HASTA 3 MESES)")</f>
        <v/>
      </c>
    </row>
    <row r="98" spans="1:6" ht="33.75" customHeight="1" x14ac:dyDescent="0.3">
      <c r="A98" s="229" t="s">
        <v>216</v>
      </c>
      <c r="B98" s="230"/>
      <c r="C98" s="238"/>
      <c r="D98" s="230"/>
      <c r="E98" s="231"/>
    </row>
    <row r="99" spans="1:6" ht="18" customHeight="1" x14ac:dyDescent="0.3">
      <c r="A99" s="228" t="s">
        <v>129</v>
      </c>
      <c r="B99" s="228"/>
      <c r="C99" s="239"/>
      <c r="D99" s="228"/>
      <c r="E99" s="426" t="s">
        <v>212</v>
      </c>
    </row>
    <row r="100" spans="1:6" x14ac:dyDescent="0.3">
      <c r="A100" s="167"/>
      <c r="B100" s="166" t="s">
        <v>130</v>
      </c>
      <c r="C100" s="237" t="s">
        <v>131</v>
      </c>
      <c r="D100" s="166" t="s">
        <v>9</v>
      </c>
      <c r="E100" s="426"/>
    </row>
    <row r="101" spans="1:6" x14ac:dyDescent="0.3">
      <c r="A101" s="5">
        <v>1</v>
      </c>
      <c r="B101" s="30"/>
      <c r="C101" s="30"/>
      <c r="D101" s="30"/>
      <c r="E101" s="30"/>
    </row>
    <row r="102" spans="1:6" x14ac:dyDescent="0.3">
      <c r="A102" s="5">
        <v>2</v>
      </c>
      <c r="B102" s="30"/>
      <c r="C102" s="30"/>
      <c r="D102" s="30"/>
      <c r="E102" s="30"/>
    </row>
    <row r="103" spans="1:6" x14ac:dyDescent="0.3">
      <c r="A103" s="5">
        <v>3</v>
      </c>
      <c r="B103" s="30"/>
      <c r="C103" s="30"/>
      <c r="D103" s="30"/>
      <c r="E103" s="30"/>
    </row>
    <row r="104" spans="1:6" ht="18.75" x14ac:dyDescent="0.3">
      <c r="A104" s="168"/>
      <c r="B104" s="169"/>
      <c r="C104" s="173" t="s">
        <v>26</v>
      </c>
      <c r="D104" s="169">
        <f>SUM(D101:D103)</f>
        <v>0</v>
      </c>
      <c r="E104" s="170"/>
      <c r="F104" s="172" t="str">
        <f>IF(D104='[4]ETCA-I-02'!$B$18,"","VALOR INCORRECTO, DEBE SER IGUAL A LO REPORTADO EN ETCA-I-02 EN LA CUENTA b1) INVERSIONES FINANCIERAS DE CORTO PLAZO")</f>
        <v/>
      </c>
    </row>
    <row r="106" spans="1:6" ht="33.75" customHeight="1" x14ac:dyDescent="0.3">
      <c r="A106" s="229" t="s">
        <v>217</v>
      </c>
      <c r="B106" s="230"/>
      <c r="C106" s="238"/>
      <c r="D106" s="230"/>
      <c r="E106" s="231"/>
    </row>
    <row r="107" spans="1:6" ht="18" customHeight="1" x14ac:dyDescent="0.3">
      <c r="A107" s="228" t="s">
        <v>129</v>
      </c>
      <c r="B107" s="228"/>
      <c r="C107" s="239"/>
      <c r="D107" s="228"/>
      <c r="E107" s="426" t="s">
        <v>212</v>
      </c>
    </row>
    <row r="108" spans="1:6" x14ac:dyDescent="0.3">
      <c r="A108" s="167"/>
      <c r="B108" s="166" t="s">
        <v>130</v>
      </c>
      <c r="C108" s="237" t="s">
        <v>131</v>
      </c>
      <c r="D108" s="166" t="s">
        <v>9</v>
      </c>
      <c r="E108" s="426"/>
    </row>
    <row r="109" spans="1:6" x14ac:dyDescent="0.3">
      <c r="A109" s="5">
        <v>1</v>
      </c>
      <c r="B109" s="30"/>
      <c r="C109" s="30"/>
      <c r="D109" s="30"/>
      <c r="E109" s="30"/>
    </row>
    <row r="110" spans="1:6" x14ac:dyDescent="0.3">
      <c r="A110" s="5">
        <v>2</v>
      </c>
      <c r="B110" s="30"/>
      <c r="C110" s="30"/>
      <c r="D110" s="30"/>
      <c r="E110" s="30"/>
    </row>
    <row r="111" spans="1:6" x14ac:dyDescent="0.3">
      <c r="A111" s="5">
        <v>3</v>
      </c>
      <c r="B111" s="30"/>
      <c r="C111" s="30"/>
      <c r="D111" s="30"/>
      <c r="E111" s="30"/>
    </row>
    <row r="112" spans="1:6" ht="18.75" x14ac:dyDescent="0.3">
      <c r="A112" s="168"/>
      <c r="B112" s="169"/>
      <c r="C112" s="173" t="s">
        <v>26</v>
      </c>
      <c r="D112" s="169">
        <f>SUM(D109:D111)</f>
        <v>0</v>
      </c>
      <c r="E112" s="170"/>
      <c r="F112" s="172" t="str">
        <f>IF(D112='[4]ETCA-I-02'!$B$48,"","VALOR INCORRECTO, DEBE SER IGUAL A LO REPORTADO EN ETCA-I-02 EN LA CUENTA a) INVERSIONES FINANCIERAS A LARGO PLAZO")</f>
        <v/>
      </c>
    </row>
    <row r="113" spans="1:5" x14ac:dyDescent="0.3">
      <c r="A113" s="3" t="s">
        <v>2</v>
      </c>
      <c r="B113" s="61"/>
    </row>
    <row r="114" spans="1:5" x14ac:dyDescent="0.3">
      <c r="A114" s="3" t="s">
        <v>219</v>
      </c>
      <c r="B114" s="61"/>
    </row>
    <row r="115" spans="1:5" x14ac:dyDescent="0.3">
      <c r="A115" s="3" t="s">
        <v>218</v>
      </c>
      <c r="B115" s="61"/>
      <c r="C115" s="61"/>
      <c r="D115" s="61"/>
      <c r="E115" s="61"/>
    </row>
    <row r="116" spans="1:5" x14ac:dyDescent="0.3">
      <c r="A116" s="61"/>
      <c r="B116" s="61"/>
      <c r="C116" s="61"/>
      <c r="D116" s="61"/>
      <c r="E116" s="61"/>
    </row>
    <row r="117" spans="1:5" ht="39" customHeight="1" x14ac:dyDescent="0.3">
      <c r="A117" s="171"/>
      <c r="B117" s="171"/>
      <c r="C117" s="240"/>
      <c r="D117" s="171"/>
      <c r="E117" s="171"/>
    </row>
    <row r="118" spans="1:5" ht="15.75" customHeight="1" x14ac:dyDescent="0.3">
      <c r="A118" s="171"/>
      <c r="B118" s="171"/>
      <c r="C118" s="240"/>
      <c r="D118" s="171"/>
      <c r="E118" s="171"/>
    </row>
  </sheetData>
  <mergeCells count="11">
    <mergeCell ref="E99:E100"/>
    <mergeCell ref="E107:E108"/>
    <mergeCell ref="A7:E7"/>
    <mergeCell ref="E89:E90"/>
    <mergeCell ref="A1:E1"/>
    <mergeCell ref="A2:E2"/>
    <mergeCell ref="A3:E3"/>
    <mergeCell ref="A4:E4"/>
    <mergeCell ref="A8:D8"/>
    <mergeCell ref="E8:E9"/>
    <mergeCell ref="B5:D5"/>
  </mergeCells>
  <phoneticPr fontId="51" type="noConversion"/>
  <printOptions horizontalCentered="1"/>
  <pageMargins left="0.39370078740157483" right="0.39370078740157483" top="0.74803149606299213" bottom="0.74803149606299213" header="0.31496062992125984" footer="0.31496062992125984"/>
  <pageSetup scale="75" orientation="portrait" r:id="rId1"/>
  <rowBreaks count="2" manualBreakCount="2">
    <brk id="87" max="4" man="1"/>
    <brk id="105"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F461-9E04-470C-B02B-5BA625093151}">
  <dimension ref="A1:AA597"/>
  <sheetViews>
    <sheetView workbookViewId="0">
      <pane ySplit="2" topLeftCell="A3" activePane="bottomLeft" state="frozen"/>
      <selection pane="bottomLeft" activeCell="K10" sqref="K10"/>
    </sheetView>
  </sheetViews>
  <sheetFormatPr baseColWidth="10" defaultRowHeight="15" x14ac:dyDescent="0.25"/>
  <cols>
    <col min="1" max="1" width="12.140625" customWidth="1"/>
    <col min="2" max="4" width="4.5703125" customWidth="1"/>
    <col min="5" max="5" width="8.85546875" customWidth="1"/>
    <col min="6" max="6" width="6.140625" customWidth="1"/>
    <col min="7" max="7" width="5.140625" customWidth="1"/>
    <col min="8" max="8" width="4.7109375" customWidth="1"/>
    <col min="9" max="9" width="9.7109375" style="299" bestFit="1" customWidth="1"/>
    <col min="10" max="10" width="5.85546875" customWidth="1"/>
    <col min="11" max="11" width="6.140625" customWidth="1"/>
    <col min="12" max="12" width="7" customWidth="1"/>
    <col min="13" max="13" width="6" customWidth="1"/>
    <col min="14" max="14" width="8.5703125" customWidth="1"/>
    <col min="15" max="15" width="7.5703125" bestFit="1" customWidth="1"/>
    <col min="16" max="22" width="15.140625" bestFit="1" customWidth="1"/>
    <col min="24" max="24" width="14" customWidth="1"/>
    <col min="27" max="27" width="13.140625" bestFit="1" customWidth="1"/>
  </cols>
  <sheetData>
    <row r="1" spans="1:27" ht="24.75" customHeight="1" x14ac:dyDescent="0.25">
      <c r="A1" s="165" t="s">
        <v>211</v>
      </c>
      <c r="B1" s="431" t="s">
        <v>210</v>
      </c>
      <c r="C1" s="432"/>
      <c r="D1" s="432"/>
      <c r="E1" s="432"/>
      <c r="F1" s="432"/>
      <c r="G1" s="432"/>
      <c r="H1" s="433"/>
      <c r="I1" s="434" t="s">
        <v>209</v>
      </c>
      <c r="J1" s="435"/>
      <c r="K1" s="431" t="s">
        <v>208</v>
      </c>
      <c r="L1" s="432"/>
      <c r="M1" s="432"/>
      <c r="N1" s="432"/>
      <c r="O1" s="433"/>
      <c r="P1" s="431" t="s">
        <v>207</v>
      </c>
      <c r="Q1" s="432"/>
      <c r="R1" s="432"/>
      <c r="S1" s="432"/>
      <c r="T1" s="432"/>
      <c r="U1" s="432"/>
      <c r="V1" s="433"/>
    </row>
    <row r="2" spans="1:27" ht="168" customHeight="1" x14ac:dyDescent="0.25">
      <c r="A2" s="281" t="s">
        <v>206</v>
      </c>
      <c r="B2" s="282" t="s">
        <v>205</v>
      </c>
      <c r="C2" s="283" t="s">
        <v>204</v>
      </c>
      <c r="D2" s="283" t="s">
        <v>203</v>
      </c>
      <c r="E2" s="284" t="s">
        <v>202</v>
      </c>
      <c r="F2" s="285" t="s">
        <v>201</v>
      </c>
      <c r="G2" s="285" t="s">
        <v>200</v>
      </c>
      <c r="H2" s="285" t="s">
        <v>199</v>
      </c>
      <c r="I2" s="286" t="s">
        <v>198</v>
      </c>
      <c r="J2" s="287" t="s">
        <v>197</v>
      </c>
      <c r="K2" s="288" t="s">
        <v>196</v>
      </c>
      <c r="L2" s="289" t="s">
        <v>195</v>
      </c>
      <c r="M2" s="289" t="s">
        <v>194</v>
      </c>
      <c r="N2" s="289" t="s">
        <v>193</v>
      </c>
      <c r="O2" s="290" t="s">
        <v>192</v>
      </c>
      <c r="P2" s="291" t="s">
        <v>191</v>
      </c>
      <c r="Q2" s="292" t="s">
        <v>190</v>
      </c>
      <c r="R2" s="292" t="s">
        <v>189</v>
      </c>
      <c r="S2" s="293" t="s">
        <v>188</v>
      </c>
      <c r="T2" s="293" t="s">
        <v>187</v>
      </c>
      <c r="U2" s="293" t="s">
        <v>186</v>
      </c>
      <c r="V2" s="294" t="s">
        <v>185</v>
      </c>
    </row>
    <row r="3" spans="1:27" s="299" customFormat="1" ht="15" customHeight="1" x14ac:dyDescent="0.25">
      <c r="A3" s="295" t="s">
        <v>578</v>
      </c>
      <c r="B3" s="295">
        <v>2</v>
      </c>
      <c r="C3" s="295">
        <v>2</v>
      </c>
      <c r="D3" s="295" t="s">
        <v>579</v>
      </c>
      <c r="E3" s="295" t="s">
        <v>580</v>
      </c>
      <c r="F3" s="295">
        <v>287</v>
      </c>
      <c r="G3" s="295" t="s">
        <v>25</v>
      </c>
      <c r="H3" s="295">
        <v>1</v>
      </c>
      <c r="I3" s="296">
        <v>11301</v>
      </c>
      <c r="J3" s="295">
        <v>1</v>
      </c>
      <c r="K3" s="295">
        <v>19</v>
      </c>
      <c r="L3" s="295">
        <v>1</v>
      </c>
      <c r="M3" s="295">
        <v>1</v>
      </c>
      <c r="N3" s="295" t="s">
        <v>581</v>
      </c>
      <c r="O3" s="297">
        <v>13</v>
      </c>
      <c r="P3" s="298">
        <v>658790</v>
      </c>
      <c r="Q3" s="298">
        <v>0</v>
      </c>
      <c r="R3" s="298">
        <f>P3+Q3</f>
        <v>658790</v>
      </c>
      <c r="S3" s="298">
        <f>749278.007236944-90488.01</f>
        <v>658789.99723694404</v>
      </c>
      <c r="T3" s="298">
        <v>755874.58000000007</v>
      </c>
      <c r="U3" s="298">
        <v>755874.58000000007</v>
      </c>
      <c r="V3" s="298">
        <v>755874.58</v>
      </c>
    </row>
    <row r="4" spans="1:27" s="299" customFormat="1" ht="15" customHeight="1" x14ac:dyDescent="0.25">
      <c r="A4" s="295" t="s">
        <v>578</v>
      </c>
      <c r="B4" s="295">
        <v>2</v>
      </c>
      <c r="C4" s="295">
        <v>2</v>
      </c>
      <c r="D4" s="295" t="s">
        <v>579</v>
      </c>
      <c r="E4" s="295" t="s">
        <v>580</v>
      </c>
      <c r="F4" s="295">
        <v>287</v>
      </c>
      <c r="G4" s="295" t="s">
        <v>25</v>
      </c>
      <c r="H4" s="295">
        <v>1</v>
      </c>
      <c r="I4" s="296">
        <v>11304</v>
      </c>
      <c r="J4" s="295">
        <v>1</v>
      </c>
      <c r="K4" s="295">
        <v>19</v>
      </c>
      <c r="L4" s="295">
        <v>1</v>
      </c>
      <c r="M4" s="295">
        <v>1</v>
      </c>
      <c r="N4" s="295" t="s">
        <v>581</v>
      </c>
      <c r="O4" s="295">
        <v>13</v>
      </c>
      <c r="P4" s="298">
        <v>797069</v>
      </c>
      <c r="Q4" s="298">
        <v>-797069</v>
      </c>
      <c r="R4" s="298">
        <f t="shared" ref="R4:R69" si="0">P4+Q4</f>
        <v>0</v>
      </c>
      <c r="S4" s="298">
        <v>0</v>
      </c>
      <c r="T4" s="298">
        <v>0</v>
      </c>
      <c r="U4" s="298">
        <v>0</v>
      </c>
      <c r="V4" s="298">
        <v>0</v>
      </c>
    </row>
    <row r="5" spans="1:27" s="299" customFormat="1" ht="15" customHeight="1" x14ac:dyDescent="0.25">
      <c r="A5" s="295" t="s">
        <v>578</v>
      </c>
      <c r="B5" s="295">
        <v>2</v>
      </c>
      <c r="C5" s="295">
        <v>2</v>
      </c>
      <c r="D5" s="295" t="s">
        <v>579</v>
      </c>
      <c r="E5" s="295" t="s">
        <v>580</v>
      </c>
      <c r="F5" s="295">
        <v>287</v>
      </c>
      <c r="G5" s="295" t="s">
        <v>25</v>
      </c>
      <c r="H5" s="295">
        <v>1</v>
      </c>
      <c r="I5" s="296">
        <v>11306</v>
      </c>
      <c r="J5" s="295">
        <v>1</v>
      </c>
      <c r="K5" s="295">
        <v>19</v>
      </c>
      <c r="L5" s="295">
        <v>1</v>
      </c>
      <c r="M5" s="295">
        <v>1</v>
      </c>
      <c r="N5" s="295" t="s">
        <v>581</v>
      </c>
      <c r="O5" s="297">
        <v>13</v>
      </c>
      <c r="P5" s="298">
        <v>172649</v>
      </c>
      <c r="Q5" s="298">
        <v>701556.94939124433</v>
      </c>
      <c r="R5" s="298">
        <f t="shared" si="0"/>
        <v>874205.94939124433</v>
      </c>
      <c r="S5" s="300">
        <f>1054091.53263648-179885.58</f>
        <v>874205.95263647998</v>
      </c>
      <c r="T5" s="298">
        <v>1160026.4393871618</v>
      </c>
      <c r="U5" s="298">
        <v>1043621.3195455159</v>
      </c>
      <c r="V5" s="298">
        <v>1043621.3195455159</v>
      </c>
      <c r="Y5" s="301"/>
      <c r="AA5" s="301"/>
    </row>
    <row r="6" spans="1:27" s="299" customFormat="1" ht="15" customHeight="1" x14ac:dyDescent="0.25">
      <c r="A6" s="295" t="s">
        <v>578</v>
      </c>
      <c r="B6" s="295">
        <v>2</v>
      </c>
      <c r="C6" s="295">
        <v>2</v>
      </c>
      <c r="D6" s="295" t="s">
        <v>579</v>
      </c>
      <c r="E6" s="295" t="s">
        <v>580</v>
      </c>
      <c r="F6" s="295">
        <v>287</v>
      </c>
      <c r="G6" s="295" t="s">
        <v>25</v>
      </c>
      <c r="H6" s="295">
        <v>1</v>
      </c>
      <c r="I6" s="296">
        <v>11307</v>
      </c>
      <c r="J6" s="295">
        <v>1</v>
      </c>
      <c r="K6" s="295">
        <v>19</v>
      </c>
      <c r="L6" s="295">
        <v>1</v>
      </c>
      <c r="M6" s="295">
        <v>1</v>
      </c>
      <c r="N6" s="295" t="s">
        <v>581</v>
      </c>
      <c r="O6" s="295">
        <v>13</v>
      </c>
      <c r="P6" s="298">
        <v>135020</v>
      </c>
      <c r="Q6" s="298">
        <v>37628.524000000005</v>
      </c>
      <c r="R6" s="298">
        <f t="shared" si="0"/>
        <v>172648.524</v>
      </c>
      <c r="S6" s="298">
        <f>197635.632023749-24987.11</f>
        <v>172648.52202374901</v>
      </c>
      <c r="T6" s="298">
        <v>160411.72216697322</v>
      </c>
      <c r="U6" s="298">
        <v>160411.72216697322</v>
      </c>
      <c r="V6" s="298">
        <v>160411.72216697322</v>
      </c>
    </row>
    <row r="7" spans="1:27" s="299" customFormat="1" ht="15" customHeight="1" x14ac:dyDescent="0.25">
      <c r="A7" s="295" t="s">
        <v>578</v>
      </c>
      <c r="B7" s="295">
        <v>2</v>
      </c>
      <c r="C7" s="295">
        <v>2</v>
      </c>
      <c r="D7" s="295" t="s">
        <v>579</v>
      </c>
      <c r="E7" s="295" t="s">
        <v>580</v>
      </c>
      <c r="F7" s="295">
        <v>287</v>
      </c>
      <c r="G7" s="295" t="s">
        <v>25</v>
      </c>
      <c r="H7" s="295">
        <v>1</v>
      </c>
      <c r="I7" s="296">
        <v>11310</v>
      </c>
      <c r="J7" s="295">
        <v>1</v>
      </c>
      <c r="K7" s="295">
        <v>19</v>
      </c>
      <c r="L7" s="295">
        <v>1</v>
      </c>
      <c r="M7" s="295">
        <v>1</v>
      </c>
      <c r="N7" s="295" t="s">
        <v>581</v>
      </c>
      <c r="O7" s="297">
        <v>13</v>
      </c>
      <c r="P7" s="298">
        <v>0</v>
      </c>
      <c r="Q7" s="298">
        <v>135020.424</v>
      </c>
      <c r="R7" s="298">
        <f t="shared" si="0"/>
        <v>135020.424</v>
      </c>
      <c r="S7" s="298">
        <f>150815.510798687-15795.09</f>
        <v>135020.420798687</v>
      </c>
      <c r="T7" s="298">
        <v>125451.29999999999</v>
      </c>
      <c r="U7" s="298">
        <v>125451.29999999999</v>
      </c>
      <c r="V7" s="298">
        <v>125451.29999999999</v>
      </c>
    </row>
    <row r="8" spans="1:27" s="299" customFormat="1" ht="15" customHeight="1" x14ac:dyDescent="0.25">
      <c r="A8" s="295" t="s">
        <v>578</v>
      </c>
      <c r="B8" s="295">
        <v>2</v>
      </c>
      <c r="C8" s="295">
        <v>2</v>
      </c>
      <c r="D8" s="295" t="s">
        <v>579</v>
      </c>
      <c r="E8" s="295" t="s">
        <v>580</v>
      </c>
      <c r="F8" s="295">
        <v>287</v>
      </c>
      <c r="G8" s="295" t="s">
        <v>25</v>
      </c>
      <c r="H8" s="295">
        <v>1</v>
      </c>
      <c r="I8" s="296">
        <v>12101</v>
      </c>
      <c r="J8" s="295">
        <v>1</v>
      </c>
      <c r="K8" s="295">
        <v>19</v>
      </c>
      <c r="L8" s="295">
        <v>1</v>
      </c>
      <c r="M8" s="295">
        <v>1</v>
      </c>
      <c r="N8" s="295" t="s">
        <v>581</v>
      </c>
      <c r="O8" s="295">
        <v>13</v>
      </c>
      <c r="P8" s="298">
        <v>17930</v>
      </c>
      <c r="Q8" s="298">
        <v>-17930</v>
      </c>
      <c r="R8" s="298">
        <f t="shared" si="0"/>
        <v>0</v>
      </c>
      <c r="S8" s="298">
        <v>0</v>
      </c>
      <c r="T8" s="298">
        <v>0</v>
      </c>
      <c r="U8" s="298">
        <v>0</v>
      </c>
      <c r="V8" s="298">
        <v>0</v>
      </c>
    </row>
    <row r="9" spans="1:27" s="299" customFormat="1" ht="15" customHeight="1" x14ac:dyDescent="0.25">
      <c r="A9" s="295" t="s">
        <v>578</v>
      </c>
      <c r="B9" s="295">
        <v>2</v>
      </c>
      <c r="C9" s="295">
        <v>2</v>
      </c>
      <c r="D9" s="295" t="s">
        <v>579</v>
      </c>
      <c r="E9" s="295" t="s">
        <v>580</v>
      </c>
      <c r="F9" s="295">
        <v>287</v>
      </c>
      <c r="G9" s="295" t="s">
        <v>25</v>
      </c>
      <c r="H9" s="295">
        <v>1</v>
      </c>
      <c r="I9" s="296">
        <v>13101</v>
      </c>
      <c r="J9" s="295">
        <v>1</v>
      </c>
      <c r="K9" s="295">
        <v>19</v>
      </c>
      <c r="L9" s="295">
        <v>1</v>
      </c>
      <c r="M9" s="295">
        <v>1</v>
      </c>
      <c r="N9" s="295" t="s">
        <v>581</v>
      </c>
      <c r="O9" s="297">
        <v>13</v>
      </c>
      <c r="P9" s="298">
        <v>10781</v>
      </c>
      <c r="Q9" s="298">
        <v>7149.152</v>
      </c>
      <c r="R9" s="298">
        <f t="shared" si="0"/>
        <v>17930.152000000002</v>
      </c>
      <c r="S9" s="298">
        <f>22543.3000207741-4613.15</f>
        <v>17930.150020774097</v>
      </c>
      <c r="T9" s="298">
        <v>23026.21</v>
      </c>
      <c r="U9" s="298">
        <v>23026.21</v>
      </c>
      <c r="V9" s="298">
        <v>22931.627193705099</v>
      </c>
    </row>
    <row r="10" spans="1:27" s="299" customFormat="1" ht="15" customHeight="1" x14ac:dyDescent="0.25">
      <c r="A10" s="295" t="s">
        <v>578</v>
      </c>
      <c r="B10" s="295">
        <v>2</v>
      </c>
      <c r="C10" s="295">
        <v>2</v>
      </c>
      <c r="D10" s="295" t="s">
        <v>579</v>
      </c>
      <c r="E10" s="295" t="s">
        <v>580</v>
      </c>
      <c r="F10" s="295">
        <v>287</v>
      </c>
      <c r="G10" s="295" t="s">
        <v>25</v>
      </c>
      <c r="H10" s="295">
        <v>1</v>
      </c>
      <c r="I10" s="296">
        <v>13201</v>
      </c>
      <c r="J10" s="295">
        <v>1</v>
      </c>
      <c r="K10" s="295">
        <v>19</v>
      </c>
      <c r="L10" s="295">
        <v>1</v>
      </c>
      <c r="M10" s="295">
        <v>1</v>
      </c>
      <c r="N10" s="295" t="s">
        <v>581</v>
      </c>
      <c r="O10" s="295">
        <v>13</v>
      </c>
      <c r="P10" s="298">
        <v>21563</v>
      </c>
      <c r="Q10" s="298">
        <f>-10781.6+3850+600+0.5</f>
        <v>-6331.1</v>
      </c>
      <c r="R10" s="298">
        <f t="shared" si="0"/>
        <v>15231.9</v>
      </c>
      <c r="S10" s="298">
        <f>11112.249858964-330.85+3850.5+600</f>
        <v>15231.899858964</v>
      </c>
      <c r="T10" s="298">
        <v>15195.380000000001</v>
      </c>
      <c r="U10" s="298">
        <v>15195.380000000001</v>
      </c>
      <c r="V10" s="298">
        <v>15195.380000000001</v>
      </c>
    </row>
    <row r="11" spans="1:27" s="299" customFormat="1" ht="15" customHeight="1" x14ac:dyDescent="0.25">
      <c r="A11" s="295" t="s">
        <v>578</v>
      </c>
      <c r="B11" s="295">
        <v>2</v>
      </c>
      <c r="C11" s="295">
        <v>2</v>
      </c>
      <c r="D11" s="295" t="s">
        <v>579</v>
      </c>
      <c r="E11" s="295" t="s">
        <v>580</v>
      </c>
      <c r="F11" s="295">
        <v>287</v>
      </c>
      <c r="G11" s="295" t="s">
        <v>25</v>
      </c>
      <c r="H11" s="295">
        <v>1</v>
      </c>
      <c r="I11" s="296">
        <v>13202</v>
      </c>
      <c r="J11" s="295">
        <v>1</v>
      </c>
      <c r="K11" s="295">
        <v>19</v>
      </c>
      <c r="L11" s="295">
        <v>1</v>
      </c>
      <c r="M11" s="295">
        <v>1</v>
      </c>
      <c r="N11" s="295" t="s">
        <v>581</v>
      </c>
      <c r="O11" s="297">
        <v>13</v>
      </c>
      <c r="P11" s="298">
        <v>0</v>
      </c>
      <c r="Q11" s="298">
        <v>21562.800000000003</v>
      </c>
      <c r="R11" s="298">
        <f t="shared" si="0"/>
        <v>21562.800000000003</v>
      </c>
      <c r="S11" s="298">
        <f>22224.499717928-661.7</f>
        <v>21562.799717927999</v>
      </c>
      <c r="T11" s="298">
        <v>21562.800000000003</v>
      </c>
      <c r="U11" s="298">
        <v>21562.800000000003</v>
      </c>
      <c r="V11" s="298">
        <v>21562.800000000003</v>
      </c>
    </row>
    <row r="12" spans="1:27" s="299" customFormat="1" ht="15" customHeight="1" x14ac:dyDescent="0.25">
      <c r="A12" s="295" t="s">
        <v>578</v>
      </c>
      <c r="B12" s="295">
        <v>2</v>
      </c>
      <c r="C12" s="295">
        <v>2</v>
      </c>
      <c r="D12" s="295" t="s">
        <v>579</v>
      </c>
      <c r="E12" s="295" t="s">
        <v>580</v>
      </c>
      <c r="F12" s="295">
        <v>287</v>
      </c>
      <c r="G12" s="295" t="s">
        <v>25</v>
      </c>
      <c r="H12" s="295">
        <v>1</v>
      </c>
      <c r="I12" s="296">
        <v>14106</v>
      </c>
      <c r="J12" s="295">
        <v>1</v>
      </c>
      <c r="K12" s="295">
        <v>19</v>
      </c>
      <c r="L12" s="295">
        <v>1</v>
      </c>
      <c r="M12" s="295">
        <v>1</v>
      </c>
      <c r="N12" s="295" t="s">
        <v>581</v>
      </c>
      <c r="O12" s="295">
        <v>13</v>
      </c>
      <c r="P12" s="298">
        <v>376791</v>
      </c>
      <c r="Q12" s="298">
        <f>15000+32000+1700</f>
        <v>48700</v>
      </c>
      <c r="R12" s="298">
        <f t="shared" si="0"/>
        <v>425491</v>
      </c>
      <c r="S12" s="298">
        <f>415178.992055885-38387.99+15442+33200</f>
        <v>425433.00205588504</v>
      </c>
      <c r="T12" s="298">
        <f>484939.967648229-59521.1</f>
        <v>425418.867648229</v>
      </c>
      <c r="U12" s="298">
        <f t="shared" ref="U12:V12" si="1">484939.967648229-59521.1</f>
        <v>425418.867648229</v>
      </c>
      <c r="V12" s="298">
        <f t="shared" si="1"/>
        <v>425418.867648229</v>
      </c>
    </row>
    <row r="13" spans="1:27" s="299" customFormat="1" ht="15" customHeight="1" x14ac:dyDescent="0.25">
      <c r="A13" s="295" t="s">
        <v>578</v>
      </c>
      <c r="B13" s="295">
        <v>2</v>
      </c>
      <c r="C13" s="295">
        <v>2</v>
      </c>
      <c r="D13" s="295" t="s">
        <v>579</v>
      </c>
      <c r="E13" s="295" t="s">
        <v>580</v>
      </c>
      <c r="F13" s="295">
        <v>287</v>
      </c>
      <c r="G13" s="295" t="s">
        <v>25</v>
      </c>
      <c r="H13" s="295">
        <v>1</v>
      </c>
      <c r="I13" s="296">
        <v>14109</v>
      </c>
      <c r="J13" s="295">
        <v>1</v>
      </c>
      <c r="K13" s="295">
        <v>19</v>
      </c>
      <c r="L13" s="295">
        <v>1</v>
      </c>
      <c r="M13" s="295">
        <v>1</v>
      </c>
      <c r="N13" s="295" t="s">
        <v>581</v>
      </c>
      <c r="O13" s="297">
        <v>13</v>
      </c>
      <c r="P13" s="298">
        <v>988690</v>
      </c>
      <c r="Q13" s="298">
        <v>0</v>
      </c>
      <c r="R13" s="298">
        <f t="shared" si="0"/>
        <v>988690</v>
      </c>
      <c r="S13" s="298">
        <v>1270653.4193034912</v>
      </c>
      <c r="T13" s="298">
        <v>1270653.4193034912</v>
      </c>
      <c r="U13" s="298">
        <v>1270653.4193034912</v>
      </c>
      <c r="V13" s="298">
        <v>1240601.4256609359</v>
      </c>
    </row>
    <row r="14" spans="1:27" s="299" customFormat="1" ht="15" customHeight="1" x14ac:dyDescent="0.25">
      <c r="A14" s="295" t="s">
        <v>578</v>
      </c>
      <c r="B14" s="295">
        <v>2</v>
      </c>
      <c r="C14" s="295">
        <v>2</v>
      </c>
      <c r="D14" s="295" t="s">
        <v>579</v>
      </c>
      <c r="E14" s="295" t="s">
        <v>580</v>
      </c>
      <c r="F14" s="295">
        <v>287</v>
      </c>
      <c r="G14" s="295" t="s">
        <v>25</v>
      </c>
      <c r="H14" s="295">
        <v>1</v>
      </c>
      <c r="I14" s="296">
        <v>14402</v>
      </c>
      <c r="J14" s="295">
        <v>1</v>
      </c>
      <c r="K14" s="295">
        <v>19</v>
      </c>
      <c r="L14" s="295">
        <v>1</v>
      </c>
      <c r="M14" s="295">
        <v>1</v>
      </c>
      <c r="N14" s="295" t="s">
        <v>581</v>
      </c>
      <c r="O14" s="295">
        <v>13</v>
      </c>
      <c r="P14" s="298">
        <v>1848</v>
      </c>
      <c r="Q14" s="298">
        <v>0</v>
      </c>
      <c r="R14" s="298">
        <f t="shared" si="0"/>
        <v>1848</v>
      </c>
      <c r="S14" s="298">
        <v>1848</v>
      </c>
      <c r="T14" s="298">
        <f>2178-330</f>
        <v>1848</v>
      </c>
      <c r="U14" s="298">
        <f t="shared" ref="U14:V14" si="2">2178-330</f>
        <v>1848</v>
      </c>
      <c r="V14" s="298">
        <f t="shared" si="2"/>
        <v>1848</v>
      </c>
    </row>
    <row r="15" spans="1:27" s="299" customFormat="1" ht="15" customHeight="1" x14ac:dyDescent="0.25">
      <c r="A15" s="295" t="s">
        <v>578</v>
      </c>
      <c r="B15" s="295">
        <v>2</v>
      </c>
      <c r="C15" s="295">
        <v>2</v>
      </c>
      <c r="D15" s="295" t="s">
        <v>579</v>
      </c>
      <c r="E15" s="295" t="s">
        <v>580</v>
      </c>
      <c r="F15" s="295">
        <v>287</v>
      </c>
      <c r="G15" s="295" t="s">
        <v>25</v>
      </c>
      <c r="H15" s="295">
        <v>1</v>
      </c>
      <c r="I15" s="296">
        <v>14406</v>
      </c>
      <c r="J15" s="295">
        <v>1</v>
      </c>
      <c r="K15" s="295">
        <v>19</v>
      </c>
      <c r="L15" s="295">
        <v>1</v>
      </c>
      <c r="M15" s="295">
        <v>1</v>
      </c>
      <c r="N15" s="295" t="s">
        <v>581</v>
      </c>
      <c r="O15" s="297">
        <v>13</v>
      </c>
      <c r="P15" s="298">
        <v>162</v>
      </c>
      <c r="Q15" s="298">
        <v>0</v>
      </c>
      <c r="R15" s="298">
        <f t="shared" si="0"/>
        <v>162</v>
      </c>
      <c r="S15" s="298">
        <v>162</v>
      </c>
      <c r="T15" s="298">
        <v>162</v>
      </c>
      <c r="U15" s="298">
        <v>162</v>
      </c>
      <c r="V15" s="298">
        <v>162</v>
      </c>
    </row>
    <row r="16" spans="1:27" s="299" customFormat="1" ht="15" customHeight="1" x14ac:dyDescent="0.25">
      <c r="A16" s="295" t="s">
        <v>578</v>
      </c>
      <c r="B16" s="295">
        <v>2</v>
      </c>
      <c r="C16" s="295">
        <v>2</v>
      </c>
      <c r="D16" s="295" t="s">
        <v>579</v>
      </c>
      <c r="E16" s="295" t="s">
        <v>580</v>
      </c>
      <c r="F16" s="295">
        <v>287</v>
      </c>
      <c r="G16" s="295" t="s">
        <v>25</v>
      </c>
      <c r="H16" s="295">
        <v>1</v>
      </c>
      <c r="I16" s="296">
        <v>15101</v>
      </c>
      <c r="J16" s="295">
        <v>1</v>
      </c>
      <c r="K16" s="295">
        <v>19</v>
      </c>
      <c r="L16" s="295">
        <v>1</v>
      </c>
      <c r="M16" s="295">
        <v>1</v>
      </c>
      <c r="N16" s="295" t="s">
        <v>581</v>
      </c>
      <c r="O16" s="295">
        <v>13</v>
      </c>
      <c r="P16" s="298">
        <v>1147</v>
      </c>
      <c r="Q16" s="298">
        <v>0</v>
      </c>
      <c r="R16" s="298">
        <f t="shared" si="0"/>
        <v>1147</v>
      </c>
      <c r="S16" s="298">
        <v>1147</v>
      </c>
      <c r="T16" s="298">
        <v>1146.4799999999998</v>
      </c>
      <c r="U16" s="298">
        <v>1146.4799999999998</v>
      </c>
      <c r="V16" s="298">
        <v>1146.4799999999998</v>
      </c>
    </row>
    <row r="17" spans="1:23" s="299" customFormat="1" ht="15" customHeight="1" x14ac:dyDescent="0.25">
      <c r="A17" s="295" t="s">
        <v>578</v>
      </c>
      <c r="B17" s="295">
        <v>2</v>
      </c>
      <c r="C17" s="295">
        <v>2</v>
      </c>
      <c r="D17" s="295" t="s">
        <v>579</v>
      </c>
      <c r="E17" s="295" t="s">
        <v>580</v>
      </c>
      <c r="F17" s="295">
        <v>287</v>
      </c>
      <c r="G17" s="295" t="s">
        <v>25</v>
      </c>
      <c r="H17" s="295">
        <v>1</v>
      </c>
      <c r="I17" s="296">
        <v>15202</v>
      </c>
      <c r="J17" s="295">
        <v>1</v>
      </c>
      <c r="K17" s="295">
        <v>19</v>
      </c>
      <c r="L17" s="295">
        <v>1</v>
      </c>
      <c r="M17" s="295">
        <v>1</v>
      </c>
      <c r="N17" s="295" t="s">
        <v>581</v>
      </c>
      <c r="O17" s="295">
        <v>13</v>
      </c>
      <c r="P17" s="298"/>
      <c r="Q17" s="298">
        <v>79888.789999999994</v>
      </c>
      <c r="R17" s="298">
        <f>P17+Q17</f>
        <v>79888.789999999994</v>
      </c>
      <c r="S17" s="298">
        <v>79888.789999999994</v>
      </c>
      <c r="T17" s="298">
        <v>79888.789999999994</v>
      </c>
      <c r="U17" s="298">
        <v>79888.789999999994</v>
      </c>
      <c r="V17" s="298">
        <v>79888.789999999994</v>
      </c>
    </row>
    <row r="18" spans="1:23" s="299" customFormat="1" ht="15" customHeight="1" x14ac:dyDescent="0.25">
      <c r="A18" s="295" t="s">
        <v>578</v>
      </c>
      <c r="B18" s="295">
        <v>2</v>
      </c>
      <c r="C18" s="295">
        <v>2</v>
      </c>
      <c r="D18" s="295" t="s">
        <v>579</v>
      </c>
      <c r="E18" s="295" t="s">
        <v>580</v>
      </c>
      <c r="F18" s="295">
        <v>287</v>
      </c>
      <c r="G18" s="295" t="s">
        <v>25</v>
      </c>
      <c r="H18" s="295">
        <v>1</v>
      </c>
      <c r="I18" s="296">
        <v>15901</v>
      </c>
      <c r="J18" s="295">
        <v>1</v>
      </c>
      <c r="K18" s="295">
        <v>19</v>
      </c>
      <c r="L18" s="295">
        <v>1</v>
      </c>
      <c r="M18" s="295">
        <v>1</v>
      </c>
      <c r="N18" s="295" t="s">
        <v>581</v>
      </c>
      <c r="O18" s="297">
        <v>13</v>
      </c>
      <c r="P18" s="298">
        <v>646820</v>
      </c>
      <c r="Q18" s="298">
        <v>-10000</v>
      </c>
      <c r="R18" s="298">
        <f t="shared" si="0"/>
        <v>636820</v>
      </c>
      <c r="S18" s="298">
        <v>636820</v>
      </c>
      <c r="T18" s="298">
        <v>775362.30999999982</v>
      </c>
      <c r="U18" s="298">
        <v>775362.30999999982</v>
      </c>
      <c r="V18" s="298">
        <v>775362.30999999982</v>
      </c>
    </row>
    <row r="19" spans="1:23" s="299" customFormat="1" ht="15" customHeight="1" x14ac:dyDescent="0.25">
      <c r="A19" s="295" t="s">
        <v>578</v>
      </c>
      <c r="B19" s="295">
        <v>2</v>
      </c>
      <c r="C19" s="295">
        <v>2</v>
      </c>
      <c r="D19" s="295" t="s">
        <v>579</v>
      </c>
      <c r="E19" s="295" t="s">
        <v>580</v>
      </c>
      <c r="F19" s="295">
        <v>287</v>
      </c>
      <c r="G19" s="295" t="s">
        <v>25</v>
      </c>
      <c r="H19" s="295">
        <v>1</v>
      </c>
      <c r="I19" s="296">
        <v>17102</v>
      </c>
      <c r="J19" s="295">
        <v>1</v>
      </c>
      <c r="K19" s="295">
        <v>19</v>
      </c>
      <c r="L19" s="295">
        <v>1</v>
      </c>
      <c r="M19" s="295">
        <v>1</v>
      </c>
      <c r="N19" s="295" t="s">
        <v>581</v>
      </c>
      <c r="O19" s="295">
        <v>13</v>
      </c>
      <c r="P19" s="298">
        <v>71400</v>
      </c>
      <c r="Q19" s="298">
        <f>3801+49</f>
        <v>3850</v>
      </c>
      <c r="R19" s="298">
        <f t="shared" si="0"/>
        <v>75250</v>
      </c>
      <c r="S19" s="298">
        <f>71400+3850</f>
        <v>75250</v>
      </c>
      <c r="T19" s="298">
        <v>75250</v>
      </c>
      <c r="U19" s="298">
        <v>75250</v>
      </c>
      <c r="V19" s="298">
        <v>75250</v>
      </c>
    </row>
    <row r="20" spans="1:23" s="299" customFormat="1" ht="15" customHeight="1" x14ac:dyDescent="0.25">
      <c r="A20" s="295" t="s">
        <v>578</v>
      </c>
      <c r="B20" s="295">
        <v>2</v>
      </c>
      <c r="C20" s="295">
        <v>2</v>
      </c>
      <c r="D20" s="295" t="s">
        <v>579</v>
      </c>
      <c r="E20" s="295" t="s">
        <v>580</v>
      </c>
      <c r="F20" s="295">
        <v>287</v>
      </c>
      <c r="G20" s="295" t="s">
        <v>25</v>
      </c>
      <c r="H20" s="295">
        <v>1</v>
      </c>
      <c r="I20" s="296">
        <v>21101</v>
      </c>
      <c r="J20" s="295">
        <v>1</v>
      </c>
      <c r="K20" s="295">
        <v>19</v>
      </c>
      <c r="L20" s="295">
        <v>1</v>
      </c>
      <c r="M20" s="295">
        <v>1</v>
      </c>
      <c r="N20" s="295" t="s">
        <v>581</v>
      </c>
      <c r="O20" s="297">
        <v>13</v>
      </c>
      <c r="P20" s="298">
        <v>42190.1</v>
      </c>
      <c r="Q20" s="298">
        <f>-13200+285.78</f>
        <v>-12914.22</v>
      </c>
      <c r="R20" s="298">
        <f t="shared" si="0"/>
        <v>29275.879999999997</v>
      </c>
      <c r="S20" s="298">
        <v>29275.882799999999</v>
      </c>
      <c r="T20" s="298">
        <v>29275.882799999999</v>
      </c>
      <c r="U20" s="298">
        <v>29275.882799999999</v>
      </c>
      <c r="V20" s="298">
        <v>29028.10251742051</v>
      </c>
      <c r="W20" s="302"/>
    </row>
    <row r="21" spans="1:23" s="299" customFormat="1" ht="15" customHeight="1" x14ac:dyDescent="0.25">
      <c r="A21" s="295" t="s">
        <v>578</v>
      </c>
      <c r="B21" s="295">
        <v>2</v>
      </c>
      <c r="C21" s="295">
        <v>2</v>
      </c>
      <c r="D21" s="295" t="s">
        <v>579</v>
      </c>
      <c r="E21" s="295" t="s">
        <v>580</v>
      </c>
      <c r="F21" s="295">
        <v>287</v>
      </c>
      <c r="G21" s="295" t="s">
        <v>25</v>
      </c>
      <c r="H21" s="295">
        <v>1</v>
      </c>
      <c r="I21" s="296">
        <v>21201</v>
      </c>
      <c r="J21" s="295">
        <v>1</v>
      </c>
      <c r="K21" s="295">
        <v>19</v>
      </c>
      <c r="L21" s="295">
        <v>1</v>
      </c>
      <c r="M21" s="295">
        <v>1</v>
      </c>
      <c r="N21" s="295" t="s">
        <v>581</v>
      </c>
      <c r="O21" s="295">
        <v>13</v>
      </c>
      <c r="P21" s="298">
        <v>45.5</v>
      </c>
      <c r="Q21" s="298">
        <v>0</v>
      </c>
      <c r="R21" s="298">
        <f t="shared" si="0"/>
        <v>45.5</v>
      </c>
      <c r="S21" s="298">
        <v>0</v>
      </c>
      <c r="T21" s="298"/>
      <c r="U21" s="298">
        <v>0</v>
      </c>
      <c r="V21" s="298">
        <v>0</v>
      </c>
      <c r="W21" s="302"/>
    </row>
    <row r="22" spans="1:23" s="299" customFormat="1" ht="15" customHeight="1" x14ac:dyDescent="0.25">
      <c r="A22" s="295" t="s">
        <v>578</v>
      </c>
      <c r="B22" s="295">
        <v>2</v>
      </c>
      <c r="C22" s="295">
        <v>2</v>
      </c>
      <c r="D22" s="295" t="s">
        <v>579</v>
      </c>
      <c r="E22" s="295" t="s">
        <v>580</v>
      </c>
      <c r="F22" s="295">
        <v>287</v>
      </c>
      <c r="G22" s="295" t="s">
        <v>25</v>
      </c>
      <c r="H22" s="295">
        <v>1</v>
      </c>
      <c r="I22" s="296">
        <v>21401</v>
      </c>
      <c r="J22" s="295">
        <v>1</v>
      </c>
      <c r="K22" s="295">
        <v>19</v>
      </c>
      <c r="L22" s="295">
        <v>1</v>
      </c>
      <c r="M22" s="295">
        <v>1</v>
      </c>
      <c r="N22" s="295" t="s">
        <v>581</v>
      </c>
      <c r="O22" s="297">
        <v>13</v>
      </c>
      <c r="P22" s="298">
        <v>31216.77</v>
      </c>
      <c r="Q22" s="298">
        <f>-9000-538.2</f>
        <v>-9538.2000000000007</v>
      </c>
      <c r="R22" s="298">
        <f t="shared" si="0"/>
        <v>21678.57</v>
      </c>
      <c r="S22" s="298">
        <v>0</v>
      </c>
      <c r="T22" s="298">
        <v>0</v>
      </c>
      <c r="U22" s="298">
        <v>0</v>
      </c>
      <c r="V22" s="298">
        <v>0</v>
      </c>
      <c r="W22" s="302"/>
    </row>
    <row r="23" spans="1:23" s="299" customFormat="1" ht="15" customHeight="1" x14ac:dyDescent="0.25">
      <c r="A23" s="295" t="s">
        <v>578</v>
      </c>
      <c r="B23" s="295">
        <v>2</v>
      </c>
      <c r="C23" s="295">
        <v>2</v>
      </c>
      <c r="D23" s="295" t="s">
        <v>579</v>
      </c>
      <c r="E23" s="295" t="s">
        <v>580</v>
      </c>
      <c r="F23" s="295">
        <v>287</v>
      </c>
      <c r="G23" s="295" t="s">
        <v>25</v>
      </c>
      <c r="H23" s="295">
        <v>1</v>
      </c>
      <c r="I23" s="296">
        <v>21501</v>
      </c>
      <c r="J23" s="295">
        <v>1</v>
      </c>
      <c r="K23" s="295">
        <v>19</v>
      </c>
      <c r="L23" s="295">
        <v>1</v>
      </c>
      <c r="M23" s="295">
        <v>1</v>
      </c>
      <c r="N23" s="295" t="s">
        <v>581</v>
      </c>
      <c r="O23" s="295">
        <v>13</v>
      </c>
      <c r="P23" s="298">
        <v>0</v>
      </c>
      <c r="Q23" s="298">
        <v>2350</v>
      </c>
      <c r="R23" s="298">
        <f t="shared" si="0"/>
        <v>2350</v>
      </c>
      <c r="S23" s="298">
        <v>2350</v>
      </c>
      <c r="T23" s="298">
        <v>2350</v>
      </c>
      <c r="U23" s="298">
        <v>2350</v>
      </c>
      <c r="V23" s="298">
        <v>2350</v>
      </c>
      <c r="W23" s="302"/>
    </row>
    <row r="24" spans="1:23" s="299" customFormat="1" ht="15" customHeight="1" x14ac:dyDescent="0.25">
      <c r="A24" s="295" t="s">
        <v>578</v>
      </c>
      <c r="B24" s="295">
        <v>2</v>
      </c>
      <c r="C24" s="295">
        <v>2</v>
      </c>
      <c r="D24" s="295" t="s">
        <v>579</v>
      </c>
      <c r="E24" s="295" t="s">
        <v>580</v>
      </c>
      <c r="F24" s="295">
        <v>287</v>
      </c>
      <c r="G24" s="295" t="s">
        <v>25</v>
      </c>
      <c r="H24" s="295">
        <v>1</v>
      </c>
      <c r="I24" s="296">
        <v>21601</v>
      </c>
      <c r="J24" s="295">
        <v>1</v>
      </c>
      <c r="K24" s="295">
        <v>19</v>
      </c>
      <c r="L24" s="295">
        <v>1</v>
      </c>
      <c r="M24" s="295">
        <v>1</v>
      </c>
      <c r="N24" s="295" t="s">
        <v>581</v>
      </c>
      <c r="O24" s="297">
        <v>13</v>
      </c>
      <c r="P24" s="298">
        <v>2174.98</v>
      </c>
      <c r="Q24" s="298">
        <v>-2174.98</v>
      </c>
      <c r="R24" s="298">
        <f t="shared" si="0"/>
        <v>0</v>
      </c>
      <c r="S24" s="298">
        <v>0</v>
      </c>
      <c r="T24" s="298"/>
      <c r="U24" s="298">
        <v>0</v>
      </c>
      <c r="V24" s="298">
        <v>0</v>
      </c>
      <c r="W24" s="302"/>
    </row>
    <row r="25" spans="1:23" s="299" customFormat="1" ht="15" customHeight="1" x14ac:dyDescent="0.25">
      <c r="A25" s="295" t="s">
        <v>578</v>
      </c>
      <c r="B25" s="295">
        <v>2</v>
      </c>
      <c r="C25" s="295">
        <v>2</v>
      </c>
      <c r="D25" s="295" t="s">
        <v>579</v>
      </c>
      <c r="E25" s="295" t="s">
        <v>580</v>
      </c>
      <c r="F25" s="295">
        <v>287</v>
      </c>
      <c r="G25" s="295" t="s">
        <v>25</v>
      </c>
      <c r="H25" s="295">
        <v>1</v>
      </c>
      <c r="I25" s="296">
        <v>21801</v>
      </c>
      <c r="J25" s="295">
        <v>1</v>
      </c>
      <c r="K25" s="295">
        <v>19</v>
      </c>
      <c r="L25" s="295">
        <v>1</v>
      </c>
      <c r="M25" s="295">
        <v>1</v>
      </c>
      <c r="N25" s="295" t="s">
        <v>581</v>
      </c>
      <c r="O25" s="295">
        <v>13</v>
      </c>
      <c r="P25" s="298">
        <v>4897.84</v>
      </c>
      <c r="Q25" s="298">
        <f>701+391.37+391.41+108.38</f>
        <v>1592.1599999999999</v>
      </c>
      <c r="R25" s="298">
        <f t="shared" si="0"/>
        <v>6490</v>
      </c>
      <c r="S25" s="298">
        <v>6490</v>
      </c>
      <c r="T25" s="298">
        <v>6490</v>
      </c>
      <c r="U25" s="298">
        <v>6490</v>
      </c>
      <c r="V25" s="298">
        <v>6490</v>
      </c>
      <c r="W25" s="302"/>
    </row>
    <row r="26" spans="1:23" s="299" customFormat="1" ht="15" customHeight="1" x14ac:dyDescent="0.25">
      <c r="A26" s="295" t="s">
        <v>578</v>
      </c>
      <c r="B26" s="295">
        <v>2</v>
      </c>
      <c r="C26" s="295">
        <v>2</v>
      </c>
      <c r="D26" s="295" t="s">
        <v>579</v>
      </c>
      <c r="E26" s="295" t="s">
        <v>580</v>
      </c>
      <c r="F26" s="295">
        <v>287</v>
      </c>
      <c r="G26" s="295" t="s">
        <v>25</v>
      </c>
      <c r="H26" s="295">
        <v>1</v>
      </c>
      <c r="I26" s="296">
        <v>22101</v>
      </c>
      <c r="J26" s="295">
        <v>1</v>
      </c>
      <c r="K26" s="295">
        <v>19</v>
      </c>
      <c r="L26" s="295">
        <v>1</v>
      </c>
      <c r="M26" s="295">
        <v>1</v>
      </c>
      <c r="N26" s="295" t="s">
        <v>581</v>
      </c>
      <c r="O26" s="297">
        <v>13</v>
      </c>
      <c r="P26" s="298">
        <v>22159.24</v>
      </c>
      <c r="Q26" s="298">
        <v>36674.949999999997</v>
      </c>
      <c r="R26" s="298">
        <f t="shared" si="0"/>
        <v>58834.19</v>
      </c>
      <c r="S26" s="298">
        <f>58479.6998927399+354.49</f>
        <v>58834.189892739902</v>
      </c>
      <c r="T26" s="298">
        <f>58479.6998927399+354.49</f>
        <v>58834.189892739902</v>
      </c>
      <c r="U26" s="298">
        <f t="shared" ref="U26:V26" si="3">58479.6998927399+354.49</f>
        <v>58834.189892739902</v>
      </c>
      <c r="V26" s="298">
        <f t="shared" si="3"/>
        <v>58834.189892739902</v>
      </c>
      <c r="W26" s="302"/>
    </row>
    <row r="27" spans="1:23" s="299" customFormat="1" ht="15" customHeight="1" x14ac:dyDescent="0.25">
      <c r="A27" s="295" t="s">
        <v>578</v>
      </c>
      <c r="B27" s="295">
        <v>2</v>
      </c>
      <c r="C27" s="295">
        <v>2</v>
      </c>
      <c r="D27" s="295" t="s">
        <v>579</v>
      </c>
      <c r="E27" s="295" t="s">
        <v>580</v>
      </c>
      <c r="F27" s="295">
        <v>287</v>
      </c>
      <c r="G27" s="295" t="s">
        <v>25</v>
      </c>
      <c r="H27" s="295">
        <v>1</v>
      </c>
      <c r="I27" s="296">
        <v>22301</v>
      </c>
      <c r="J27" s="295">
        <v>1</v>
      </c>
      <c r="K27" s="295">
        <v>19</v>
      </c>
      <c r="L27" s="295">
        <v>1</v>
      </c>
      <c r="M27" s="295">
        <v>1</v>
      </c>
      <c r="N27" s="295" t="s">
        <v>581</v>
      </c>
      <c r="O27" s="295">
        <v>13</v>
      </c>
      <c r="P27" s="298">
        <v>530.51</v>
      </c>
      <c r="Q27" s="298">
        <v>0</v>
      </c>
      <c r="R27" s="298">
        <f t="shared" si="0"/>
        <v>530.51</v>
      </c>
      <c r="S27" s="298">
        <v>317.00479999999993</v>
      </c>
      <c r="T27" s="298">
        <v>317.00479999999993</v>
      </c>
      <c r="U27" s="298">
        <v>317.00479999999993</v>
      </c>
      <c r="V27" s="298">
        <v>317.00479999999993</v>
      </c>
      <c r="W27" s="302"/>
    </row>
    <row r="28" spans="1:23" s="299" customFormat="1" ht="15" customHeight="1" x14ac:dyDescent="0.25">
      <c r="A28" s="295" t="s">
        <v>578</v>
      </c>
      <c r="B28" s="295">
        <v>2</v>
      </c>
      <c r="C28" s="295">
        <v>2</v>
      </c>
      <c r="D28" s="295" t="s">
        <v>579</v>
      </c>
      <c r="E28" s="295" t="s">
        <v>580</v>
      </c>
      <c r="F28" s="295">
        <v>287</v>
      </c>
      <c r="G28" s="295" t="s">
        <v>25</v>
      </c>
      <c r="H28" s="295">
        <v>1</v>
      </c>
      <c r="I28" s="296">
        <v>25301</v>
      </c>
      <c r="J28" s="295">
        <v>1</v>
      </c>
      <c r="K28" s="295">
        <v>19</v>
      </c>
      <c r="L28" s="295">
        <v>1</v>
      </c>
      <c r="M28" s="295">
        <v>1</v>
      </c>
      <c r="N28" s="295" t="s">
        <v>581</v>
      </c>
      <c r="O28" s="297">
        <v>13</v>
      </c>
      <c r="P28" s="298">
        <v>79.040000000000006</v>
      </c>
      <c r="Q28" s="298">
        <f>84.52+273.61</f>
        <v>358.13</v>
      </c>
      <c r="R28" s="298">
        <f t="shared" si="0"/>
        <v>437.17</v>
      </c>
      <c r="S28" s="298">
        <v>437.16705449823343</v>
      </c>
      <c r="T28" s="298">
        <v>437.16705449823343</v>
      </c>
      <c r="U28" s="298">
        <v>437.16705449823343</v>
      </c>
      <c r="V28" s="298">
        <v>437.16705449823343</v>
      </c>
      <c r="W28" s="302"/>
    </row>
    <row r="29" spans="1:23" s="299" customFormat="1" ht="15" customHeight="1" x14ac:dyDescent="0.25">
      <c r="A29" s="295" t="s">
        <v>578</v>
      </c>
      <c r="B29" s="295">
        <v>2</v>
      </c>
      <c r="C29" s="295">
        <v>2</v>
      </c>
      <c r="D29" s="295" t="s">
        <v>579</v>
      </c>
      <c r="E29" s="295" t="s">
        <v>580</v>
      </c>
      <c r="F29" s="295">
        <v>287</v>
      </c>
      <c r="G29" s="295" t="s">
        <v>25</v>
      </c>
      <c r="H29" s="295">
        <v>1</v>
      </c>
      <c r="I29" s="296">
        <v>26101</v>
      </c>
      <c r="J29" s="295">
        <v>1</v>
      </c>
      <c r="K29" s="295">
        <v>19</v>
      </c>
      <c r="L29" s="295">
        <v>1</v>
      </c>
      <c r="M29" s="295">
        <v>1</v>
      </c>
      <c r="N29" s="295" t="s">
        <v>581</v>
      </c>
      <c r="O29" s="295">
        <v>13</v>
      </c>
      <c r="P29" s="298">
        <v>90403.47</v>
      </c>
      <c r="Q29" s="298">
        <f>92895.67+53141.71</f>
        <v>146037.38</v>
      </c>
      <c r="R29" s="298">
        <f t="shared" si="0"/>
        <v>236440.85</v>
      </c>
      <c r="S29" s="298">
        <v>236440.8469722874</v>
      </c>
      <c r="T29" s="298">
        <v>236440.8469722874</v>
      </c>
      <c r="U29" s="298">
        <v>236440.8469722874</v>
      </c>
      <c r="V29" s="298">
        <v>219875.79351008192</v>
      </c>
      <c r="W29" s="302"/>
    </row>
    <row r="30" spans="1:23" s="299" customFormat="1" ht="15" customHeight="1" x14ac:dyDescent="0.25">
      <c r="A30" s="295" t="s">
        <v>578</v>
      </c>
      <c r="B30" s="295">
        <v>2</v>
      </c>
      <c r="C30" s="295">
        <v>2</v>
      </c>
      <c r="D30" s="295" t="s">
        <v>579</v>
      </c>
      <c r="E30" s="295" t="s">
        <v>580</v>
      </c>
      <c r="F30" s="295">
        <v>287</v>
      </c>
      <c r="G30" s="295" t="s">
        <v>25</v>
      </c>
      <c r="H30" s="295">
        <v>1</v>
      </c>
      <c r="I30" s="296">
        <v>26102</v>
      </c>
      <c r="J30" s="295">
        <v>1</v>
      </c>
      <c r="K30" s="295">
        <v>19</v>
      </c>
      <c r="L30" s="295">
        <v>1</v>
      </c>
      <c r="M30" s="295">
        <v>1</v>
      </c>
      <c r="N30" s="295" t="s">
        <v>581</v>
      </c>
      <c r="O30" s="297">
        <v>13</v>
      </c>
      <c r="P30" s="298">
        <v>20.22</v>
      </c>
      <c r="Q30" s="298">
        <v>0</v>
      </c>
      <c r="R30" s="298">
        <f t="shared" si="0"/>
        <v>20.22</v>
      </c>
      <c r="S30" s="298">
        <v>2476.5088000000001</v>
      </c>
      <c r="T30" s="298">
        <v>2476.5088000000001</v>
      </c>
      <c r="U30" s="298">
        <v>2476.5088000000001</v>
      </c>
      <c r="V30" s="298">
        <v>2254.3017236641967</v>
      </c>
      <c r="W30" s="302"/>
    </row>
    <row r="31" spans="1:23" s="299" customFormat="1" ht="15" customHeight="1" x14ac:dyDescent="0.25">
      <c r="A31" s="295" t="s">
        <v>578</v>
      </c>
      <c r="B31" s="295">
        <v>2</v>
      </c>
      <c r="C31" s="295">
        <v>2</v>
      </c>
      <c r="D31" s="295" t="s">
        <v>579</v>
      </c>
      <c r="E31" s="295" t="s">
        <v>580</v>
      </c>
      <c r="F31" s="295">
        <v>287</v>
      </c>
      <c r="G31" s="295" t="s">
        <v>25</v>
      </c>
      <c r="H31" s="295">
        <v>1</v>
      </c>
      <c r="I31" s="296">
        <v>29201</v>
      </c>
      <c r="J31" s="295">
        <v>1</v>
      </c>
      <c r="K31" s="295">
        <v>19</v>
      </c>
      <c r="L31" s="295">
        <v>1</v>
      </c>
      <c r="M31" s="295">
        <v>1</v>
      </c>
      <c r="N31" s="295" t="s">
        <v>581</v>
      </c>
      <c r="O31" s="295">
        <v>13</v>
      </c>
      <c r="P31" s="298">
        <v>1924</v>
      </c>
      <c r="Q31" s="298">
        <v>462.5</v>
      </c>
      <c r="R31" s="298">
        <f t="shared" si="0"/>
        <v>2386.5</v>
      </c>
      <c r="S31" s="298">
        <v>2730.3151999999995</v>
      </c>
      <c r="T31" s="298">
        <v>2730.3151999999995</v>
      </c>
      <c r="U31" s="298">
        <v>2730.3151999999995</v>
      </c>
      <c r="V31" s="298">
        <v>2730.3151999999995</v>
      </c>
      <c r="W31" s="302"/>
    </row>
    <row r="32" spans="1:23" s="299" customFormat="1" ht="15" customHeight="1" x14ac:dyDescent="0.25">
      <c r="A32" s="295" t="s">
        <v>578</v>
      </c>
      <c r="B32" s="295">
        <v>2</v>
      </c>
      <c r="C32" s="295">
        <v>2</v>
      </c>
      <c r="D32" s="295" t="s">
        <v>579</v>
      </c>
      <c r="E32" s="295" t="s">
        <v>580</v>
      </c>
      <c r="F32" s="295">
        <v>287</v>
      </c>
      <c r="G32" s="295" t="s">
        <v>25</v>
      </c>
      <c r="H32" s="295">
        <v>1</v>
      </c>
      <c r="I32" s="296">
        <v>29301</v>
      </c>
      <c r="J32" s="295">
        <v>1</v>
      </c>
      <c r="K32" s="295">
        <v>19</v>
      </c>
      <c r="L32" s="295">
        <v>1</v>
      </c>
      <c r="M32" s="295">
        <v>1</v>
      </c>
      <c r="N32" s="295" t="s">
        <v>581</v>
      </c>
      <c r="O32" s="297">
        <v>13</v>
      </c>
      <c r="P32" s="298">
        <v>0</v>
      </c>
      <c r="Q32" s="298">
        <v>2600</v>
      </c>
      <c r="R32" s="298">
        <f t="shared" si="0"/>
        <v>2600</v>
      </c>
      <c r="S32" s="298">
        <v>2600.0007999999998</v>
      </c>
      <c r="T32" s="298">
        <v>2600.0007999999998</v>
      </c>
      <c r="U32" s="298">
        <v>2600.0007999999998</v>
      </c>
      <c r="V32" s="298">
        <v>2600.0007999999998</v>
      </c>
      <c r="W32" s="302"/>
    </row>
    <row r="33" spans="1:23" s="299" customFormat="1" ht="15" customHeight="1" x14ac:dyDescent="0.25">
      <c r="A33" s="295" t="s">
        <v>578</v>
      </c>
      <c r="B33" s="295">
        <v>2</v>
      </c>
      <c r="C33" s="295">
        <v>2</v>
      </c>
      <c r="D33" s="295" t="s">
        <v>579</v>
      </c>
      <c r="E33" s="295" t="s">
        <v>580</v>
      </c>
      <c r="F33" s="295">
        <v>287</v>
      </c>
      <c r="G33" s="295" t="s">
        <v>25</v>
      </c>
      <c r="H33" s="295">
        <v>1</v>
      </c>
      <c r="I33" s="296">
        <v>29401</v>
      </c>
      <c r="J33" s="295">
        <v>1</v>
      </c>
      <c r="K33" s="295">
        <v>19</v>
      </c>
      <c r="L33" s="295">
        <v>1</v>
      </c>
      <c r="M33" s="295">
        <v>1</v>
      </c>
      <c r="N33" s="295" t="s">
        <v>581</v>
      </c>
      <c r="O33" s="295">
        <v>13</v>
      </c>
      <c r="P33" s="298">
        <v>0</v>
      </c>
      <c r="Q33" s="298">
        <f>2558.99+270.01</f>
        <v>2829</v>
      </c>
      <c r="R33" s="298">
        <f t="shared" si="0"/>
        <v>2829</v>
      </c>
      <c r="S33" s="298">
        <v>2828.9964</v>
      </c>
      <c r="T33" s="298">
        <v>2828.9964</v>
      </c>
      <c r="U33" s="298">
        <v>2828.9964</v>
      </c>
      <c r="V33" s="298">
        <v>2828.9964</v>
      </c>
      <c r="W33" s="302"/>
    </row>
    <row r="34" spans="1:23" s="299" customFormat="1" ht="15" customHeight="1" x14ac:dyDescent="0.25">
      <c r="A34" s="295" t="s">
        <v>578</v>
      </c>
      <c r="B34" s="295">
        <v>2</v>
      </c>
      <c r="C34" s="295">
        <v>2</v>
      </c>
      <c r="D34" s="295" t="s">
        <v>579</v>
      </c>
      <c r="E34" s="295" t="s">
        <v>580</v>
      </c>
      <c r="F34" s="295">
        <v>287</v>
      </c>
      <c r="G34" s="295" t="s">
        <v>25</v>
      </c>
      <c r="H34" s="295">
        <v>1</v>
      </c>
      <c r="I34" s="296">
        <v>29601</v>
      </c>
      <c r="J34" s="295">
        <v>1</v>
      </c>
      <c r="K34" s="295">
        <v>19</v>
      </c>
      <c r="L34" s="295">
        <v>1</v>
      </c>
      <c r="M34" s="295">
        <v>1</v>
      </c>
      <c r="N34" s="295" t="s">
        <v>581</v>
      </c>
      <c r="O34" s="297">
        <v>13</v>
      </c>
      <c r="P34" s="298">
        <v>21000</v>
      </c>
      <c r="Q34" s="298">
        <f>9000+30000+19035.04+6967.04</f>
        <v>65002.080000000002</v>
      </c>
      <c r="R34" s="298">
        <f t="shared" si="0"/>
        <v>86002.08</v>
      </c>
      <c r="S34" s="298">
        <v>86002.075999999972</v>
      </c>
      <c r="T34" s="298">
        <v>86002.075999999972</v>
      </c>
      <c r="U34" s="298">
        <v>86002.075999999972</v>
      </c>
      <c r="V34" s="298">
        <v>85115.893260362398</v>
      </c>
      <c r="W34" s="302"/>
    </row>
    <row r="35" spans="1:23" s="299" customFormat="1" ht="15" customHeight="1" x14ac:dyDescent="0.25">
      <c r="A35" s="295" t="s">
        <v>578</v>
      </c>
      <c r="B35" s="295">
        <v>2</v>
      </c>
      <c r="C35" s="295">
        <v>2</v>
      </c>
      <c r="D35" s="295" t="s">
        <v>579</v>
      </c>
      <c r="E35" s="295" t="s">
        <v>580</v>
      </c>
      <c r="F35" s="295">
        <v>287</v>
      </c>
      <c r="G35" s="295" t="s">
        <v>25</v>
      </c>
      <c r="H35" s="295">
        <v>1</v>
      </c>
      <c r="I35" s="296">
        <v>31801</v>
      </c>
      <c r="J35" s="295">
        <v>1</v>
      </c>
      <c r="K35" s="295">
        <v>19</v>
      </c>
      <c r="L35" s="295">
        <v>1</v>
      </c>
      <c r="M35" s="295">
        <v>1</v>
      </c>
      <c r="N35" s="295" t="s">
        <v>581</v>
      </c>
      <c r="O35" s="295">
        <v>13</v>
      </c>
      <c r="P35" s="298">
        <v>1432.88</v>
      </c>
      <c r="Q35" s="298">
        <v>880.66</v>
      </c>
      <c r="R35" s="298">
        <f t="shared" si="0"/>
        <v>2313.54</v>
      </c>
      <c r="S35" s="298">
        <v>2397.5328</v>
      </c>
      <c r="T35" s="298">
        <v>2397.5328</v>
      </c>
      <c r="U35" s="298">
        <v>2397.5328</v>
      </c>
      <c r="V35" s="298">
        <v>2397.5328</v>
      </c>
    </row>
    <row r="36" spans="1:23" s="299" customFormat="1" ht="15" customHeight="1" x14ac:dyDescent="0.25">
      <c r="A36" s="295" t="s">
        <v>578</v>
      </c>
      <c r="B36" s="295">
        <v>2</v>
      </c>
      <c r="C36" s="295">
        <v>2</v>
      </c>
      <c r="D36" s="295" t="s">
        <v>579</v>
      </c>
      <c r="E36" s="295" t="s">
        <v>580</v>
      </c>
      <c r="F36" s="295">
        <v>287</v>
      </c>
      <c r="G36" s="295" t="s">
        <v>25</v>
      </c>
      <c r="H36" s="295">
        <v>1</v>
      </c>
      <c r="I36" s="296">
        <v>32501</v>
      </c>
      <c r="J36" s="295">
        <v>1</v>
      </c>
      <c r="K36" s="295">
        <v>19</v>
      </c>
      <c r="L36" s="295">
        <v>1</v>
      </c>
      <c r="M36" s="295">
        <v>1</v>
      </c>
      <c r="N36" s="295" t="s">
        <v>581</v>
      </c>
      <c r="O36" s="297">
        <v>13</v>
      </c>
      <c r="P36" s="298">
        <v>2172.4</v>
      </c>
      <c r="Q36" s="298">
        <f>-1268.02-757.13</f>
        <v>-2025.15</v>
      </c>
      <c r="R36" s="298">
        <f t="shared" si="0"/>
        <v>147.25</v>
      </c>
      <c r="S36" s="298">
        <v>0</v>
      </c>
      <c r="T36" s="298">
        <v>0</v>
      </c>
      <c r="U36" s="298">
        <v>0</v>
      </c>
      <c r="V36" s="298">
        <v>0</v>
      </c>
    </row>
    <row r="37" spans="1:23" s="299" customFormat="1" ht="15" customHeight="1" x14ac:dyDescent="0.25">
      <c r="A37" s="295" t="s">
        <v>578</v>
      </c>
      <c r="B37" s="295">
        <v>2</v>
      </c>
      <c r="C37" s="295">
        <v>2</v>
      </c>
      <c r="D37" s="295" t="s">
        <v>579</v>
      </c>
      <c r="E37" s="295" t="s">
        <v>580</v>
      </c>
      <c r="F37" s="295">
        <v>287</v>
      </c>
      <c r="G37" s="295" t="s">
        <v>25</v>
      </c>
      <c r="H37" s="295">
        <v>1</v>
      </c>
      <c r="I37" s="296">
        <v>33101</v>
      </c>
      <c r="J37" s="295">
        <v>1</v>
      </c>
      <c r="K37" s="295">
        <v>19</v>
      </c>
      <c r="L37" s="295">
        <v>1</v>
      </c>
      <c r="M37" s="295">
        <v>1</v>
      </c>
      <c r="N37" s="295" t="s">
        <v>581</v>
      </c>
      <c r="O37" s="295">
        <v>13</v>
      </c>
      <c r="P37" s="298">
        <v>3942511</v>
      </c>
      <c r="Q37" s="298">
        <f>-434028.15-630.52</f>
        <v>-434658.67000000004</v>
      </c>
      <c r="R37" s="298">
        <f t="shared" si="0"/>
        <v>3507852.33</v>
      </c>
      <c r="S37" s="298">
        <v>2742743.1268000002</v>
      </c>
      <c r="T37" s="298">
        <v>2742743.1268000002</v>
      </c>
      <c r="U37" s="298">
        <v>2742743.1268000002</v>
      </c>
      <c r="V37" s="298">
        <v>2408154.9408269697</v>
      </c>
    </row>
    <row r="38" spans="1:23" s="299" customFormat="1" ht="15" customHeight="1" x14ac:dyDescent="0.25">
      <c r="A38" s="295" t="s">
        <v>578</v>
      </c>
      <c r="B38" s="295">
        <v>2</v>
      </c>
      <c r="C38" s="295">
        <v>2</v>
      </c>
      <c r="D38" s="295" t="s">
        <v>579</v>
      </c>
      <c r="E38" s="295" t="s">
        <v>580</v>
      </c>
      <c r="F38" s="295">
        <v>287</v>
      </c>
      <c r="G38" s="295" t="s">
        <v>25</v>
      </c>
      <c r="H38" s="295">
        <v>1</v>
      </c>
      <c r="I38" s="296">
        <v>33301</v>
      </c>
      <c r="J38" s="295">
        <v>1</v>
      </c>
      <c r="K38" s="295">
        <v>19</v>
      </c>
      <c r="L38" s="295">
        <v>1</v>
      </c>
      <c r="M38" s="295">
        <v>1</v>
      </c>
      <c r="N38" s="295" t="s">
        <v>581</v>
      </c>
      <c r="O38" s="297">
        <v>13</v>
      </c>
      <c r="P38" s="298">
        <f>25391.66+0.19</f>
        <v>25391.85</v>
      </c>
      <c r="Q38" s="298">
        <v>-10000</v>
      </c>
      <c r="R38" s="298">
        <f>P38+Q38</f>
        <v>15391.849999999999</v>
      </c>
      <c r="S38" s="298">
        <v>0</v>
      </c>
      <c r="T38" s="298">
        <v>0</v>
      </c>
      <c r="U38" s="298">
        <v>0</v>
      </c>
      <c r="V38" s="298">
        <v>0</v>
      </c>
    </row>
    <row r="39" spans="1:23" s="299" customFormat="1" ht="15" customHeight="1" x14ac:dyDescent="0.25">
      <c r="A39" s="295" t="s">
        <v>578</v>
      </c>
      <c r="B39" s="295">
        <v>2</v>
      </c>
      <c r="C39" s="295">
        <v>2</v>
      </c>
      <c r="D39" s="295" t="s">
        <v>579</v>
      </c>
      <c r="E39" s="295" t="s">
        <v>580</v>
      </c>
      <c r="F39" s="295">
        <v>287</v>
      </c>
      <c r="G39" s="295" t="s">
        <v>25</v>
      </c>
      <c r="H39" s="295">
        <v>1</v>
      </c>
      <c r="I39" s="296">
        <v>33401</v>
      </c>
      <c r="J39" s="295">
        <v>1</v>
      </c>
      <c r="K39" s="295">
        <v>19</v>
      </c>
      <c r="L39" s="295">
        <v>1</v>
      </c>
      <c r="M39" s="295">
        <v>1</v>
      </c>
      <c r="N39" s="295" t="s">
        <v>581</v>
      </c>
      <c r="O39" s="295">
        <v>13</v>
      </c>
      <c r="P39" s="298">
        <v>17897.61</v>
      </c>
      <c r="Q39" s="298">
        <v>-17897.61</v>
      </c>
      <c r="R39" s="298">
        <f t="shared" si="0"/>
        <v>0</v>
      </c>
      <c r="S39" s="298">
        <v>0</v>
      </c>
      <c r="T39" s="298">
        <v>0</v>
      </c>
      <c r="U39" s="298">
        <v>0</v>
      </c>
      <c r="V39" s="298">
        <v>0</v>
      </c>
    </row>
    <row r="40" spans="1:23" s="299" customFormat="1" ht="15" customHeight="1" x14ac:dyDescent="0.25">
      <c r="A40" s="295" t="s">
        <v>578</v>
      </c>
      <c r="B40" s="295">
        <v>2</v>
      </c>
      <c r="C40" s="295">
        <v>2</v>
      </c>
      <c r="D40" s="295" t="s">
        <v>579</v>
      </c>
      <c r="E40" s="295" t="s">
        <v>580</v>
      </c>
      <c r="F40" s="295">
        <v>287</v>
      </c>
      <c r="G40" s="295" t="s">
        <v>25</v>
      </c>
      <c r="H40" s="295">
        <v>1</v>
      </c>
      <c r="I40" s="296">
        <v>33603</v>
      </c>
      <c r="J40" s="295">
        <v>1</v>
      </c>
      <c r="K40" s="295">
        <v>19</v>
      </c>
      <c r="L40" s="295">
        <v>1</v>
      </c>
      <c r="M40" s="295">
        <v>1</v>
      </c>
      <c r="N40" s="295" t="s">
        <v>581</v>
      </c>
      <c r="O40" s="297">
        <v>13</v>
      </c>
      <c r="P40" s="298">
        <v>66575.570000000007</v>
      </c>
      <c r="Q40" s="298">
        <f>-30000-7971.69-747.88-22657</f>
        <v>-61376.57</v>
      </c>
      <c r="R40" s="298">
        <f t="shared" si="0"/>
        <v>5199.0000000000073</v>
      </c>
      <c r="S40" s="298">
        <v>5547</v>
      </c>
      <c r="T40" s="298">
        <v>5547</v>
      </c>
      <c r="U40" s="298">
        <v>5547</v>
      </c>
      <c r="V40" s="298">
        <v>5087.0300954982122</v>
      </c>
    </row>
    <row r="41" spans="1:23" s="299" customFormat="1" ht="15" customHeight="1" x14ac:dyDescent="0.25">
      <c r="A41" s="295" t="s">
        <v>578</v>
      </c>
      <c r="B41" s="295">
        <v>2</v>
      </c>
      <c r="C41" s="295">
        <v>2</v>
      </c>
      <c r="D41" s="295" t="s">
        <v>579</v>
      </c>
      <c r="E41" s="295" t="s">
        <v>580</v>
      </c>
      <c r="F41" s="295">
        <v>287</v>
      </c>
      <c r="G41" s="295" t="s">
        <v>25</v>
      </c>
      <c r="H41" s="295">
        <v>1</v>
      </c>
      <c r="I41" s="296">
        <v>34401</v>
      </c>
      <c r="J41" s="295">
        <v>1</v>
      </c>
      <c r="K41" s="295">
        <v>19</v>
      </c>
      <c r="L41" s="295">
        <v>1</v>
      </c>
      <c r="M41" s="295">
        <v>1</v>
      </c>
      <c r="N41" s="295" t="s">
        <v>581</v>
      </c>
      <c r="O41" s="295">
        <v>13</v>
      </c>
      <c r="P41" s="298">
        <v>52408.480000000003</v>
      </c>
      <c r="Q41" s="298">
        <v>0</v>
      </c>
      <c r="R41" s="298">
        <f t="shared" si="0"/>
        <v>52408.480000000003</v>
      </c>
      <c r="S41" s="298">
        <v>55727.68</v>
      </c>
      <c r="T41" s="298">
        <v>55727.68</v>
      </c>
      <c r="U41" s="298">
        <v>55727.68</v>
      </c>
      <c r="V41" s="298">
        <v>55727.68</v>
      </c>
    </row>
    <row r="42" spans="1:23" s="299" customFormat="1" ht="15" customHeight="1" x14ac:dyDescent="0.25">
      <c r="A42" s="295" t="s">
        <v>578</v>
      </c>
      <c r="B42" s="295">
        <v>2</v>
      </c>
      <c r="C42" s="295">
        <v>2</v>
      </c>
      <c r="D42" s="295" t="s">
        <v>579</v>
      </c>
      <c r="E42" s="295" t="s">
        <v>580</v>
      </c>
      <c r="F42" s="295">
        <v>287</v>
      </c>
      <c r="G42" s="295" t="s">
        <v>25</v>
      </c>
      <c r="H42" s="295">
        <v>1</v>
      </c>
      <c r="I42" s="296">
        <v>35101</v>
      </c>
      <c r="J42" s="295">
        <v>1</v>
      </c>
      <c r="K42" s="295">
        <v>19</v>
      </c>
      <c r="L42" s="295">
        <v>1</v>
      </c>
      <c r="M42" s="295">
        <v>1</v>
      </c>
      <c r="N42" s="295" t="s">
        <v>581</v>
      </c>
      <c r="O42" s="297">
        <v>13</v>
      </c>
      <c r="P42" s="298">
        <v>1846.5</v>
      </c>
      <c r="Q42" s="298">
        <v>-110</v>
      </c>
      <c r="R42" s="298">
        <f t="shared" si="0"/>
        <v>1736.5</v>
      </c>
      <c r="S42" s="298">
        <v>0</v>
      </c>
      <c r="T42" s="298">
        <v>0</v>
      </c>
      <c r="U42" s="298">
        <v>0</v>
      </c>
      <c r="V42" s="298">
        <v>0</v>
      </c>
    </row>
    <row r="43" spans="1:23" s="299" customFormat="1" ht="15" customHeight="1" x14ac:dyDescent="0.25">
      <c r="A43" s="295" t="s">
        <v>578</v>
      </c>
      <c r="B43" s="295">
        <v>2</v>
      </c>
      <c r="C43" s="295">
        <v>2</v>
      </c>
      <c r="D43" s="295" t="s">
        <v>579</v>
      </c>
      <c r="E43" s="295" t="s">
        <v>580</v>
      </c>
      <c r="F43" s="295">
        <v>287</v>
      </c>
      <c r="G43" s="295" t="s">
        <v>25</v>
      </c>
      <c r="H43" s="295">
        <v>1</v>
      </c>
      <c r="I43" s="296">
        <v>35501</v>
      </c>
      <c r="J43" s="295">
        <v>1</v>
      </c>
      <c r="K43" s="295">
        <v>19</v>
      </c>
      <c r="L43" s="295">
        <v>1</v>
      </c>
      <c r="M43" s="295">
        <v>1</v>
      </c>
      <c r="N43" s="295" t="s">
        <v>581</v>
      </c>
      <c r="O43" s="295">
        <v>13</v>
      </c>
      <c r="P43" s="298">
        <v>36691.47</v>
      </c>
      <c r="Q43" s="298">
        <f>10000+9468.86</f>
        <v>19468.86</v>
      </c>
      <c r="R43" s="298">
        <f t="shared" si="0"/>
        <v>56160.33</v>
      </c>
      <c r="S43" s="298">
        <v>56160.331600000005</v>
      </c>
      <c r="T43" s="298">
        <v>56160.331600000005</v>
      </c>
      <c r="U43" s="298">
        <v>56160.331600000005</v>
      </c>
      <c r="V43" s="298">
        <v>54478.464095118019</v>
      </c>
    </row>
    <row r="44" spans="1:23" s="299" customFormat="1" ht="15" customHeight="1" x14ac:dyDescent="0.25">
      <c r="A44" s="295" t="s">
        <v>578</v>
      </c>
      <c r="B44" s="295">
        <v>2</v>
      </c>
      <c r="C44" s="295">
        <v>2</v>
      </c>
      <c r="D44" s="295" t="s">
        <v>579</v>
      </c>
      <c r="E44" s="295" t="s">
        <v>580</v>
      </c>
      <c r="F44" s="295">
        <v>287</v>
      </c>
      <c r="G44" s="295" t="s">
        <v>25</v>
      </c>
      <c r="H44" s="295">
        <v>1</v>
      </c>
      <c r="I44" s="296">
        <v>36101</v>
      </c>
      <c r="J44" s="295">
        <v>1</v>
      </c>
      <c r="K44" s="295">
        <v>19</v>
      </c>
      <c r="L44" s="295">
        <v>1</v>
      </c>
      <c r="M44" s="295">
        <v>1</v>
      </c>
      <c r="N44" s="295" t="s">
        <v>581</v>
      </c>
      <c r="O44" s="297">
        <v>13</v>
      </c>
      <c r="P44" s="298">
        <v>17672</v>
      </c>
      <c r="Q44" s="298">
        <v>-15451</v>
      </c>
      <c r="R44" s="298">
        <f t="shared" si="0"/>
        <v>2221</v>
      </c>
      <c r="S44" s="298">
        <v>0</v>
      </c>
      <c r="T44" s="298">
        <v>0</v>
      </c>
      <c r="U44" s="298">
        <v>0</v>
      </c>
      <c r="V44" s="298">
        <v>0</v>
      </c>
    </row>
    <row r="45" spans="1:23" s="299" customFormat="1" ht="15" customHeight="1" x14ac:dyDescent="0.25">
      <c r="A45" s="295" t="s">
        <v>578</v>
      </c>
      <c r="B45" s="295">
        <v>2</v>
      </c>
      <c r="C45" s="295">
        <v>2</v>
      </c>
      <c r="D45" s="295" t="s">
        <v>579</v>
      </c>
      <c r="E45" s="295" t="s">
        <v>580</v>
      </c>
      <c r="F45" s="295">
        <v>287</v>
      </c>
      <c r="G45" s="295" t="s">
        <v>25</v>
      </c>
      <c r="H45" s="295">
        <v>1</v>
      </c>
      <c r="I45" s="296">
        <v>37101</v>
      </c>
      <c r="J45" s="295">
        <v>1</v>
      </c>
      <c r="K45" s="295">
        <v>19</v>
      </c>
      <c r="L45" s="295">
        <v>1</v>
      </c>
      <c r="M45" s="295">
        <v>1</v>
      </c>
      <c r="N45" s="295" t="s">
        <v>581</v>
      </c>
      <c r="O45" s="295">
        <v>13</v>
      </c>
      <c r="P45" s="298">
        <f>220743.12+0.18</f>
        <v>220743.3</v>
      </c>
      <c r="Q45" s="298">
        <v>12405.61</v>
      </c>
      <c r="R45" s="298">
        <f t="shared" si="0"/>
        <v>233148.90999999997</v>
      </c>
      <c r="S45" s="298">
        <v>233148.91194193083</v>
      </c>
      <c r="T45" s="298">
        <v>233148.91194193083</v>
      </c>
      <c r="U45" s="298">
        <v>233148.91194193083</v>
      </c>
      <c r="V45" s="298">
        <v>168426.37888870417</v>
      </c>
    </row>
    <row r="46" spans="1:23" s="299" customFormat="1" ht="15" customHeight="1" x14ac:dyDescent="0.25">
      <c r="A46" s="295" t="s">
        <v>578</v>
      </c>
      <c r="B46" s="295">
        <v>2</v>
      </c>
      <c r="C46" s="295">
        <v>2</v>
      </c>
      <c r="D46" s="295" t="s">
        <v>579</v>
      </c>
      <c r="E46" s="295" t="s">
        <v>580</v>
      </c>
      <c r="F46" s="295">
        <v>287</v>
      </c>
      <c r="G46" s="295" t="s">
        <v>25</v>
      </c>
      <c r="H46" s="295">
        <v>1</v>
      </c>
      <c r="I46" s="296">
        <v>37201</v>
      </c>
      <c r="J46" s="295">
        <v>1</v>
      </c>
      <c r="K46" s="295">
        <v>19</v>
      </c>
      <c r="L46" s="295">
        <v>1</v>
      </c>
      <c r="M46" s="295">
        <v>1</v>
      </c>
      <c r="N46" s="295" t="s">
        <v>581</v>
      </c>
      <c r="O46" s="297">
        <v>13</v>
      </c>
      <c r="P46" s="298">
        <v>12804.4</v>
      </c>
      <c r="Q46" s="298">
        <v>-5572.18</v>
      </c>
      <c r="R46" s="298">
        <f t="shared" si="0"/>
        <v>7232.2199999999993</v>
      </c>
      <c r="S46" s="298">
        <v>7232.2151999999996</v>
      </c>
      <c r="T46" s="298">
        <v>7232.2151999999996</v>
      </c>
      <c r="U46" s="298">
        <v>7232.2151999999996</v>
      </c>
      <c r="V46" s="298">
        <v>7232.2151999999996</v>
      </c>
    </row>
    <row r="47" spans="1:23" s="299" customFormat="1" ht="15" customHeight="1" x14ac:dyDescent="0.25">
      <c r="A47" s="295" t="s">
        <v>578</v>
      </c>
      <c r="B47" s="295">
        <v>2</v>
      </c>
      <c r="C47" s="295">
        <v>2</v>
      </c>
      <c r="D47" s="295" t="s">
        <v>579</v>
      </c>
      <c r="E47" s="295" t="s">
        <v>580</v>
      </c>
      <c r="F47" s="295">
        <v>287</v>
      </c>
      <c r="G47" s="295" t="s">
        <v>25</v>
      </c>
      <c r="H47" s="295">
        <v>1</v>
      </c>
      <c r="I47" s="296">
        <v>37501</v>
      </c>
      <c r="J47" s="295">
        <v>1</v>
      </c>
      <c r="K47" s="295">
        <v>19</v>
      </c>
      <c r="L47" s="295">
        <v>1</v>
      </c>
      <c r="M47" s="295">
        <v>1</v>
      </c>
      <c r="N47" s="295" t="s">
        <v>581</v>
      </c>
      <c r="O47" s="295">
        <v>13</v>
      </c>
      <c r="P47" s="298">
        <v>135896.85999999999</v>
      </c>
      <c r="Q47" s="298">
        <v>-38650</v>
      </c>
      <c r="R47" s="298">
        <f t="shared" si="0"/>
        <v>97246.859999999986</v>
      </c>
      <c r="S47" s="298">
        <v>88946.381645864632</v>
      </c>
      <c r="T47" s="298">
        <v>88946.381645864632</v>
      </c>
      <c r="U47" s="298">
        <v>88946.381645864632</v>
      </c>
      <c r="V47" s="298">
        <v>88946.381645864632</v>
      </c>
    </row>
    <row r="48" spans="1:23" s="299" customFormat="1" ht="15" customHeight="1" x14ac:dyDescent="0.25">
      <c r="A48" s="295" t="s">
        <v>578</v>
      </c>
      <c r="B48" s="295">
        <v>2</v>
      </c>
      <c r="C48" s="295">
        <v>2</v>
      </c>
      <c r="D48" s="295" t="s">
        <v>579</v>
      </c>
      <c r="E48" s="295" t="s">
        <v>580</v>
      </c>
      <c r="F48" s="295">
        <v>287</v>
      </c>
      <c r="G48" s="295" t="s">
        <v>25</v>
      </c>
      <c r="H48" s="295">
        <v>1</v>
      </c>
      <c r="I48" s="296">
        <v>37502</v>
      </c>
      <c r="J48" s="295">
        <v>1</v>
      </c>
      <c r="K48" s="295">
        <v>19</v>
      </c>
      <c r="L48" s="295">
        <v>1</v>
      </c>
      <c r="M48" s="295">
        <v>1</v>
      </c>
      <c r="N48" s="295" t="s">
        <v>581</v>
      </c>
      <c r="O48" s="297">
        <v>13</v>
      </c>
      <c r="P48" s="298">
        <v>52520.18</v>
      </c>
      <c r="Q48" s="298">
        <f>-11400-3820.18</f>
        <v>-15220.18</v>
      </c>
      <c r="R48" s="298">
        <f t="shared" si="0"/>
        <v>37300</v>
      </c>
      <c r="S48" s="298">
        <v>37300</v>
      </c>
      <c r="T48" s="298">
        <v>37300</v>
      </c>
      <c r="U48" s="298">
        <v>37300</v>
      </c>
      <c r="V48" s="298">
        <v>37300</v>
      </c>
    </row>
    <row r="49" spans="1:27" s="299" customFormat="1" ht="15" customHeight="1" x14ac:dyDescent="0.25">
      <c r="A49" s="295" t="s">
        <v>578</v>
      </c>
      <c r="B49" s="295">
        <v>2</v>
      </c>
      <c r="C49" s="295">
        <v>2</v>
      </c>
      <c r="D49" s="295" t="s">
        <v>579</v>
      </c>
      <c r="E49" s="295" t="s">
        <v>580</v>
      </c>
      <c r="F49" s="295">
        <v>287</v>
      </c>
      <c r="G49" s="295" t="s">
        <v>25</v>
      </c>
      <c r="H49" s="295">
        <v>1</v>
      </c>
      <c r="I49" s="296">
        <v>37601</v>
      </c>
      <c r="J49" s="295">
        <v>1</v>
      </c>
      <c r="K49" s="295">
        <v>19</v>
      </c>
      <c r="L49" s="295">
        <v>1</v>
      </c>
      <c r="M49" s="295">
        <v>1</v>
      </c>
      <c r="N49" s="295" t="s">
        <v>581</v>
      </c>
      <c r="O49" s="295">
        <v>13</v>
      </c>
      <c r="P49" s="298">
        <v>84773.7</v>
      </c>
      <c r="Q49" s="298">
        <f>-20000+9820.3</f>
        <v>-10179.700000000001</v>
      </c>
      <c r="R49" s="298">
        <f t="shared" si="0"/>
        <v>74594</v>
      </c>
      <c r="S49" s="298">
        <v>74594</v>
      </c>
      <c r="T49" s="298">
        <v>74594</v>
      </c>
      <c r="U49" s="298">
        <v>74594</v>
      </c>
      <c r="V49" s="298">
        <v>74594</v>
      </c>
    </row>
    <row r="50" spans="1:27" s="299" customFormat="1" ht="15" customHeight="1" x14ac:dyDescent="0.25">
      <c r="A50" s="295" t="s">
        <v>578</v>
      </c>
      <c r="B50" s="295">
        <v>2</v>
      </c>
      <c r="C50" s="295">
        <v>2</v>
      </c>
      <c r="D50" s="295" t="s">
        <v>579</v>
      </c>
      <c r="E50" s="295" t="s">
        <v>580</v>
      </c>
      <c r="F50" s="295">
        <v>287</v>
      </c>
      <c r="G50" s="295" t="s">
        <v>25</v>
      </c>
      <c r="H50" s="295">
        <v>1</v>
      </c>
      <c r="I50" s="296">
        <v>37801</v>
      </c>
      <c r="J50" s="295">
        <v>1</v>
      </c>
      <c r="K50" s="295">
        <v>19</v>
      </c>
      <c r="L50" s="295">
        <v>1</v>
      </c>
      <c r="M50" s="295">
        <v>1</v>
      </c>
      <c r="N50" s="295" t="s">
        <v>581</v>
      </c>
      <c r="O50" s="297">
        <v>13</v>
      </c>
      <c r="P50" s="298">
        <v>6186.96</v>
      </c>
      <c r="Q50" s="298">
        <f>-1212.96-2000</f>
        <v>-3212.96</v>
      </c>
      <c r="R50" s="298">
        <f t="shared" si="0"/>
        <v>2974</v>
      </c>
      <c r="S50" s="298">
        <v>0</v>
      </c>
      <c r="T50" s="298">
        <v>0</v>
      </c>
      <c r="U50" s="298">
        <v>0</v>
      </c>
      <c r="V50" s="298">
        <v>0</v>
      </c>
    </row>
    <row r="51" spans="1:27" s="299" customFormat="1" ht="15" customHeight="1" x14ac:dyDescent="0.25">
      <c r="A51" s="295" t="s">
        <v>578</v>
      </c>
      <c r="B51" s="295">
        <v>2</v>
      </c>
      <c r="C51" s="295">
        <v>2</v>
      </c>
      <c r="D51" s="295" t="s">
        <v>579</v>
      </c>
      <c r="E51" s="295" t="s">
        <v>580</v>
      </c>
      <c r="F51" s="295">
        <v>287</v>
      </c>
      <c r="G51" s="295" t="s">
        <v>25</v>
      </c>
      <c r="H51" s="295">
        <v>1</v>
      </c>
      <c r="I51" s="296">
        <v>37901</v>
      </c>
      <c r="J51" s="295">
        <v>1</v>
      </c>
      <c r="K51" s="295">
        <v>19</v>
      </c>
      <c r="L51" s="295">
        <v>1</v>
      </c>
      <c r="M51" s="295">
        <v>1</v>
      </c>
      <c r="N51" s="295" t="s">
        <v>581</v>
      </c>
      <c r="O51" s="295">
        <v>13</v>
      </c>
      <c r="P51" s="298">
        <v>1165</v>
      </c>
      <c r="Q51" s="298">
        <v>0</v>
      </c>
      <c r="R51" s="298">
        <f t="shared" si="0"/>
        <v>1165</v>
      </c>
      <c r="S51" s="298">
        <v>613.99360000000001</v>
      </c>
      <c r="T51" s="298">
        <v>889.98079999999993</v>
      </c>
      <c r="U51" s="298">
        <v>889.98079999999993</v>
      </c>
      <c r="V51" s="298">
        <v>889.98079999999993</v>
      </c>
    </row>
    <row r="52" spans="1:27" s="299" customFormat="1" ht="15" customHeight="1" x14ac:dyDescent="0.25">
      <c r="A52" s="295" t="s">
        <v>578</v>
      </c>
      <c r="B52" s="295">
        <v>2</v>
      </c>
      <c r="C52" s="295">
        <v>2</v>
      </c>
      <c r="D52" s="295" t="s">
        <v>579</v>
      </c>
      <c r="E52" s="295" t="s">
        <v>580</v>
      </c>
      <c r="F52" s="295">
        <v>287</v>
      </c>
      <c r="G52" s="295" t="s">
        <v>25</v>
      </c>
      <c r="H52" s="295">
        <v>1</v>
      </c>
      <c r="I52" s="296">
        <v>38101</v>
      </c>
      <c r="J52" s="295">
        <v>1</v>
      </c>
      <c r="K52" s="295">
        <v>19</v>
      </c>
      <c r="L52" s="295">
        <v>1</v>
      </c>
      <c r="M52" s="295">
        <v>1</v>
      </c>
      <c r="N52" s="295" t="s">
        <v>581</v>
      </c>
      <c r="O52" s="297">
        <v>13</v>
      </c>
      <c r="P52" s="298">
        <v>8035.57</v>
      </c>
      <c r="Q52" s="298">
        <f>-709-3315.58-20</f>
        <v>-4044.58</v>
      </c>
      <c r="R52" s="298">
        <f t="shared" si="0"/>
        <v>3990.99</v>
      </c>
      <c r="S52" s="298">
        <v>3991.0990000000002</v>
      </c>
      <c r="T52" s="298">
        <v>3991.0990000000002</v>
      </c>
      <c r="U52" s="298">
        <v>3991.0990000000002</v>
      </c>
      <c r="V52" s="298">
        <v>3991.0990000000002</v>
      </c>
    </row>
    <row r="53" spans="1:27" s="299" customFormat="1" ht="15" customHeight="1" x14ac:dyDescent="0.25">
      <c r="A53" s="295" t="s">
        <v>578</v>
      </c>
      <c r="B53" s="295">
        <v>2</v>
      </c>
      <c r="C53" s="295">
        <v>2</v>
      </c>
      <c r="D53" s="295" t="s">
        <v>579</v>
      </c>
      <c r="E53" s="295" t="s">
        <v>580</v>
      </c>
      <c r="F53" s="295">
        <v>287</v>
      </c>
      <c r="G53" s="295" t="s">
        <v>25</v>
      </c>
      <c r="H53" s="295">
        <v>1</v>
      </c>
      <c r="I53" s="296">
        <v>38301</v>
      </c>
      <c r="J53" s="295">
        <v>1</v>
      </c>
      <c r="K53" s="295">
        <v>19</v>
      </c>
      <c r="L53" s="295">
        <v>1</v>
      </c>
      <c r="M53" s="295">
        <v>1</v>
      </c>
      <c r="N53" s="295" t="s">
        <v>581</v>
      </c>
      <c r="O53" s="295">
        <v>13</v>
      </c>
      <c r="P53" s="298">
        <f>24358.12+0.39</f>
        <v>24358.51</v>
      </c>
      <c r="Q53" s="298">
        <f>-2915.88-3849.24-3062.73-971.96-971.96-971.96</f>
        <v>-12743.73</v>
      </c>
      <c r="R53" s="298">
        <f t="shared" si="0"/>
        <v>11614.779999999999</v>
      </c>
      <c r="S53" s="298">
        <v>11358.48</v>
      </c>
      <c r="T53" s="298">
        <v>11358.48</v>
      </c>
      <c r="U53" s="298">
        <v>11358.48</v>
      </c>
      <c r="V53" s="298">
        <v>11358.48</v>
      </c>
    </row>
    <row r="54" spans="1:27" s="299" customFormat="1" ht="15" customHeight="1" x14ac:dyDescent="0.25">
      <c r="A54" s="295" t="s">
        <v>582</v>
      </c>
      <c r="B54" s="295">
        <v>2</v>
      </c>
      <c r="C54" s="295">
        <v>2</v>
      </c>
      <c r="D54" s="295" t="s">
        <v>579</v>
      </c>
      <c r="E54" s="295" t="s">
        <v>580</v>
      </c>
      <c r="F54" s="295">
        <v>287</v>
      </c>
      <c r="G54" s="295" t="s">
        <v>25</v>
      </c>
      <c r="H54" s="295">
        <v>1</v>
      </c>
      <c r="I54" s="296">
        <v>79901</v>
      </c>
      <c r="J54" s="295">
        <v>1</v>
      </c>
      <c r="K54" s="295">
        <v>19</v>
      </c>
      <c r="L54" s="295">
        <v>1</v>
      </c>
      <c r="M54" s="295">
        <v>1</v>
      </c>
      <c r="N54" s="295" t="s">
        <v>583</v>
      </c>
      <c r="O54" s="297">
        <v>13</v>
      </c>
      <c r="P54" s="298">
        <v>68632617</v>
      </c>
      <c r="Q54" s="298">
        <v>0</v>
      </c>
      <c r="R54" s="298">
        <f t="shared" si="0"/>
        <v>68632617</v>
      </c>
      <c r="S54" s="298">
        <v>0</v>
      </c>
      <c r="T54" s="298">
        <v>0</v>
      </c>
      <c r="U54" s="298">
        <v>0</v>
      </c>
      <c r="V54" s="298">
        <v>0</v>
      </c>
    </row>
    <row r="55" spans="1:27" s="299" customFormat="1" ht="15" customHeight="1" x14ac:dyDescent="0.25">
      <c r="A55" s="295" t="s">
        <v>582</v>
      </c>
      <c r="B55" s="295">
        <v>2</v>
      </c>
      <c r="C55" s="295">
        <v>2</v>
      </c>
      <c r="D55" s="295" t="s">
        <v>579</v>
      </c>
      <c r="E55" s="295" t="s">
        <v>580</v>
      </c>
      <c r="F55" s="295">
        <v>287</v>
      </c>
      <c r="G55" s="295" t="s">
        <v>25</v>
      </c>
      <c r="H55" s="295">
        <v>1</v>
      </c>
      <c r="I55" s="296">
        <v>11301</v>
      </c>
      <c r="J55" s="295">
        <v>1</v>
      </c>
      <c r="K55" s="295">
        <v>19</v>
      </c>
      <c r="L55" s="295">
        <v>1</v>
      </c>
      <c r="M55" s="295">
        <v>1</v>
      </c>
      <c r="N55" s="295" t="s">
        <v>581</v>
      </c>
      <c r="O55" s="295">
        <v>13</v>
      </c>
      <c r="P55" s="298">
        <v>2545406</v>
      </c>
      <c r="Q55" s="298">
        <v>0</v>
      </c>
      <c r="R55" s="298">
        <f t="shared" si="0"/>
        <v>2545406</v>
      </c>
      <c r="S55" s="298">
        <f>2459446.92512977+85958.77</f>
        <v>2545405.6951297699</v>
      </c>
      <c r="T55" s="298">
        <v>2451253.6600000006</v>
      </c>
      <c r="U55" s="298">
        <v>2451253.6600000006</v>
      </c>
      <c r="V55" s="298">
        <v>2451253.6600000006</v>
      </c>
    </row>
    <row r="56" spans="1:27" s="299" customFormat="1" ht="15" customHeight="1" x14ac:dyDescent="0.25">
      <c r="A56" s="295" t="s">
        <v>582</v>
      </c>
      <c r="B56" s="295">
        <v>2</v>
      </c>
      <c r="C56" s="295">
        <v>2</v>
      </c>
      <c r="D56" s="295" t="s">
        <v>579</v>
      </c>
      <c r="E56" s="295" t="s">
        <v>580</v>
      </c>
      <c r="F56" s="295">
        <v>287</v>
      </c>
      <c r="G56" s="295" t="s">
        <v>25</v>
      </c>
      <c r="H56" s="295">
        <v>1</v>
      </c>
      <c r="I56" s="296">
        <v>11304</v>
      </c>
      <c r="J56" s="295">
        <v>1</v>
      </c>
      <c r="K56" s="295">
        <v>19</v>
      </c>
      <c r="L56" s="295">
        <v>1</v>
      </c>
      <c r="M56" s="295">
        <v>1</v>
      </c>
      <c r="N56" s="295" t="s">
        <v>581</v>
      </c>
      <c r="O56" s="297">
        <v>13</v>
      </c>
      <c r="P56" s="298">
        <v>3316629</v>
      </c>
      <c r="Q56" s="298">
        <v>-3316629</v>
      </c>
      <c r="R56" s="298">
        <f t="shared" si="0"/>
        <v>0</v>
      </c>
      <c r="S56" s="298">
        <v>0</v>
      </c>
      <c r="T56" s="298">
        <v>0</v>
      </c>
      <c r="U56" s="298">
        <v>0</v>
      </c>
      <c r="V56" s="298">
        <v>0</v>
      </c>
    </row>
    <row r="57" spans="1:27" s="299" customFormat="1" ht="15" customHeight="1" x14ac:dyDescent="0.25">
      <c r="A57" s="295" t="s">
        <v>582</v>
      </c>
      <c r="B57" s="295">
        <v>2</v>
      </c>
      <c r="C57" s="295">
        <v>2</v>
      </c>
      <c r="D57" s="295" t="s">
        <v>579</v>
      </c>
      <c r="E57" s="295" t="s">
        <v>580</v>
      </c>
      <c r="F57" s="295">
        <v>287</v>
      </c>
      <c r="G57" s="295" t="s">
        <v>25</v>
      </c>
      <c r="H57" s="295">
        <v>1</v>
      </c>
      <c r="I57" s="296">
        <v>11306</v>
      </c>
      <c r="J57" s="295">
        <v>1</v>
      </c>
      <c r="K57" s="295">
        <v>19</v>
      </c>
      <c r="L57" s="295">
        <v>1</v>
      </c>
      <c r="M57" s="295">
        <v>1</v>
      </c>
      <c r="N57" s="295" t="s">
        <v>581</v>
      </c>
      <c r="O57" s="295">
        <v>13</v>
      </c>
      <c r="P57" s="298">
        <v>647574</v>
      </c>
      <c r="Q57" s="298">
        <f>2319348.0412566-538993</f>
        <v>1780355.0412566001</v>
      </c>
      <c r="R57" s="298">
        <f t="shared" si="0"/>
        <v>2427929.0412566001</v>
      </c>
      <c r="S57" s="300">
        <f>2156972.1600775+270956.25</f>
        <v>2427928.4100775002</v>
      </c>
      <c r="T57" s="298">
        <v>2289938.8550398787</v>
      </c>
      <c r="U57" s="298">
        <v>2060150.4659133507</v>
      </c>
      <c r="V57" s="298">
        <v>2060150.4659133507</v>
      </c>
      <c r="Y57" s="301"/>
      <c r="AA57" s="301"/>
    </row>
    <row r="58" spans="1:27" s="299" customFormat="1" ht="15" customHeight="1" x14ac:dyDescent="0.25">
      <c r="A58" s="295" t="s">
        <v>582</v>
      </c>
      <c r="B58" s="295">
        <v>2</v>
      </c>
      <c r="C58" s="295">
        <v>2</v>
      </c>
      <c r="D58" s="295" t="s">
        <v>579</v>
      </c>
      <c r="E58" s="295" t="s">
        <v>580</v>
      </c>
      <c r="F58" s="295">
        <v>287</v>
      </c>
      <c r="G58" s="295" t="s">
        <v>25</v>
      </c>
      <c r="H58" s="295">
        <v>1</v>
      </c>
      <c r="I58" s="296">
        <v>11307</v>
      </c>
      <c r="J58" s="295">
        <v>1</v>
      </c>
      <c r="K58" s="295">
        <v>19</v>
      </c>
      <c r="L58" s="295">
        <v>1</v>
      </c>
      <c r="M58" s="295">
        <v>1</v>
      </c>
      <c r="N58" s="295" t="s">
        <v>581</v>
      </c>
      <c r="O58" s="297">
        <v>13</v>
      </c>
      <c r="P58" s="298">
        <v>637490</v>
      </c>
      <c r="Q58" s="298">
        <v>10084.494400000083</v>
      </c>
      <c r="R58" s="298">
        <f t="shared" si="0"/>
        <v>647574.49440000008</v>
      </c>
      <c r="S58" s="300">
        <f>725997.561962076-78423.07</f>
        <v>647574.49196207593</v>
      </c>
      <c r="T58" s="298">
        <v>574450.03378171183</v>
      </c>
      <c r="U58" s="298">
        <v>574450.03378171183</v>
      </c>
      <c r="V58" s="298">
        <v>574450.03378171183</v>
      </c>
    </row>
    <row r="59" spans="1:27" s="299" customFormat="1" ht="15" customHeight="1" x14ac:dyDescent="0.25">
      <c r="A59" s="295" t="s">
        <v>582</v>
      </c>
      <c r="B59" s="295">
        <v>2</v>
      </c>
      <c r="C59" s="295">
        <v>2</v>
      </c>
      <c r="D59" s="295" t="s">
        <v>579</v>
      </c>
      <c r="E59" s="295" t="s">
        <v>580</v>
      </c>
      <c r="F59" s="295">
        <v>287</v>
      </c>
      <c r="G59" s="295" t="s">
        <v>25</v>
      </c>
      <c r="H59" s="295">
        <v>1</v>
      </c>
      <c r="I59" s="296">
        <v>11310</v>
      </c>
      <c r="J59" s="295">
        <v>1</v>
      </c>
      <c r="K59" s="295">
        <v>19</v>
      </c>
      <c r="L59" s="295">
        <v>1</v>
      </c>
      <c r="M59" s="295">
        <v>1</v>
      </c>
      <c r="N59" s="295" t="s">
        <v>581</v>
      </c>
      <c r="O59" s="295">
        <v>13</v>
      </c>
      <c r="P59" s="298">
        <v>0</v>
      </c>
      <c r="Q59" s="298">
        <v>637489.53599999973</v>
      </c>
      <c r="R59" s="298">
        <f t="shared" si="0"/>
        <v>637489.53599999973</v>
      </c>
      <c r="S59" s="298">
        <f>677683.304151729-40193.77-0.01</f>
        <v>637489.52415172895</v>
      </c>
      <c r="T59" s="298">
        <v>555540.01</v>
      </c>
      <c r="U59" s="298">
        <v>555540.01</v>
      </c>
      <c r="V59" s="298">
        <v>555540.01</v>
      </c>
    </row>
    <row r="60" spans="1:27" s="299" customFormat="1" ht="15" customHeight="1" x14ac:dyDescent="0.25">
      <c r="A60" s="295" t="s">
        <v>582</v>
      </c>
      <c r="B60" s="295">
        <v>2</v>
      </c>
      <c r="C60" s="295">
        <v>2</v>
      </c>
      <c r="D60" s="295" t="s">
        <v>579</v>
      </c>
      <c r="E60" s="295" t="s">
        <v>580</v>
      </c>
      <c r="F60" s="295">
        <v>287</v>
      </c>
      <c r="G60" s="295" t="s">
        <v>25</v>
      </c>
      <c r="H60" s="295">
        <v>1</v>
      </c>
      <c r="I60" s="296">
        <v>12101</v>
      </c>
      <c r="J60" s="295">
        <v>1</v>
      </c>
      <c r="K60" s="295">
        <v>19</v>
      </c>
      <c r="L60" s="295">
        <v>1</v>
      </c>
      <c r="M60" s="295">
        <v>1</v>
      </c>
      <c r="N60" s="295" t="s">
        <v>581</v>
      </c>
      <c r="O60" s="297">
        <v>13</v>
      </c>
      <c r="P60" s="298">
        <v>209251</v>
      </c>
      <c r="Q60" s="298">
        <v>-209251</v>
      </c>
      <c r="R60" s="298">
        <f t="shared" si="0"/>
        <v>0</v>
      </c>
      <c r="S60" s="298">
        <v>0</v>
      </c>
      <c r="T60" s="298">
        <v>0</v>
      </c>
      <c r="U60" s="298">
        <v>0</v>
      </c>
      <c r="V60" s="298">
        <v>0</v>
      </c>
    </row>
    <row r="61" spans="1:27" s="299" customFormat="1" ht="15" customHeight="1" x14ac:dyDescent="0.25">
      <c r="A61" s="295" t="s">
        <v>582</v>
      </c>
      <c r="B61" s="295">
        <v>2</v>
      </c>
      <c r="C61" s="295">
        <v>2</v>
      </c>
      <c r="D61" s="295" t="s">
        <v>579</v>
      </c>
      <c r="E61" s="295" t="s">
        <v>580</v>
      </c>
      <c r="F61" s="295">
        <v>287</v>
      </c>
      <c r="G61" s="295" t="s">
        <v>25</v>
      </c>
      <c r="H61" s="295">
        <v>1</v>
      </c>
      <c r="I61" s="296">
        <v>13101</v>
      </c>
      <c r="J61" s="295">
        <v>1</v>
      </c>
      <c r="K61" s="295">
        <v>19</v>
      </c>
      <c r="L61" s="295">
        <v>1</v>
      </c>
      <c r="M61" s="295">
        <v>1</v>
      </c>
      <c r="N61" s="295" t="s">
        <v>581</v>
      </c>
      <c r="O61" s="295">
        <v>13</v>
      </c>
      <c r="P61" s="298">
        <v>46206</v>
      </c>
      <c r="Q61" s="298">
        <v>163044.51</v>
      </c>
      <c r="R61" s="298">
        <f t="shared" si="0"/>
        <v>209250.51</v>
      </c>
      <c r="S61" s="298">
        <f>214325.659887198-5075.15</f>
        <v>209250.50988719802</v>
      </c>
      <c r="T61" s="298">
        <f>221010.121130529-41939.68</f>
        <v>179070.44113052901</v>
      </c>
      <c r="U61" s="298">
        <f>221010.121130529-41939.68</f>
        <v>179070.44113052901</v>
      </c>
      <c r="V61" s="298">
        <v>221010.12113052877</v>
      </c>
    </row>
    <row r="62" spans="1:27" s="299" customFormat="1" ht="15" customHeight="1" x14ac:dyDescent="0.25">
      <c r="A62" s="295" t="s">
        <v>582</v>
      </c>
      <c r="B62" s="295">
        <v>2</v>
      </c>
      <c r="C62" s="295">
        <v>2</v>
      </c>
      <c r="D62" s="295" t="s">
        <v>579</v>
      </c>
      <c r="E62" s="295" t="s">
        <v>580</v>
      </c>
      <c r="F62" s="295">
        <v>287</v>
      </c>
      <c r="G62" s="295" t="s">
        <v>25</v>
      </c>
      <c r="H62" s="295">
        <v>1</v>
      </c>
      <c r="I62" s="296">
        <v>13201</v>
      </c>
      <c r="J62" s="295">
        <v>1</v>
      </c>
      <c r="K62" s="295">
        <v>19</v>
      </c>
      <c r="L62" s="295">
        <v>1</v>
      </c>
      <c r="M62" s="295">
        <v>1</v>
      </c>
      <c r="N62" s="295" t="s">
        <v>581</v>
      </c>
      <c r="O62" s="297">
        <v>13</v>
      </c>
      <c r="P62" s="298">
        <v>92412</v>
      </c>
      <c r="Q62" s="298">
        <f>-46206.2-928.45-600</f>
        <v>-47734.649999999994</v>
      </c>
      <c r="R62" s="298">
        <f t="shared" si="0"/>
        <v>44677.350000000006</v>
      </c>
      <c r="S62" s="298">
        <f>42861.5351702898+3344.26-928.45-600</f>
        <v>44677.345170289802</v>
      </c>
      <c r="T62" s="298">
        <v>42355.5</v>
      </c>
      <c r="U62" s="298">
        <v>42355.5</v>
      </c>
      <c r="V62" s="298">
        <v>42355.5</v>
      </c>
    </row>
    <row r="63" spans="1:27" s="299" customFormat="1" ht="15" customHeight="1" x14ac:dyDescent="0.25">
      <c r="A63" s="295" t="s">
        <v>582</v>
      </c>
      <c r="B63" s="295">
        <v>2</v>
      </c>
      <c r="C63" s="295">
        <v>2</v>
      </c>
      <c r="D63" s="295" t="s">
        <v>579</v>
      </c>
      <c r="E63" s="295" t="s">
        <v>580</v>
      </c>
      <c r="F63" s="295">
        <v>287</v>
      </c>
      <c r="G63" s="295" t="s">
        <v>25</v>
      </c>
      <c r="H63" s="295">
        <v>1</v>
      </c>
      <c r="I63" s="296">
        <v>13202</v>
      </c>
      <c r="J63" s="295">
        <v>1</v>
      </c>
      <c r="K63" s="295">
        <v>19</v>
      </c>
      <c r="L63" s="295">
        <v>1</v>
      </c>
      <c r="M63" s="295">
        <v>1</v>
      </c>
      <c r="N63" s="295" t="s">
        <v>581</v>
      </c>
      <c r="O63" s="295">
        <v>13</v>
      </c>
      <c r="P63" s="298">
        <v>0</v>
      </c>
      <c r="Q63" s="298">
        <v>92411.999999999971</v>
      </c>
      <c r="R63" s="298">
        <f t="shared" si="0"/>
        <v>92411.999999999971</v>
      </c>
      <c r="S63" s="298">
        <f>85723.0703405796+6688.93</f>
        <v>92412.000340579601</v>
      </c>
      <c r="T63" s="298">
        <v>89331.6</v>
      </c>
      <c r="U63" s="298">
        <v>89331.6</v>
      </c>
      <c r="V63" s="298">
        <v>89331.6</v>
      </c>
    </row>
    <row r="64" spans="1:27" s="299" customFormat="1" ht="15" customHeight="1" x14ac:dyDescent="0.25">
      <c r="A64" s="295" t="s">
        <v>582</v>
      </c>
      <c r="B64" s="295">
        <v>2</v>
      </c>
      <c r="C64" s="295">
        <v>2</v>
      </c>
      <c r="D64" s="295" t="s">
        <v>579</v>
      </c>
      <c r="E64" s="295" t="s">
        <v>580</v>
      </c>
      <c r="F64" s="295">
        <v>287</v>
      </c>
      <c r="G64" s="295" t="s">
        <v>25</v>
      </c>
      <c r="H64" s="295">
        <v>1</v>
      </c>
      <c r="I64" s="296">
        <v>14106</v>
      </c>
      <c r="J64" s="295">
        <v>1</v>
      </c>
      <c r="K64" s="295">
        <v>19</v>
      </c>
      <c r="L64" s="295">
        <v>1</v>
      </c>
      <c r="M64" s="295">
        <v>1</v>
      </c>
      <c r="N64" s="295" t="s">
        <v>581</v>
      </c>
      <c r="O64" s="297">
        <v>13</v>
      </c>
      <c r="P64" s="298">
        <v>1445365</v>
      </c>
      <c r="Q64" s="298">
        <v>0</v>
      </c>
      <c r="R64" s="298">
        <f t="shared" si="0"/>
        <v>1445365</v>
      </c>
      <c r="S64" s="298">
        <f>1451777.3858079-6412.39</f>
        <v>1445364.9958079001</v>
      </c>
      <c r="T64" s="298">
        <f>1447604.05638153-2500</f>
        <v>1445104.0563815299</v>
      </c>
      <c r="U64" s="298">
        <f t="shared" ref="U64:V64" si="4">1447604.05638153-2500</f>
        <v>1445104.0563815299</v>
      </c>
      <c r="V64" s="298">
        <f t="shared" si="4"/>
        <v>1445104.0563815299</v>
      </c>
    </row>
    <row r="65" spans="1:23" s="299" customFormat="1" ht="15" customHeight="1" x14ac:dyDescent="0.25">
      <c r="A65" s="295" t="s">
        <v>582</v>
      </c>
      <c r="B65" s="295">
        <v>2</v>
      </c>
      <c r="C65" s="295">
        <v>2</v>
      </c>
      <c r="D65" s="295" t="s">
        <v>579</v>
      </c>
      <c r="E65" s="295" t="s">
        <v>580</v>
      </c>
      <c r="F65" s="295">
        <v>287</v>
      </c>
      <c r="G65" s="295" t="s">
        <v>25</v>
      </c>
      <c r="H65" s="295">
        <v>1</v>
      </c>
      <c r="I65" s="296">
        <v>14109</v>
      </c>
      <c r="J65" s="295">
        <v>1</v>
      </c>
      <c r="K65" s="295">
        <v>19</v>
      </c>
      <c r="L65" s="295">
        <v>1</v>
      </c>
      <c r="M65" s="295">
        <v>1</v>
      </c>
      <c r="N65" s="295" t="s">
        <v>581</v>
      </c>
      <c r="O65" s="295">
        <v>13</v>
      </c>
      <c r="P65" s="298">
        <v>3474629</v>
      </c>
      <c r="Q65" s="298">
        <v>0</v>
      </c>
      <c r="R65" s="298">
        <f t="shared" si="0"/>
        <v>3474629</v>
      </c>
      <c r="S65" s="298">
        <v>3532909.2186506195</v>
      </c>
      <c r="T65" s="298">
        <v>3532909.2186506195</v>
      </c>
      <c r="U65" s="298">
        <v>3532909.2186506195</v>
      </c>
      <c r="V65" s="298">
        <f>3449353.02325879-172119.51</f>
        <v>3277233.5132587897</v>
      </c>
    </row>
    <row r="66" spans="1:23" s="299" customFormat="1" ht="15" customHeight="1" x14ac:dyDescent="0.25">
      <c r="A66" s="295" t="s">
        <v>582</v>
      </c>
      <c r="B66" s="295">
        <v>2</v>
      </c>
      <c r="C66" s="295">
        <v>2</v>
      </c>
      <c r="D66" s="295" t="s">
        <v>579</v>
      </c>
      <c r="E66" s="295" t="s">
        <v>580</v>
      </c>
      <c r="F66" s="295">
        <v>287</v>
      </c>
      <c r="G66" s="295" t="s">
        <v>25</v>
      </c>
      <c r="H66" s="295">
        <v>1</v>
      </c>
      <c r="I66" s="296">
        <v>14303</v>
      </c>
      <c r="J66" s="295">
        <v>1</v>
      </c>
      <c r="K66" s="295">
        <v>19</v>
      </c>
      <c r="L66" s="295">
        <v>1</v>
      </c>
      <c r="M66" s="295">
        <v>1</v>
      </c>
      <c r="N66" s="295" t="s">
        <v>581</v>
      </c>
      <c r="O66" s="297">
        <v>13</v>
      </c>
      <c r="P66" s="298">
        <v>406000</v>
      </c>
      <c r="Q66" s="298">
        <v>705272</v>
      </c>
      <c r="R66" s="298">
        <f t="shared" si="0"/>
        <v>1111272</v>
      </c>
      <c r="S66" s="298">
        <v>1124633.8700000001</v>
      </c>
      <c r="T66" s="298">
        <v>1124633.8700000001</v>
      </c>
      <c r="U66" s="298">
        <v>424981.1</v>
      </c>
      <c r="V66" s="298">
        <v>424980.6</v>
      </c>
    </row>
    <row r="67" spans="1:23" s="299" customFormat="1" ht="15" customHeight="1" x14ac:dyDescent="0.25">
      <c r="A67" s="295" t="s">
        <v>582</v>
      </c>
      <c r="B67" s="295">
        <v>2</v>
      </c>
      <c r="C67" s="295">
        <v>2</v>
      </c>
      <c r="D67" s="295" t="s">
        <v>579</v>
      </c>
      <c r="E67" s="295" t="s">
        <v>580</v>
      </c>
      <c r="F67" s="295">
        <v>287</v>
      </c>
      <c r="G67" s="295" t="s">
        <v>25</v>
      </c>
      <c r="H67" s="295">
        <v>1</v>
      </c>
      <c r="I67" s="296">
        <v>14402</v>
      </c>
      <c r="J67" s="295">
        <v>1</v>
      </c>
      <c r="K67" s="295">
        <v>19</v>
      </c>
      <c r="L67" s="295">
        <v>1</v>
      </c>
      <c r="M67" s="295">
        <v>1</v>
      </c>
      <c r="N67" s="295" t="s">
        <v>581</v>
      </c>
      <c r="O67" s="295">
        <v>13</v>
      </c>
      <c r="P67" s="298">
        <v>6864</v>
      </c>
      <c r="Q67" s="298">
        <v>0</v>
      </c>
      <c r="R67" s="298">
        <f t="shared" si="0"/>
        <v>6864</v>
      </c>
      <c r="S67" s="298">
        <v>6864</v>
      </c>
      <c r="T67" s="298">
        <v>6842</v>
      </c>
      <c r="U67" s="298">
        <v>6842</v>
      </c>
      <c r="V67" s="298">
        <v>6842</v>
      </c>
    </row>
    <row r="68" spans="1:23" s="299" customFormat="1" ht="15" customHeight="1" x14ac:dyDescent="0.25">
      <c r="A68" s="295" t="s">
        <v>582</v>
      </c>
      <c r="B68" s="295">
        <v>2</v>
      </c>
      <c r="C68" s="295">
        <v>2</v>
      </c>
      <c r="D68" s="295" t="s">
        <v>579</v>
      </c>
      <c r="E68" s="295" t="s">
        <v>580</v>
      </c>
      <c r="F68" s="295">
        <v>287</v>
      </c>
      <c r="G68" s="295" t="s">
        <v>25</v>
      </c>
      <c r="H68" s="295">
        <v>1</v>
      </c>
      <c r="I68" s="296">
        <v>14403</v>
      </c>
      <c r="J68" s="295">
        <v>1</v>
      </c>
      <c r="K68" s="295">
        <v>19</v>
      </c>
      <c r="L68" s="295">
        <v>1</v>
      </c>
      <c r="M68" s="295">
        <v>1</v>
      </c>
      <c r="N68" s="295" t="s">
        <v>581</v>
      </c>
      <c r="O68" s="297">
        <v>13</v>
      </c>
      <c r="P68" s="298">
        <f>700000</f>
        <v>700000</v>
      </c>
      <c r="Q68" s="298">
        <v>-33857</v>
      </c>
      <c r="R68" s="298">
        <f t="shared" si="0"/>
        <v>666143</v>
      </c>
      <c r="S68" s="298">
        <v>664996</v>
      </c>
      <c r="T68" s="298">
        <v>664996</v>
      </c>
      <c r="U68" s="298">
        <v>664996</v>
      </c>
      <c r="V68" s="298">
        <v>664996</v>
      </c>
    </row>
    <row r="69" spans="1:23" s="299" customFormat="1" ht="15" customHeight="1" x14ac:dyDescent="0.25">
      <c r="A69" s="295" t="s">
        <v>582</v>
      </c>
      <c r="B69" s="295">
        <v>2</v>
      </c>
      <c r="C69" s="295">
        <v>2</v>
      </c>
      <c r="D69" s="295" t="s">
        <v>579</v>
      </c>
      <c r="E69" s="295" t="s">
        <v>580</v>
      </c>
      <c r="F69" s="295">
        <v>287</v>
      </c>
      <c r="G69" s="295" t="s">
        <v>25</v>
      </c>
      <c r="H69" s="295">
        <v>1</v>
      </c>
      <c r="I69" s="296">
        <v>14406</v>
      </c>
      <c r="J69" s="295">
        <v>1</v>
      </c>
      <c r="K69" s="295">
        <v>19</v>
      </c>
      <c r="L69" s="295">
        <v>1</v>
      </c>
      <c r="M69" s="295">
        <v>1</v>
      </c>
      <c r="N69" s="295" t="s">
        <v>581</v>
      </c>
      <c r="O69" s="295">
        <v>13</v>
      </c>
      <c r="P69" s="298">
        <v>2268</v>
      </c>
      <c r="Q69" s="298">
        <v>0</v>
      </c>
      <c r="R69" s="298">
        <f t="shared" si="0"/>
        <v>2268</v>
      </c>
      <c r="S69" s="298">
        <v>2268</v>
      </c>
      <c r="T69" s="298">
        <v>2268</v>
      </c>
      <c r="U69" s="298">
        <v>2268</v>
      </c>
      <c r="V69" s="298">
        <v>2268</v>
      </c>
    </row>
    <row r="70" spans="1:23" s="299" customFormat="1" ht="15" customHeight="1" x14ac:dyDescent="0.25">
      <c r="A70" s="295" t="s">
        <v>582</v>
      </c>
      <c r="B70" s="295">
        <v>2</v>
      </c>
      <c r="C70" s="295">
        <v>2</v>
      </c>
      <c r="D70" s="295" t="s">
        <v>579</v>
      </c>
      <c r="E70" s="295" t="s">
        <v>580</v>
      </c>
      <c r="F70" s="295">
        <v>287</v>
      </c>
      <c r="G70" s="295" t="s">
        <v>25</v>
      </c>
      <c r="H70" s="295">
        <v>1</v>
      </c>
      <c r="I70" s="296">
        <v>15101</v>
      </c>
      <c r="J70" s="295">
        <v>1</v>
      </c>
      <c r="K70" s="295">
        <v>19</v>
      </c>
      <c r="L70" s="295">
        <v>1</v>
      </c>
      <c r="M70" s="295">
        <v>1</v>
      </c>
      <c r="N70" s="295" t="s">
        <v>581</v>
      </c>
      <c r="O70" s="297">
        <v>13</v>
      </c>
      <c r="P70" s="298">
        <v>17537</v>
      </c>
      <c r="Q70" s="298">
        <v>0</v>
      </c>
      <c r="R70" s="298">
        <f t="shared" ref="R70:R135" si="5">P70+Q70</f>
        <v>17537</v>
      </c>
      <c r="S70" s="298">
        <v>17537</v>
      </c>
      <c r="T70" s="298">
        <v>17851.060000000001</v>
      </c>
      <c r="U70" s="298">
        <v>17851.060000000001</v>
      </c>
      <c r="V70" s="298">
        <v>17851.060000000001</v>
      </c>
    </row>
    <row r="71" spans="1:23" s="299" customFormat="1" ht="15" customHeight="1" x14ac:dyDescent="0.25">
      <c r="A71" s="295" t="s">
        <v>582</v>
      </c>
      <c r="B71" s="295">
        <v>2</v>
      </c>
      <c r="C71" s="295">
        <v>2</v>
      </c>
      <c r="D71" s="295" t="s">
        <v>579</v>
      </c>
      <c r="E71" s="295" t="s">
        <v>580</v>
      </c>
      <c r="F71" s="295">
        <v>287</v>
      </c>
      <c r="G71" s="295" t="s">
        <v>25</v>
      </c>
      <c r="H71" s="295">
        <v>1</v>
      </c>
      <c r="I71" s="296">
        <v>15202</v>
      </c>
      <c r="J71" s="295">
        <v>1</v>
      </c>
      <c r="K71" s="295">
        <v>19</v>
      </c>
      <c r="L71" s="295">
        <v>1</v>
      </c>
      <c r="M71" s="295">
        <v>1</v>
      </c>
      <c r="N71" s="295" t="s">
        <v>581</v>
      </c>
      <c r="O71" s="295">
        <v>13</v>
      </c>
      <c r="P71" s="298">
        <v>545000</v>
      </c>
      <c r="Q71" s="298">
        <f>-104910.7-79888.79</f>
        <v>-184799.49</v>
      </c>
      <c r="R71" s="298">
        <f t="shared" si="5"/>
        <v>360200.51</v>
      </c>
      <c r="S71" s="298">
        <f>440089.3-79888.79</f>
        <v>360200.51</v>
      </c>
      <c r="T71" s="298">
        <v>0</v>
      </c>
      <c r="U71" s="298">
        <v>0</v>
      </c>
      <c r="V71" s="298">
        <v>0</v>
      </c>
    </row>
    <row r="72" spans="1:23" s="299" customFormat="1" ht="15" customHeight="1" x14ac:dyDescent="0.25">
      <c r="A72" s="295" t="s">
        <v>582</v>
      </c>
      <c r="B72" s="295">
        <v>2</v>
      </c>
      <c r="C72" s="295">
        <v>2</v>
      </c>
      <c r="D72" s="295" t="s">
        <v>579</v>
      </c>
      <c r="E72" s="295" t="s">
        <v>580</v>
      </c>
      <c r="F72" s="295">
        <v>287</v>
      </c>
      <c r="G72" s="295" t="s">
        <v>25</v>
      </c>
      <c r="H72" s="295">
        <v>1</v>
      </c>
      <c r="I72" s="296">
        <v>15901</v>
      </c>
      <c r="J72" s="295">
        <v>1</v>
      </c>
      <c r="K72" s="295">
        <v>19</v>
      </c>
      <c r="L72" s="295">
        <v>1</v>
      </c>
      <c r="M72" s="295">
        <v>1</v>
      </c>
      <c r="N72" s="295" t="s">
        <v>581</v>
      </c>
      <c r="O72" s="297">
        <v>13</v>
      </c>
      <c r="P72" s="298">
        <v>2619241</v>
      </c>
      <c r="Q72" s="298">
        <f>-10000+1262241</f>
        <v>1252241</v>
      </c>
      <c r="R72" s="298">
        <f t="shared" si="5"/>
        <v>3871482</v>
      </c>
      <c r="S72" s="298">
        <f>2609241+55002</f>
        <v>2664243</v>
      </c>
      <c r="T72" s="298">
        <v>3077183.7800000003</v>
      </c>
      <c r="U72" s="298">
        <v>3077183.7800000003</v>
      </c>
      <c r="V72" s="298">
        <f>3077183.78-31962.03</f>
        <v>3045221.75</v>
      </c>
    </row>
    <row r="73" spans="1:23" s="299" customFormat="1" ht="15" customHeight="1" x14ac:dyDescent="0.25">
      <c r="A73" s="295" t="s">
        <v>582</v>
      </c>
      <c r="B73" s="295">
        <v>2</v>
      </c>
      <c r="C73" s="295">
        <v>2</v>
      </c>
      <c r="D73" s="295" t="s">
        <v>579</v>
      </c>
      <c r="E73" s="295" t="s">
        <v>580</v>
      </c>
      <c r="F73" s="295">
        <v>287</v>
      </c>
      <c r="G73" s="295" t="s">
        <v>25</v>
      </c>
      <c r="H73" s="295">
        <v>1</v>
      </c>
      <c r="I73" s="296">
        <v>17102</v>
      </c>
      <c r="J73" s="295">
        <v>1</v>
      </c>
      <c r="K73" s="295">
        <v>19</v>
      </c>
      <c r="L73" s="295">
        <v>1</v>
      </c>
      <c r="M73" s="295">
        <v>1</v>
      </c>
      <c r="N73" s="295" t="s">
        <v>581</v>
      </c>
      <c r="O73" s="295">
        <v>13</v>
      </c>
      <c r="P73" s="298">
        <v>292595</v>
      </c>
      <c r="Q73" s="298">
        <f>-1300-1300-1200-49</f>
        <v>-3849</v>
      </c>
      <c r="R73" s="298">
        <f t="shared" si="5"/>
        <v>288746</v>
      </c>
      <c r="S73" s="298">
        <f>292595-3800-3850-750-9000-1324</f>
        <v>273871</v>
      </c>
      <c r="T73" s="298">
        <v>273870.03999999992</v>
      </c>
      <c r="U73" s="298">
        <v>273870.03999999992</v>
      </c>
      <c r="V73" s="298">
        <v>273870.03999999992</v>
      </c>
    </row>
    <row r="74" spans="1:23" s="299" customFormat="1" ht="15" customHeight="1" x14ac:dyDescent="0.25">
      <c r="A74" s="295" t="s">
        <v>582</v>
      </c>
      <c r="B74" s="295">
        <v>2</v>
      </c>
      <c r="C74" s="295">
        <v>2</v>
      </c>
      <c r="D74" s="295" t="s">
        <v>579</v>
      </c>
      <c r="E74" s="295" t="s">
        <v>580</v>
      </c>
      <c r="F74" s="295">
        <v>287</v>
      </c>
      <c r="G74" s="295" t="s">
        <v>25</v>
      </c>
      <c r="H74" s="295">
        <v>1</v>
      </c>
      <c r="I74" s="296">
        <v>21101</v>
      </c>
      <c r="J74" s="295">
        <v>1</v>
      </c>
      <c r="K74" s="295">
        <v>19</v>
      </c>
      <c r="L74" s="295">
        <v>1</v>
      </c>
      <c r="M74" s="295">
        <v>1</v>
      </c>
      <c r="N74" s="295" t="s">
        <v>581</v>
      </c>
      <c r="O74" s="297">
        <v>13</v>
      </c>
      <c r="P74" s="298">
        <v>87175.82</v>
      </c>
      <c r="Q74" s="298">
        <f>-24800+6097.3</f>
        <v>-18702.7</v>
      </c>
      <c r="R74" s="298">
        <f t="shared" si="5"/>
        <v>68473.12000000001</v>
      </c>
      <c r="S74" s="298">
        <v>68473.116399999999</v>
      </c>
      <c r="T74" s="298">
        <v>68473.116399999999</v>
      </c>
      <c r="U74" s="298">
        <v>68473.116399999999</v>
      </c>
      <c r="V74" s="298">
        <v>67893.585178120324</v>
      </c>
      <c r="W74" s="302"/>
    </row>
    <row r="75" spans="1:23" s="299" customFormat="1" ht="15" customHeight="1" x14ac:dyDescent="0.25">
      <c r="A75" s="295" t="s">
        <v>582</v>
      </c>
      <c r="B75" s="295">
        <v>2</v>
      </c>
      <c r="C75" s="295">
        <v>2</v>
      </c>
      <c r="D75" s="295" t="s">
        <v>579</v>
      </c>
      <c r="E75" s="295" t="s">
        <v>580</v>
      </c>
      <c r="F75" s="295">
        <v>287</v>
      </c>
      <c r="G75" s="295" t="s">
        <v>25</v>
      </c>
      <c r="H75" s="295">
        <v>1</v>
      </c>
      <c r="I75" s="296">
        <v>21201</v>
      </c>
      <c r="J75" s="295">
        <v>1</v>
      </c>
      <c r="K75" s="295">
        <v>19</v>
      </c>
      <c r="L75" s="295">
        <v>1</v>
      </c>
      <c r="M75" s="295">
        <v>1</v>
      </c>
      <c r="N75" s="295" t="s">
        <v>581</v>
      </c>
      <c r="O75" s="295">
        <v>13</v>
      </c>
      <c r="P75" s="298">
        <v>2912.5</v>
      </c>
      <c r="Q75" s="298">
        <f>-336.3-898.3-898.3</f>
        <v>-2132.8999999999996</v>
      </c>
      <c r="R75" s="298">
        <f t="shared" si="5"/>
        <v>779.60000000000036</v>
      </c>
      <c r="S75" s="298">
        <v>0</v>
      </c>
      <c r="T75" s="298">
        <v>0</v>
      </c>
      <c r="U75" s="298">
        <v>0</v>
      </c>
      <c r="V75" s="298">
        <v>0</v>
      </c>
      <c r="W75" s="302"/>
    </row>
    <row r="76" spans="1:23" s="299" customFormat="1" ht="15" customHeight="1" x14ac:dyDescent="0.25">
      <c r="A76" s="295" t="s">
        <v>582</v>
      </c>
      <c r="B76" s="295">
        <v>2</v>
      </c>
      <c r="C76" s="295">
        <v>2</v>
      </c>
      <c r="D76" s="295" t="s">
        <v>579</v>
      </c>
      <c r="E76" s="295" t="s">
        <v>580</v>
      </c>
      <c r="F76" s="295">
        <v>287</v>
      </c>
      <c r="G76" s="295" t="s">
        <v>25</v>
      </c>
      <c r="H76" s="295">
        <v>1</v>
      </c>
      <c r="I76" s="296">
        <v>21401</v>
      </c>
      <c r="J76" s="295">
        <v>1</v>
      </c>
      <c r="K76" s="295">
        <v>19</v>
      </c>
      <c r="L76" s="295">
        <v>1</v>
      </c>
      <c r="M76" s="295">
        <v>1</v>
      </c>
      <c r="N76" s="295" t="s">
        <v>581</v>
      </c>
      <c r="O76" s="297">
        <v>13</v>
      </c>
      <c r="P76" s="298">
        <v>32800.49</v>
      </c>
      <c r="Q76" s="298">
        <v>-7827.89</v>
      </c>
      <c r="R76" s="298">
        <f t="shared" si="5"/>
        <v>24972.6</v>
      </c>
      <c r="S76" s="298">
        <v>26520.983199999999</v>
      </c>
      <c r="T76" s="298">
        <v>26520.983199999999</v>
      </c>
      <c r="U76" s="298">
        <v>26520.983199999999</v>
      </c>
      <c r="V76" s="298">
        <v>26937.750148908242</v>
      </c>
      <c r="W76" s="302"/>
    </row>
    <row r="77" spans="1:23" s="299" customFormat="1" ht="15" customHeight="1" x14ac:dyDescent="0.25">
      <c r="A77" s="295" t="s">
        <v>582</v>
      </c>
      <c r="B77" s="295">
        <v>2</v>
      </c>
      <c r="C77" s="295">
        <v>2</v>
      </c>
      <c r="D77" s="295" t="s">
        <v>579</v>
      </c>
      <c r="E77" s="295" t="s">
        <v>580</v>
      </c>
      <c r="F77" s="295">
        <v>287</v>
      </c>
      <c r="G77" s="295" t="s">
        <v>25</v>
      </c>
      <c r="H77" s="295">
        <v>1</v>
      </c>
      <c r="I77" s="296">
        <v>21501</v>
      </c>
      <c r="J77" s="295">
        <v>1</v>
      </c>
      <c r="K77" s="295">
        <v>19</v>
      </c>
      <c r="L77" s="295">
        <v>1</v>
      </c>
      <c r="M77" s="295">
        <v>1</v>
      </c>
      <c r="N77" s="295" t="s">
        <v>581</v>
      </c>
      <c r="O77" s="295">
        <v>13</v>
      </c>
      <c r="P77" s="298">
        <v>3863</v>
      </c>
      <c r="Q77" s="298">
        <f>-2350-99</f>
        <v>-2449</v>
      </c>
      <c r="R77" s="298">
        <f>P77+Q77</f>
        <v>1414</v>
      </c>
      <c r="S77" s="298">
        <v>0</v>
      </c>
      <c r="T77" s="298">
        <v>0</v>
      </c>
      <c r="U77" s="298">
        <v>0</v>
      </c>
      <c r="V77" s="298">
        <v>0</v>
      </c>
      <c r="W77" s="302"/>
    </row>
    <row r="78" spans="1:23" s="299" customFormat="1" ht="15" customHeight="1" x14ac:dyDescent="0.25">
      <c r="A78" s="295" t="s">
        <v>582</v>
      </c>
      <c r="B78" s="295">
        <v>2</v>
      </c>
      <c r="C78" s="295">
        <v>2</v>
      </c>
      <c r="D78" s="295" t="s">
        <v>579</v>
      </c>
      <c r="E78" s="295" t="s">
        <v>580</v>
      </c>
      <c r="F78" s="295">
        <v>287</v>
      </c>
      <c r="G78" s="295" t="s">
        <v>25</v>
      </c>
      <c r="H78" s="295">
        <v>1</v>
      </c>
      <c r="I78" s="296">
        <v>21601</v>
      </c>
      <c r="J78" s="295">
        <v>1</v>
      </c>
      <c r="K78" s="295">
        <v>19</v>
      </c>
      <c r="L78" s="295">
        <v>1</v>
      </c>
      <c r="M78" s="295">
        <v>1</v>
      </c>
      <c r="N78" s="295" t="s">
        <v>581</v>
      </c>
      <c r="O78" s="297">
        <v>13</v>
      </c>
      <c r="P78" s="298">
        <v>13263.02</v>
      </c>
      <c r="Q78" s="298">
        <v>-4393.0200000000004</v>
      </c>
      <c r="R78" s="298">
        <f t="shared" si="5"/>
        <v>8870</v>
      </c>
      <c r="S78" s="298">
        <v>3253.9975999999997</v>
      </c>
      <c r="T78" s="298">
        <v>3253.9975999999997</v>
      </c>
      <c r="U78" s="298">
        <v>3253.9976000000001</v>
      </c>
      <c r="V78" s="298">
        <v>3253.9976000000001</v>
      </c>
      <c r="W78" s="302"/>
    </row>
    <row r="79" spans="1:23" s="299" customFormat="1" ht="15" customHeight="1" x14ac:dyDescent="0.25">
      <c r="A79" s="295" t="s">
        <v>582</v>
      </c>
      <c r="B79" s="295">
        <v>2</v>
      </c>
      <c r="C79" s="295">
        <v>2</v>
      </c>
      <c r="D79" s="295" t="s">
        <v>579</v>
      </c>
      <c r="E79" s="295" t="s">
        <v>580</v>
      </c>
      <c r="F79" s="295">
        <v>287</v>
      </c>
      <c r="G79" s="295" t="s">
        <v>25</v>
      </c>
      <c r="H79" s="295">
        <v>1</v>
      </c>
      <c r="I79" s="296">
        <v>21801</v>
      </c>
      <c r="J79" s="295">
        <v>1</v>
      </c>
      <c r="K79" s="295">
        <v>19</v>
      </c>
      <c r="L79" s="295">
        <v>1</v>
      </c>
      <c r="M79" s="295">
        <v>1</v>
      </c>
      <c r="N79" s="295" t="s">
        <v>581</v>
      </c>
      <c r="O79" s="295">
        <v>13</v>
      </c>
      <c r="P79" s="298">
        <v>8546</v>
      </c>
      <c r="Q79" s="298">
        <f>3000+3718+282.9+6568.09</f>
        <v>13568.99</v>
      </c>
      <c r="R79" s="298">
        <f t="shared" si="5"/>
        <v>22114.989999999998</v>
      </c>
      <c r="S79" s="298">
        <v>22115</v>
      </c>
      <c r="T79" s="298">
        <v>22115</v>
      </c>
      <c r="U79" s="298">
        <v>22115</v>
      </c>
      <c r="V79" s="298">
        <v>22115</v>
      </c>
      <c r="W79" s="302"/>
    </row>
    <row r="80" spans="1:23" s="299" customFormat="1" ht="15" customHeight="1" x14ac:dyDescent="0.25">
      <c r="A80" s="295" t="s">
        <v>582</v>
      </c>
      <c r="B80" s="295">
        <v>2</v>
      </c>
      <c r="C80" s="295">
        <v>2</v>
      </c>
      <c r="D80" s="295" t="s">
        <v>579</v>
      </c>
      <c r="E80" s="295" t="s">
        <v>580</v>
      </c>
      <c r="F80" s="295">
        <v>287</v>
      </c>
      <c r="G80" s="295" t="s">
        <v>25</v>
      </c>
      <c r="H80" s="295">
        <v>1</v>
      </c>
      <c r="I80" s="296">
        <v>22101</v>
      </c>
      <c r="J80" s="295">
        <v>1</v>
      </c>
      <c r="K80" s="295">
        <v>19</v>
      </c>
      <c r="L80" s="295">
        <v>1</v>
      </c>
      <c r="M80" s="295">
        <v>1</v>
      </c>
      <c r="N80" s="295" t="s">
        <v>581</v>
      </c>
      <c r="O80" s="297">
        <v>13</v>
      </c>
      <c r="P80" s="298">
        <v>44574.06</v>
      </c>
      <c r="Q80" s="298">
        <f>30000+57615.02</f>
        <v>87615.01999999999</v>
      </c>
      <c r="R80" s="298">
        <f t="shared" si="5"/>
        <v>132189.07999999999</v>
      </c>
      <c r="S80" s="298">
        <v>132189.08160422678</v>
      </c>
      <c r="T80" s="298">
        <v>132189.08160422678</v>
      </c>
      <c r="U80" s="298">
        <v>132189.08160422678</v>
      </c>
      <c r="V80" s="298">
        <v>132189.08160422678</v>
      </c>
      <c r="W80" s="302"/>
    </row>
    <row r="81" spans="1:23" s="299" customFormat="1" ht="15" customHeight="1" x14ac:dyDescent="0.25">
      <c r="A81" s="295" t="s">
        <v>582</v>
      </c>
      <c r="B81" s="295">
        <v>2</v>
      </c>
      <c r="C81" s="295">
        <v>2</v>
      </c>
      <c r="D81" s="295" t="s">
        <v>579</v>
      </c>
      <c r="E81" s="295" t="s">
        <v>580</v>
      </c>
      <c r="F81" s="295">
        <v>287</v>
      </c>
      <c r="G81" s="295" t="s">
        <v>25</v>
      </c>
      <c r="H81" s="295">
        <v>1</v>
      </c>
      <c r="I81" s="296">
        <v>22106</v>
      </c>
      <c r="J81" s="295">
        <v>1</v>
      </c>
      <c r="K81" s="295">
        <v>19</v>
      </c>
      <c r="L81" s="295">
        <v>1</v>
      </c>
      <c r="M81" s="295">
        <v>1</v>
      </c>
      <c r="N81" s="295" t="s">
        <v>581</v>
      </c>
      <c r="O81" s="295">
        <v>13</v>
      </c>
      <c r="P81" s="298">
        <v>37244</v>
      </c>
      <c r="Q81" s="298">
        <v>0</v>
      </c>
      <c r="R81" s="298">
        <f t="shared" si="5"/>
        <v>37244</v>
      </c>
      <c r="S81" s="298">
        <v>19888</v>
      </c>
      <c r="T81" s="298">
        <v>19888</v>
      </c>
      <c r="U81" s="298">
        <v>19888</v>
      </c>
      <c r="V81" s="298">
        <v>12432</v>
      </c>
      <c r="W81" s="302"/>
    </row>
    <row r="82" spans="1:23" s="299" customFormat="1" ht="15" customHeight="1" x14ac:dyDescent="0.25">
      <c r="A82" s="295" t="s">
        <v>582</v>
      </c>
      <c r="B82" s="295">
        <v>2</v>
      </c>
      <c r="C82" s="295">
        <v>2</v>
      </c>
      <c r="D82" s="295" t="s">
        <v>579</v>
      </c>
      <c r="E82" s="295" t="s">
        <v>580</v>
      </c>
      <c r="F82" s="295">
        <v>287</v>
      </c>
      <c r="G82" s="295" t="s">
        <v>25</v>
      </c>
      <c r="H82" s="295">
        <v>1</v>
      </c>
      <c r="I82" s="296">
        <v>22301</v>
      </c>
      <c r="J82" s="295">
        <v>1</v>
      </c>
      <c r="K82" s="295">
        <v>19</v>
      </c>
      <c r="L82" s="295">
        <v>1</v>
      </c>
      <c r="M82" s="295">
        <v>1</v>
      </c>
      <c r="N82" s="295" t="s">
        <v>581</v>
      </c>
      <c r="O82" s="297">
        <v>13</v>
      </c>
      <c r="P82" s="298">
        <v>4777.49</v>
      </c>
      <c r="Q82" s="298">
        <v>0</v>
      </c>
      <c r="R82" s="298">
        <f t="shared" si="5"/>
        <v>4777.49</v>
      </c>
      <c r="S82" s="298">
        <f>981.4876+324.8</f>
        <v>1306.2876000000001</v>
      </c>
      <c r="T82" s="298">
        <f>981.4876+324.8</f>
        <v>1306.2876000000001</v>
      </c>
      <c r="U82" s="298">
        <f t="shared" ref="U82:V82" si="6">981.4876+324.8</f>
        <v>1306.2876000000001</v>
      </c>
      <c r="V82" s="298">
        <f t="shared" si="6"/>
        <v>1306.2876000000001</v>
      </c>
      <c r="W82" s="302"/>
    </row>
    <row r="83" spans="1:23" s="299" customFormat="1" ht="15" customHeight="1" x14ac:dyDescent="0.25">
      <c r="A83" s="295" t="s">
        <v>582</v>
      </c>
      <c r="B83" s="295">
        <v>2</v>
      </c>
      <c r="C83" s="295">
        <v>2</v>
      </c>
      <c r="D83" s="295" t="s">
        <v>579</v>
      </c>
      <c r="E83" s="295" t="s">
        <v>580</v>
      </c>
      <c r="F83" s="295">
        <v>287</v>
      </c>
      <c r="G83" s="295" t="s">
        <v>25</v>
      </c>
      <c r="H83" s="295">
        <v>1</v>
      </c>
      <c r="I83" s="296">
        <v>24601</v>
      </c>
      <c r="J83" s="295">
        <v>1</v>
      </c>
      <c r="K83" s="295">
        <v>19</v>
      </c>
      <c r="L83" s="295">
        <v>1</v>
      </c>
      <c r="M83" s="295">
        <v>1</v>
      </c>
      <c r="N83" s="295" t="s">
        <v>581</v>
      </c>
      <c r="O83" s="295">
        <v>13</v>
      </c>
      <c r="P83" s="298">
        <f>15487.53+0.47</f>
        <v>15488</v>
      </c>
      <c r="Q83" s="298">
        <v>0</v>
      </c>
      <c r="R83" s="298">
        <f t="shared" si="5"/>
        <v>15488</v>
      </c>
      <c r="S83" s="298">
        <v>16397.419999999998</v>
      </c>
      <c r="T83" s="298">
        <v>16397.419999999998</v>
      </c>
      <c r="U83" s="298">
        <v>16397.419999999998</v>
      </c>
      <c r="V83" s="298">
        <v>16397.419999999998</v>
      </c>
      <c r="W83" s="302"/>
    </row>
    <row r="84" spans="1:23" s="299" customFormat="1" ht="15" customHeight="1" x14ac:dyDescent="0.25">
      <c r="A84" s="295" t="s">
        <v>582</v>
      </c>
      <c r="B84" s="295">
        <v>2</v>
      </c>
      <c r="C84" s="295">
        <v>2</v>
      </c>
      <c r="D84" s="295" t="s">
        <v>579</v>
      </c>
      <c r="E84" s="295" t="s">
        <v>580</v>
      </c>
      <c r="F84" s="295">
        <v>287</v>
      </c>
      <c r="G84" s="295" t="s">
        <v>25</v>
      </c>
      <c r="H84" s="295">
        <v>1</v>
      </c>
      <c r="I84" s="296">
        <v>24901</v>
      </c>
      <c r="J84" s="295">
        <v>1</v>
      </c>
      <c r="K84" s="295">
        <v>19</v>
      </c>
      <c r="L84" s="295">
        <v>1</v>
      </c>
      <c r="M84" s="295">
        <v>1</v>
      </c>
      <c r="N84" s="295" t="s">
        <v>581</v>
      </c>
      <c r="O84" s="297">
        <v>13</v>
      </c>
      <c r="P84" s="298">
        <v>1695</v>
      </c>
      <c r="Q84" s="298">
        <f>-348-241-89</f>
        <v>-678</v>
      </c>
      <c r="R84" s="298">
        <f t="shared" si="5"/>
        <v>1017</v>
      </c>
      <c r="S84" s="298">
        <v>0</v>
      </c>
      <c r="T84" s="298">
        <v>0</v>
      </c>
      <c r="U84" s="298">
        <v>0</v>
      </c>
      <c r="V84" s="298">
        <v>0</v>
      </c>
      <c r="W84" s="302"/>
    </row>
    <row r="85" spans="1:23" s="299" customFormat="1" ht="15" customHeight="1" x14ac:dyDescent="0.25">
      <c r="A85" s="295" t="s">
        <v>582</v>
      </c>
      <c r="B85" s="295">
        <v>2</v>
      </c>
      <c r="C85" s="295">
        <v>2</v>
      </c>
      <c r="D85" s="295" t="s">
        <v>579</v>
      </c>
      <c r="E85" s="295" t="s">
        <v>580</v>
      </c>
      <c r="F85" s="295">
        <v>287</v>
      </c>
      <c r="G85" s="295" t="s">
        <v>25</v>
      </c>
      <c r="H85" s="295">
        <v>1</v>
      </c>
      <c r="I85" s="296">
        <v>25301</v>
      </c>
      <c r="J85" s="295">
        <v>1</v>
      </c>
      <c r="K85" s="295">
        <v>19</v>
      </c>
      <c r="L85" s="295">
        <v>1</v>
      </c>
      <c r="M85" s="295">
        <v>1</v>
      </c>
      <c r="N85" s="295" t="s">
        <v>581</v>
      </c>
      <c r="O85" s="295">
        <v>13</v>
      </c>
      <c r="P85" s="298">
        <v>1917.96</v>
      </c>
      <c r="Q85" s="298">
        <f>-419.39-84.52+606.18</f>
        <v>102.26999999999998</v>
      </c>
      <c r="R85" s="298">
        <f t="shared" si="5"/>
        <v>2020.23</v>
      </c>
      <c r="S85" s="298">
        <v>2020.2329455017668</v>
      </c>
      <c r="T85" s="298">
        <v>2020.2329455017668</v>
      </c>
      <c r="U85" s="298">
        <v>2020.2329455017668</v>
      </c>
      <c r="V85" s="298">
        <v>2020.2329455017668</v>
      </c>
      <c r="W85" s="302"/>
    </row>
    <row r="86" spans="1:23" s="299" customFormat="1" ht="15" customHeight="1" x14ac:dyDescent="0.25">
      <c r="A86" s="295" t="s">
        <v>582</v>
      </c>
      <c r="B86" s="295">
        <v>2</v>
      </c>
      <c r="C86" s="295">
        <v>2</v>
      </c>
      <c r="D86" s="295" t="s">
        <v>579</v>
      </c>
      <c r="E86" s="295" t="s">
        <v>580</v>
      </c>
      <c r="F86" s="295">
        <v>287</v>
      </c>
      <c r="G86" s="295" t="s">
        <v>25</v>
      </c>
      <c r="H86" s="295">
        <v>1</v>
      </c>
      <c r="I86" s="296">
        <v>26101</v>
      </c>
      <c r="J86" s="295">
        <v>1</v>
      </c>
      <c r="K86" s="295">
        <v>19</v>
      </c>
      <c r="L86" s="295">
        <v>1</v>
      </c>
      <c r="M86" s="295">
        <v>1</v>
      </c>
      <c r="N86" s="295" t="s">
        <v>581</v>
      </c>
      <c r="O86" s="297">
        <v>13</v>
      </c>
      <c r="P86" s="298">
        <v>157750.57999999999</v>
      </c>
      <c r="Q86" s="298">
        <f>18538.59+50158.16</f>
        <v>68696.75</v>
      </c>
      <c r="R86" s="298">
        <f t="shared" si="5"/>
        <v>226447.33</v>
      </c>
      <c r="S86" s="298">
        <v>226447.33270647677</v>
      </c>
      <c r="T86" s="298">
        <v>226447.33270647677</v>
      </c>
      <c r="U86" s="298">
        <v>226447.33270647677</v>
      </c>
      <c r="V86" s="298">
        <v>210582.42518017153</v>
      </c>
      <c r="W86" s="302"/>
    </row>
    <row r="87" spans="1:23" s="299" customFormat="1" ht="15" customHeight="1" x14ac:dyDescent="0.25">
      <c r="A87" s="295" t="s">
        <v>582</v>
      </c>
      <c r="B87" s="295">
        <v>2</v>
      </c>
      <c r="C87" s="295">
        <v>2</v>
      </c>
      <c r="D87" s="295" t="s">
        <v>579</v>
      </c>
      <c r="E87" s="295" t="s">
        <v>580</v>
      </c>
      <c r="F87" s="295">
        <v>287</v>
      </c>
      <c r="G87" s="295" t="s">
        <v>25</v>
      </c>
      <c r="H87" s="295">
        <v>1</v>
      </c>
      <c r="I87" s="296">
        <v>26102</v>
      </c>
      <c r="J87" s="295">
        <v>1</v>
      </c>
      <c r="K87" s="295">
        <v>19</v>
      </c>
      <c r="L87" s="295">
        <v>1</v>
      </c>
      <c r="M87" s="295">
        <v>1</v>
      </c>
      <c r="N87" s="295" t="s">
        <v>581</v>
      </c>
      <c r="O87" s="295">
        <v>13</v>
      </c>
      <c r="P87" s="298">
        <v>2078.7800000000002</v>
      </c>
      <c r="Q87" s="298">
        <v>0</v>
      </c>
      <c r="R87" s="298">
        <f t="shared" si="5"/>
        <v>2078.7800000000002</v>
      </c>
      <c r="S87" s="298">
        <v>3786.3083999999999</v>
      </c>
      <c r="T87" s="298">
        <v>3786.3083999999999</v>
      </c>
      <c r="U87" s="298">
        <v>3786.3083999999999</v>
      </c>
      <c r="V87" s="298">
        <v>3446.5783252796141</v>
      </c>
      <c r="W87" s="302"/>
    </row>
    <row r="88" spans="1:23" s="299" customFormat="1" ht="15" customHeight="1" x14ac:dyDescent="0.25">
      <c r="A88" s="295" t="s">
        <v>582</v>
      </c>
      <c r="B88" s="295">
        <v>2</v>
      </c>
      <c r="C88" s="295">
        <v>2</v>
      </c>
      <c r="D88" s="295" t="s">
        <v>579</v>
      </c>
      <c r="E88" s="295" t="s">
        <v>580</v>
      </c>
      <c r="F88" s="295">
        <v>287</v>
      </c>
      <c r="G88" s="295" t="s">
        <v>25</v>
      </c>
      <c r="H88" s="295">
        <v>1</v>
      </c>
      <c r="I88" s="296">
        <v>29201</v>
      </c>
      <c r="J88" s="295">
        <v>1</v>
      </c>
      <c r="K88" s="295">
        <v>19</v>
      </c>
      <c r="L88" s="295">
        <v>1</v>
      </c>
      <c r="M88" s="295">
        <v>1</v>
      </c>
      <c r="N88" s="295" t="s">
        <v>581</v>
      </c>
      <c r="O88" s="297">
        <v>13</v>
      </c>
      <c r="P88" s="298">
        <v>50104</v>
      </c>
      <c r="Q88" s="298">
        <f>-2000-12000-3700-4735.42-462.5-1076.72-658.37+1400</f>
        <v>-23233.01</v>
      </c>
      <c r="R88" s="298">
        <f t="shared" si="5"/>
        <v>26870.99</v>
      </c>
      <c r="S88" s="298">
        <f>29494.4808+244.61</f>
        <v>29739.090800000002</v>
      </c>
      <c r="T88" s="298">
        <f>29494.4808+244.61</f>
        <v>29739.090800000002</v>
      </c>
      <c r="U88" s="298">
        <f t="shared" ref="U88:V88" si="7">29494.4808+244.61</f>
        <v>29739.090800000002</v>
      </c>
      <c r="V88" s="298">
        <f t="shared" si="7"/>
        <v>29739.090800000002</v>
      </c>
      <c r="W88" s="302"/>
    </row>
    <row r="89" spans="1:23" s="299" customFormat="1" ht="15" customHeight="1" x14ac:dyDescent="0.25">
      <c r="A89" s="295" t="s">
        <v>582</v>
      </c>
      <c r="B89" s="295">
        <v>2</v>
      </c>
      <c r="C89" s="295">
        <v>2</v>
      </c>
      <c r="D89" s="295" t="s">
        <v>579</v>
      </c>
      <c r="E89" s="295" t="s">
        <v>580</v>
      </c>
      <c r="F89" s="295">
        <v>287</v>
      </c>
      <c r="G89" s="295" t="s">
        <v>25</v>
      </c>
      <c r="H89" s="295">
        <v>1</v>
      </c>
      <c r="I89" s="296">
        <v>29301</v>
      </c>
      <c r="J89" s="295">
        <v>1</v>
      </c>
      <c r="K89" s="295">
        <v>19</v>
      </c>
      <c r="L89" s="295">
        <v>1</v>
      </c>
      <c r="M89" s="295">
        <v>1</v>
      </c>
      <c r="N89" s="295" t="s">
        <v>581</v>
      </c>
      <c r="O89" s="295">
        <v>13</v>
      </c>
      <c r="P89" s="298">
        <v>798</v>
      </c>
      <c r="Q89" s="298">
        <v>2528.64</v>
      </c>
      <c r="R89" s="298">
        <f t="shared" si="5"/>
        <v>3326.64</v>
      </c>
      <c r="S89" s="298">
        <v>3267.9983999999995</v>
      </c>
      <c r="T89" s="298">
        <v>3267.9983999999995</v>
      </c>
      <c r="U89" s="298">
        <v>3267.9983999999995</v>
      </c>
      <c r="V89" s="298">
        <v>3267.9983999999995</v>
      </c>
      <c r="W89" s="302"/>
    </row>
    <row r="90" spans="1:23" s="299" customFormat="1" ht="15" customHeight="1" x14ac:dyDescent="0.25">
      <c r="A90" s="295" t="s">
        <v>582</v>
      </c>
      <c r="B90" s="295">
        <v>2</v>
      </c>
      <c r="C90" s="295">
        <v>2</v>
      </c>
      <c r="D90" s="295" t="s">
        <v>579</v>
      </c>
      <c r="E90" s="295" t="s">
        <v>580</v>
      </c>
      <c r="F90" s="295">
        <v>287</v>
      </c>
      <c r="G90" s="295" t="s">
        <v>25</v>
      </c>
      <c r="H90" s="295">
        <v>1</v>
      </c>
      <c r="I90" s="296">
        <v>29401</v>
      </c>
      <c r="J90" s="295">
        <v>1</v>
      </c>
      <c r="K90" s="295">
        <v>19</v>
      </c>
      <c r="L90" s="295">
        <v>1</v>
      </c>
      <c r="M90" s="295">
        <v>1</v>
      </c>
      <c r="N90" s="295" t="s">
        <v>581</v>
      </c>
      <c r="O90" s="297">
        <v>13</v>
      </c>
      <c r="P90" s="298">
        <v>15211</v>
      </c>
      <c r="Q90" s="298">
        <f>-4169.25+0.01-450-270.01</f>
        <v>-4889.25</v>
      </c>
      <c r="R90" s="298">
        <f t="shared" si="5"/>
        <v>10321.75</v>
      </c>
      <c r="S90" s="298">
        <v>6780.1900000000005</v>
      </c>
      <c r="T90" s="298">
        <v>6780.1900000000005</v>
      </c>
      <c r="U90" s="298">
        <v>6780.1900000000005</v>
      </c>
      <c r="V90" s="298">
        <v>6780.1900000000005</v>
      </c>
      <c r="W90" s="302"/>
    </row>
    <row r="91" spans="1:23" s="299" customFormat="1" ht="15" customHeight="1" x14ac:dyDescent="0.25">
      <c r="A91" s="295" t="s">
        <v>582</v>
      </c>
      <c r="B91" s="295">
        <v>2</v>
      </c>
      <c r="C91" s="295">
        <v>2</v>
      </c>
      <c r="D91" s="295" t="s">
        <v>579</v>
      </c>
      <c r="E91" s="295" t="s">
        <v>580</v>
      </c>
      <c r="F91" s="295">
        <v>287</v>
      </c>
      <c r="G91" s="295" t="s">
        <v>25</v>
      </c>
      <c r="H91" s="295">
        <v>1</v>
      </c>
      <c r="I91" s="296">
        <v>29601</v>
      </c>
      <c r="J91" s="295">
        <v>1</v>
      </c>
      <c r="K91" s="295">
        <v>19</v>
      </c>
      <c r="L91" s="295">
        <v>1</v>
      </c>
      <c r="M91" s="295">
        <v>1</v>
      </c>
      <c r="N91" s="295" t="s">
        <v>581</v>
      </c>
      <c r="O91" s="295">
        <v>13</v>
      </c>
      <c r="P91" s="298">
        <v>131318</v>
      </c>
      <c r="Q91" s="298">
        <f>-21618.88-19035.04-19618.88-6005.06+12951.45</f>
        <v>-53326.41</v>
      </c>
      <c r="R91" s="298">
        <f t="shared" si="5"/>
        <v>77991.59</v>
      </c>
      <c r="S91" s="298">
        <v>77991.587599999999</v>
      </c>
      <c r="T91" s="298">
        <v>77991.587599999999</v>
      </c>
      <c r="U91" s="298">
        <v>77991.587599999999</v>
      </c>
      <c r="V91" s="298">
        <v>77187.946548729902</v>
      </c>
      <c r="W91" s="302"/>
    </row>
    <row r="92" spans="1:23" s="299" customFormat="1" ht="15" customHeight="1" x14ac:dyDescent="0.25">
      <c r="A92" s="295" t="s">
        <v>582</v>
      </c>
      <c r="B92" s="295">
        <v>2</v>
      </c>
      <c r="C92" s="295">
        <v>2</v>
      </c>
      <c r="D92" s="295" t="s">
        <v>579</v>
      </c>
      <c r="E92" s="295" t="s">
        <v>580</v>
      </c>
      <c r="F92" s="295">
        <v>287</v>
      </c>
      <c r="G92" s="295" t="s">
        <v>25</v>
      </c>
      <c r="H92" s="295">
        <v>1</v>
      </c>
      <c r="I92" s="296">
        <v>31101</v>
      </c>
      <c r="J92" s="295">
        <v>1</v>
      </c>
      <c r="K92" s="295">
        <v>19</v>
      </c>
      <c r="L92" s="295">
        <v>1</v>
      </c>
      <c r="M92" s="295">
        <v>1</v>
      </c>
      <c r="N92" s="295" t="s">
        <v>581</v>
      </c>
      <c r="O92" s="297">
        <v>13</v>
      </c>
      <c r="P92" s="298">
        <v>445535</v>
      </c>
      <c r="Q92" s="298">
        <v>0</v>
      </c>
      <c r="R92" s="298">
        <f t="shared" si="5"/>
        <v>445535</v>
      </c>
      <c r="S92" s="298">
        <v>346718</v>
      </c>
      <c r="T92" s="298">
        <v>346718</v>
      </c>
      <c r="U92" s="298">
        <v>346718</v>
      </c>
      <c r="V92" s="298">
        <v>346718</v>
      </c>
    </row>
    <row r="93" spans="1:23" s="299" customFormat="1" ht="15" customHeight="1" x14ac:dyDescent="0.25">
      <c r="A93" s="295" t="s">
        <v>582</v>
      </c>
      <c r="B93" s="295">
        <v>2</v>
      </c>
      <c r="C93" s="295">
        <v>2</v>
      </c>
      <c r="D93" s="295" t="s">
        <v>579</v>
      </c>
      <c r="E93" s="295" t="s">
        <v>580</v>
      </c>
      <c r="F93" s="295">
        <v>287</v>
      </c>
      <c r="G93" s="295" t="s">
        <v>25</v>
      </c>
      <c r="H93" s="295">
        <v>1</v>
      </c>
      <c r="I93" s="296">
        <v>31301</v>
      </c>
      <c r="J93" s="295">
        <v>1</v>
      </c>
      <c r="K93" s="295">
        <v>19</v>
      </c>
      <c r="L93" s="295">
        <v>1</v>
      </c>
      <c r="M93" s="295">
        <v>1</v>
      </c>
      <c r="N93" s="295" t="s">
        <v>581</v>
      </c>
      <c r="O93" s="295">
        <v>13</v>
      </c>
      <c r="P93" s="298">
        <v>40131</v>
      </c>
      <c r="Q93" s="298">
        <v>-280</v>
      </c>
      <c r="R93" s="298">
        <f t="shared" si="5"/>
        <v>39851</v>
      </c>
      <c r="S93" s="298">
        <v>36474</v>
      </c>
      <c r="T93" s="298">
        <v>36474</v>
      </c>
      <c r="U93" s="298">
        <v>36474</v>
      </c>
      <c r="V93" s="298">
        <v>36474</v>
      </c>
    </row>
    <row r="94" spans="1:23" s="299" customFormat="1" ht="15" customHeight="1" x14ac:dyDescent="0.25">
      <c r="A94" s="295" t="s">
        <v>582</v>
      </c>
      <c r="B94" s="295">
        <v>2</v>
      </c>
      <c r="C94" s="295">
        <v>2</v>
      </c>
      <c r="D94" s="295" t="s">
        <v>579</v>
      </c>
      <c r="E94" s="295" t="s">
        <v>580</v>
      </c>
      <c r="F94" s="295">
        <v>287</v>
      </c>
      <c r="G94" s="295" t="s">
        <v>25</v>
      </c>
      <c r="H94" s="295">
        <v>1</v>
      </c>
      <c r="I94" s="296">
        <v>31401</v>
      </c>
      <c r="J94" s="295">
        <v>1</v>
      </c>
      <c r="K94" s="295">
        <v>19</v>
      </c>
      <c r="L94" s="295">
        <v>1</v>
      </c>
      <c r="M94" s="295">
        <v>1</v>
      </c>
      <c r="N94" s="295" t="s">
        <v>581</v>
      </c>
      <c r="O94" s="297">
        <v>13</v>
      </c>
      <c r="P94" s="298">
        <f>131145+0.37</f>
        <v>131145.37</v>
      </c>
      <c r="Q94" s="298">
        <v>15297</v>
      </c>
      <c r="R94" s="298">
        <f t="shared" si="5"/>
        <v>146442.37</v>
      </c>
      <c r="S94" s="298">
        <v>146442.31079999998</v>
      </c>
      <c r="T94" s="298">
        <v>146442.31079999998</v>
      </c>
      <c r="U94" s="298">
        <v>146442.31079999998</v>
      </c>
      <c r="V94" s="298">
        <v>146442.31079999998</v>
      </c>
    </row>
    <row r="95" spans="1:23" s="299" customFormat="1" ht="15" customHeight="1" x14ac:dyDescent="0.25">
      <c r="A95" s="295" t="s">
        <v>582</v>
      </c>
      <c r="B95" s="295">
        <v>2</v>
      </c>
      <c r="C95" s="295">
        <v>2</v>
      </c>
      <c r="D95" s="295" t="s">
        <v>579</v>
      </c>
      <c r="E95" s="295" t="s">
        <v>580</v>
      </c>
      <c r="F95" s="295">
        <v>287</v>
      </c>
      <c r="G95" s="295" t="s">
        <v>25</v>
      </c>
      <c r="H95" s="295">
        <v>1</v>
      </c>
      <c r="I95" s="296">
        <v>31501</v>
      </c>
      <c r="J95" s="295">
        <v>1</v>
      </c>
      <c r="K95" s="295">
        <v>19</v>
      </c>
      <c r="L95" s="295">
        <v>1</v>
      </c>
      <c r="M95" s="295">
        <v>1</v>
      </c>
      <c r="N95" s="295" t="s">
        <v>581</v>
      </c>
      <c r="O95" s="295">
        <v>13</v>
      </c>
      <c r="P95" s="298">
        <f>2556-0.3</f>
        <v>2555.6999999999998</v>
      </c>
      <c r="Q95" s="298">
        <v>649</v>
      </c>
      <c r="R95" s="298">
        <f t="shared" si="5"/>
        <v>3204.7</v>
      </c>
      <c r="S95" s="298">
        <v>3204.55</v>
      </c>
      <c r="T95" s="298">
        <v>3204.55</v>
      </c>
      <c r="U95" s="298">
        <v>3204.55</v>
      </c>
      <c r="V95" s="298">
        <v>3204.55</v>
      </c>
    </row>
    <row r="96" spans="1:23" s="299" customFormat="1" ht="15" customHeight="1" x14ac:dyDescent="0.25">
      <c r="A96" s="295" t="s">
        <v>582</v>
      </c>
      <c r="B96" s="295">
        <v>2</v>
      </c>
      <c r="C96" s="295">
        <v>2</v>
      </c>
      <c r="D96" s="295" t="s">
        <v>579</v>
      </c>
      <c r="E96" s="295" t="s">
        <v>580</v>
      </c>
      <c r="F96" s="295">
        <v>287</v>
      </c>
      <c r="G96" s="295" t="s">
        <v>25</v>
      </c>
      <c r="H96" s="295">
        <v>1</v>
      </c>
      <c r="I96" s="296">
        <v>31701</v>
      </c>
      <c r="J96" s="295">
        <v>1</v>
      </c>
      <c r="K96" s="295">
        <v>19</v>
      </c>
      <c r="L96" s="295">
        <v>1</v>
      </c>
      <c r="M96" s="295">
        <v>1</v>
      </c>
      <c r="N96" s="295" t="s">
        <v>581</v>
      </c>
      <c r="O96" s="297">
        <v>13</v>
      </c>
      <c r="P96" s="298">
        <v>46981</v>
      </c>
      <c r="Q96" s="298">
        <v>0</v>
      </c>
      <c r="R96" s="298">
        <f t="shared" si="5"/>
        <v>46981</v>
      </c>
      <c r="S96" s="298">
        <v>44744.160000000003</v>
      </c>
      <c r="T96" s="298">
        <v>44744.160000000003</v>
      </c>
      <c r="U96" s="298">
        <v>44744.160000000003</v>
      </c>
      <c r="V96" s="298">
        <v>44744.160000000003</v>
      </c>
    </row>
    <row r="97" spans="1:22" s="299" customFormat="1" ht="15" customHeight="1" x14ac:dyDescent="0.25">
      <c r="A97" s="295" t="s">
        <v>582</v>
      </c>
      <c r="B97" s="295">
        <v>2</v>
      </c>
      <c r="C97" s="295">
        <v>2</v>
      </c>
      <c r="D97" s="295" t="s">
        <v>579</v>
      </c>
      <c r="E97" s="295" t="s">
        <v>580</v>
      </c>
      <c r="F97" s="295">
        <v>287</v>
      </c>
      <c r="G97" s="295" t="s">
        <v>25</v>
      </c>
      <c r="H97" s="295">
        <v>1</v>
      </c>
      <c r="I97" s="296">
        <v>31801</v>
      </c>
      <c r="J97" s="295">
        <v>1</v>
      </c>
      <c r="K97" s="295">
        <v>19</v>
      </c>
      <c r="L97" s="295">
        <v>1</v>
      </c>
      <c r="M97" s="295">
        <v>1</v>
      </c>
      <c r="N97" s="295" t="s">
        <v>581</v>
      </c>
      <c r="O97" s="295">
        <v>13</v>
      </c>
      <c r="P97" s="298">
        <v>810.35</v>
      </c>
      <c r="Q97" s="298">
        <v>0</v>
      </c>
      <c r="R97" s="298">
        <f t="shared" si="5"/>
        <v>810.35</v>
      </c>
      <c r="S97" s="298">
        <v>1275.884</v>
      </c>
      <c r="T97" s="298">
        <v>1275.884</v>
      </c>
      <c r="U97" s="298">
        <v>1275.884</v>
      </c>
      <c r="V97" s="298">
        <v>1275.884</v>
      </c>
    </row>
    <row r="98" spans="1:22" s="299" customFormat="1" ht="15" customHeight="1" x14ac:dyDescent="0.25">
      <c r="A98" s="295" t="s">
        <v>582</v>
      </c>
      <c r="B98" s="295">
        <v>2</v>
      </c>
      <c r="C98" s="295">
        <v>2</v>
      </c>
      <c r="D98" s="295" t="s">
        <v>579</v>
      </c>
      <c r="E98" s="295" t="s">
        <v>580</v>
      </c>
      <c r="F98" s="295">
        <v>287</v>
      </c>
      <c r="G98" s="295" t="s">
        <v>25</v>
      </c>
      <c r="H98" s="295">
        <v>1</v>
      </c>
      <c r="I98" s="296">
        <v>32101</v>
      </c>
      <c r="J98" s="295">
        <v>1</v>
      </c>
      <c r="K98" s="295">
        <v>19</v>
      </c>
      <c r="L98" s="295">
        <v>1</v>
      </c>
      <c r="M98" s="295">
        <v>1</v>
      </c>
      <c r="N98" s="295" t="s">
        <v>581</v>
      </c>
      <c r="O98" s="297">
        <v>13</v>
      </c>
      <c r="P98" s="298">
        <v>148248</v>
      </c>
      <c r="Q98" s="298">
        <v>0</v>
      </c>
      <c r="R98" s="298">
        <f t="shared" si="5"/>
        <v>148248</v>
      </c>
      <c r="S98" s="298">
        <v>148248</v>
      </c>
      <c r="T98" s="298">
        <v>148248</v>
      </c>
      <c r="U98" s="298">
        <v>148248</v>
      </c>
      <c r="V98" s="298">
        <v>148248</v>
      </c>
    </row>
    <row r="99" spans="1:22" s="299" customFormat="1" ht="15" customHeight="1" x14ac:dyDescent="0.25">
      <c r="A99" s="295" t="s">
        <v>582</v>
      </c>
      <c r="B99" s="295">
        <v>2</v>
      </c>
      <c r="C99" s="295">
        <v>2</v>
      </c>
      <c r="D99" s="295" t="s">
        <v>579</v>
      </c>
      <c r="E99" s="295" t="s">
        <v>580</v>
      </c>
      <c r="F99" s="295">
        <v>287</v>
      </c>
      <c r="G99" s="295" t="s">
        <v>25</v>
      </c>
      <c r="H99" s="295">
        <v>1</v>
      </c>
      <c r="I99" s="296">
        <v>32201</v>
      </c>
      <c r="J99" s="295">
        <v>1</v>
      </c>
      <c r="K99" s="295">
        <v>19</v>
      </c>
      <c r="L99" s="295">
        <v>1</v>
      </c>
      <c r="M99" s="295">
        <v>1</v>
      </c>
      <c r="N99" s="295" t="s">
        <v>581</v>
      </c>
      <c r="O99" s="295">
        <v>13</v>
      </c>
      <c r="P99" s="298">
        <v>851382</v>
      </c>
      <c r="Q99" s="298">
        <v>0</v>
      </c>
      <c r="R99" s="298">
        <f t="shared" si="5"/>
        <v>851382</v>
      </c>
      <c r="S99" s="298">
        <v>588816</v>
      </c>
      <c r="T99" s="298">
        <v>588816</v>
      </c>
      <c r="U99" s="298">
        <v>588816</v>
      </c>
      <c r="V99" s="298">
        <v>588816</v>
      </c>
    </row>
    <row r="100" spans="1:22" s="299" customFormat="1" ht="15" customHeight="1" x14ac:dyDescent="0.25">
      <c r="A100" s="295" t="s">
        <v>582</v>
      </c>
      <c r="B100" s="295">
        <v>2</v>
      </c>
      <c r="C100" s="295">
        <v>2</v>
      </c>
      <c r="D100" s="295" t="s">
        <v>579</v>
      </c>
      <c r="E100" s="295" t="s">
        <v>580</v>
      </c>
      <c r="F100" s="295">
        <v>287</v>
      </c>
      <c r="G100" s="295" t="s">
        <v>25</v>
      </c>
      <c r="H100" s="295">
        <v>1</v>
      </c>
      <c r="I100" s="296">
        <v>32301</v>
      </c>
      <c r="J100" s="295">
        <v>1</v>
      </c>
      <c r="K100" s="295">
        <v>19</v>
      </c>
      <c r="L100" s="295">
        <v>1</v>
      </c>
      <c r="M100" s="295">
        <v>1</v>
      </c>
      <c r="N100" s="295" t="s">
        <v>581</v>
      </c>
      <c r="O100" s="297">
        <v>13</v>
      </c>
      <c r="P100" s="298">
        <v>48385</v>
      </c>
      <c r="Q100" s="298">
        <v>-1682</v>
      </c>
      <c r="R100" s="298">
        <f t="shared" si="5"/>
        <v>46703</v>
      </c>
      <c r="S100" s="298">
        <v>5220</v>
      </c>
      <c r="T100" s="298">
        <v>5220</v>
      </c>
      <c r="U100" s="298">
        <v>5220</v>
      </c>
      <c r="V100" s="298">
        <v>5220</v>
      </c>
    </row>
    <row r="101" spans="1:22" s="299" customFormat="1" ht="15" customHeight="1" x14ac:dyDescent="0.25">
      <c r="A101" s="295" t="s">
        <v>582</v>
      </c>
      <c r="B101" s="295">
        <v>2</v>
      </c>
      <c r="C101" s="295">
        <v>2</v>
      </c>
      <c r="D101" s="295" t="s">
        <v>579</v>
      </c>
      <c r="E101" s="295" t="s">
        <v>580</v>
      </c>
      <c r="F101" s="295">
        <v>287</v>
      </c>
      <c r="G101" s="295" t="s">
        <v>25</v>
      </c>
      <c r="H101" s="295">
        <v>1</v>
      </c>
      <c r="I101" s="296">
        <v>33101</v>
      </c>
      <c r="J101" s="295">
        <v>1</v>
      </c>
      <c r="K101" s="295">
        <v>19</v>
      </c>
      <c r="L101" s="295">
        <v>1</v>
      </c>
      <c r="M101" s="295">
        <v>1</v>
      </c>
      <c r="N101" s="295" t="s">
        <v>581</v>
      </c>
      <c r="O101" s="295">
        <v>13</v>
      </c>
      <c r="P101" s="298">
        <v>3332489</v>
      </c>
      <c r="Q101" s="298">
        <f>8540742.28-234990.48-4841.47+434028.15-22040</f>
        <v>8712898.4799999986</v>
      </c>
      <c r="R101" s="298">
        <f t="shared" si="5"/>
        <v>12045387.479999999</v>
      </c>
      <c r="S101" s="298">
        <f>11069832.8812+23499.06+200095.58</f>
        <v>11293427.521200001</v>
      </c>
      <c r="T101" s="298">
        <f>11069832.8812+23499.06</f>
        <v>11093331.941200001</v>
      </c>
      <c r="U101" s="298">
        <f t="shared" ref="U101" si="8">11069832.8812+23499.06</f>
        <v>11093331.941200001</v>
      </c>
      <c r="V101" s="298">
        <v>9740052.5274864454</v>
      </c>
    </row>
    <row r="102" spans="1:22" s="299" customFormat="1" ht="15" customHeight="1" x14ac:dyDescent="0.25">
      <c r="A102" s="295" t="s">
        <v>582</v>
      </c>
      <c r="B102" s="295">
        <v>2</v>
      </c>
      <c r="C102" s="295">
        <v>2</v>
      </c>
      <c r="D102" s="295" t="s">
        <v>579</v>
      </c>
      <c r="E102" s="295" t="s">
        <v>580</v>
      </c>
      <c r="F102" s="295">
        <v>287</v>
      </c>
      <c r="G102" s="295" t="s">
        <v>25</v>
      </c>
      <c r="H102" s="295">
        <v>1</v>
      </c>
      <c r="I102" s="296">
        <v>33201</v>
      </c>
      <c r="J102" s="295">
        <v>1</v>
      </c>
      <c r="K102" s="295">
        <v>19</v>
      </c>
      <c r="L102" s="295">
        <v>1</v>
      </c>
      <c r="M102" s="295">
        <v>1</v>
      </c>
      <c r="N102" s="295" t="s">
        <v>581</v>
      </c>
      <c r="O102" s="297">
        <v>13</v>
      </c>
      <c r="P102" s="298">
        <v>300381</v>
      </c>
      <c r="Q102" s="298">
        <v>0</v>
      </c>
      <c r="R102" s="298">
        <f t="shared" si="5"/>
        <v>300381</v>
      </c>
      <c r="S102" s="298">
        <v>0</v>
      </c>
      <c r="T102" s="298">
        <v>0</v>
      </c>
      <c r="U102" s="298">
        <v>0</v>
      </c>
      <c r="V102" s="298">
        <v>0</v>
      </c>
    </row>
    <row r="103" spans="1:22" s="299" customFormat="1" ht="15" customHeight="1" x14ac:dyDescent="0.25">
      <c r="A103" s="295" t="s">
        <v>582</v>
      </c>
      <c r="B103" s="295">
        <v>2</v>
      </c>
      <c r="C103" s="295">
        <v>2</v>
      </c>
      <c r="D103" s="295" t="s">
        <v>579</v>
      </c>
      <c r="E103" s="295" t="s">
        <v>580</v>
      </c>
      <c r="F103" s="295">
        <v>287</v>
      </c>
      <c r="G103" s="295" t="s">
        <v>25</v>
      </c>
      <c r="H103" s="295">
        <v>1</v>
      </c>
      <c r="I103" s="296">
        <v>33301</v>
      </c>
      <c r="J103" s="295">
        <v>1</v>
      </c>
      <c r="K103" s="295">
        <v>19</v>
      </c>
      <c r="L103" s="295">
        <v>1</v>
      </c>
      <c r="M103" s="295">
        <v>1</v>
      </c>
      <c r="N103" s="295" t="s">
        <v>581</v>
      </c>
      <c r="O103" s="295">
        <v>13</v>
      </c>
      <c r="P103" s="298">
        <v>271829.15000000002</v>
      </c>
      <c r="Q103" s="298">
        <v>0</v>
      </c>
      <c r="R103" s="298">
        <f t="shared" si="5"/>
        <v>271829.15000000002</v>
      </c>
      <c r="S103" s="298">
        <v>234238.23999999996</v>
      </c>
      <c r="T103" s="298">
        <v>234238.23999999996</v>
      </c>
      <c r="U103" s="298">
        <v>234238.23999999996</v>
      </c>
      <c r="V103" s="298">
        <v>214322.34</v>
      </c>
    </row>
    <row r="104" spans="1:22" s="299" customFormat="1" ht="15" customHeight="1" x14ac:dyDescent="0.25">
      <c r="A104" s="295" t="s">
        <v>582</v>
      </c>
      <c r="B104" s="295">
        <v>2</v>
      </c>
      <c r="C104" s="295">
        <v>2</v>
      </c>
      <c r="D104" s="295" t="s">
        <v>579</v>
      </c>
      <c r="E104" s="295" t="s">
        <v>580</v>
      </c>
      <c r="F104" s="295">
        <v>287</v>
      </c>
      <c r="G104" s="295" t="s">
        <v>25</v>
      </c>
      <c r="H104" s="295">
        <v>1</v>
      </c>
      <c r="I104" s="296">
        <v>33302</v>
      </c>
      <c r="J104" s="295">
        <v>1</v>
      </c>
      <c r="K104" s="295">
        <v>19</v>
      </c>
      <c r="L104" s="295">
        <v>1</v>
      </c>
      <c r="M104" s="295">
        <v>1</v>
      </c>
      <c r="N104" s="295" t="s">
        <v>581</v>
      </c>
      <c r="O104" s="297">
        <v>13</v>
      </c>
      <c r="P104" s="298">
        <v>245421</v>
      </c>
      <c r="Q104" s="298">
        <v>0</v>
      </c>
      <c r="R104" s="298">
        <f t="shared" si="5"/>
        <v>245421</v>
      </c>
      <c r="S104" s="298">
        <v>170455.272</v>
      </c>
      <c r="T104" s="298">
        <v>170455.272</v>
      </c>
      <c r="U104" s="298">
        <v>170455.272</v>
      </c>
      <c r="V104" s="298">
        <v>155943.67000000001</v>
      </c>
    </row>
    <row r="105" spans="1:22" s="299" customFormat="1" ht="15" customHeight="1" x14ac:dyDescent="0.25">
      <c r="A105" s="295" t="s">
        <v>582</v>
      </c>
      <c r="B105" s="295">
        <v>2</v>
      </c>
      <c r="C105" s="295">
        <v>2</v>
      </c>
      <c r="D105" s="295" t="s">
        <v>579</v>
      </c>
      <c r="E105" s="295" t="s">
        <v>580</v>
      </c>
      <c r="F105" s="295">
        <v>287</v>
      </c>
      <c r="G105" s="295" t="s">
        <v>25</v>
      </c>
      <c r="H105" s="295">
        <v>1</v>
      </c>
      <c r="I105" s="296">
        <v>33401</v>
      </c>
      <c r="J105" s="295">
        <v>1</v>
      </c>
      <c r="K105" s="295">
        <v>19</v>
      </c>
      <c r="L105" s="295">
        <v>1</v>
      </c>
      <c r="M105" s="295">
        <v>1</v>
      </c>
      <c r="N105" s="295" t="s">
        <v>581</v>
      </c>
      <c r="O105" s="295">
        <v>13</v>
      </c>
      <c r="P105" s="298">
        <v>30367.87</v>
      </c>
      <c r="Q105" s="298">
        <f>54792.61+1615.5+224.02+1391.48+1615.52</f>
        <v>59639.13</v>
      </c>
      <c r="R105" s="298">
        <f t="shared" si="5"/>
        <v>90007</v>
      </c>
      <c r="S105" s="298">
        <v>133400</v>
      </c>
      <c r="T105" s="298">
        <v>133400</v>
      </c>
      <c r="U105" s="298">
        <v>133400</v>
      </c>
      <c r="V105" s="298">
        <v>133400</v>
      </c>
    </row>
    <row r="106" spans="1:22" s="299" customFormat="1" ht="15" customHeight="1" x14ac:dyDescent="0.25">
      <c r="A106" s="295" t="s">
        <v>582</v>
      </c>
      <c r="B106" s="295">
        <v>2</v>
      </c>
      <c r="C106" s="295">
        <v>2</v>
      </c>
      <c r="D106" s="295" t="s">
        <v>579</v>
      </c>
      <c r="E106" s="295" t="s">
        <v>580</v>
      </c>
      <c r="F106" s="295">
        <v>287</v>
      </c>
      <c r="G106" s="295" t="s">
        <v>25</v>
      </c>
      <c r="H106" s="295">
        <v>1</v>
      </c>
      <c r="I106" s="296">
        <v>33603</v>
      </c>
      <c r="J106" s="295">
        <v>1</v>
      </c>
      <c r="K106" s="295">
        <v>19</v>
      </c>
      <c r="L106" s="295">
        <v>1</v>
      </c>
      <c r="M106" s="295">
        <v>1</v>
      </c>
      <c r="N106" s="295" t="s">
        <v>581</v>
      </c>
      <c r="O106" s="297">
        <v>13</v>
      </c>
      <c r="P106" s="298">
        <v>32106.31</v>
      </c>
      <c r="Q106" s="298">
        <v>7971.69</v>
      </c>
      <c r="R106" s="298">
        <f t="shared" si="5"/>
        <v>40078</v>
      </c>
      <c r="S106" s="298">
        <v>47618</v>
      </c>
      <c r="T106" s="298">
        <v>47618</v>
      </c>
      <c r="U106" s="298">
        <v>47618</v>
      </c>
      <c r="V106" s="298">
        <v>43669.406722090112</v>
      </c>
    </row>
    <row r="107" spans="1:22" s="299" customFormat="1" ht="15" customHeight="1" x14ac:dyDescent="0.25">
      <c r="A107" s="295" t="s">
        <v>582</v>
      </c>
      <c r="B107" s="295">
        <v>2</v>
      </c>
      <c r="C107" s="295">
        <v>2</v>
      </c>
      <c r="D107" s="295" t="s">
        <v>579</v>
      </c>
      <c r="E107" s="295" t="s">
        <v>580</v>
      </c>
      <c r="F107" s="295">
        <v>287</v>
      </c>
      <c r="G107" s="295" t="s">
        <v>25</v>
      </c>
      <c r="H107" s="295">
        <v>1</v>
      </c>
      <c r="I107" s="296">
        <v>33608</v>
      </c>
      <c r="J107" s="295">
        <v>1</v>
      </c>
      <c r="K107" s="295">
        <v>19</v>
      </c>
      <c r="L107" s="295">
        <v>1</v>
      </c>
      <c r="M107" s="295">
        <v>1</v>
      </c>
      <c r="N107" s="295" t="s">
        <v>581</v>
      </c>
      <c r="O107" s="295">
        <v>13</v>
      </c>
      <c r="P107" s="298">
        <v>98000</v>
      </c>
      <c r="Q107" s="298">
        <v>5849</v>
      </c>
      <c r="R107" s="298">
        <f t="shared" si="5"/>
        <v>103849</v>
      </c>
      <c r="S107" s="298">
        <v>103848.78</v>
      </c>
      <c r="T107" s="298">
        <v>103848.78</v>
      </c>
      <c r="U107" s="298">
        <v>103848.78</v>
      </c>
      <c r="V107" s="298">
        <v>79298.070000000007</v>
      </c>
    </row>
    <row r="108" spans="1:22" s="299" customFormat="1" ht="15" customHeight="1" x14ac:dyDescent="0.25">
      <c r="A108" s="295" t="s">
        <v>582</v>
      </c>
      <c r="B108" s="295">
        <v>2</v>
      </c>
      <c r="C108" s="295">
        <v>2</v>
      </c>
      <c r="D108" s="295" t="s">
        <v>579</v>
      </c>
      <c r="E108" s="295" t="s">
        <v>580</v>
      </c>
      <c r="F108" s="295">
        <v>287</v>
      </c>
      <c r="G108" s="295" t="s">
        <v>25</v>
      </c>
      <c r="H108" s="295">
        <v>1</v>
      </c>
      <c r="I108" s="296">
        <v>33901</v>
      </c>
      <c r="J108" s="295">
        <v>1</v>
      </c>
      <c r="K108" s="295">
        <v>19</v>
      </c>
      <c r="L108" s="295">
        <v>1</v>
      </c>
      <c r="M108" s="295">
        <v>1</v>
      </c>
      <c r="N108" s="295" t="s">
        <v>581</v>
      </c>
      <c r="O108" s="297">
        <v>13</v>
      </c>
      <c r="P108" s="298">
        <v>365400</v>
      </c>
      <c r="Q108" s="298">
        <v>-120500</v>
      </c>
      <c r="R108" s="298">
        <f t="shared" si="5"/>
        <v>244900</v>
      </c>
      <c r="S108" s="298">
        <v>0</v>
      </c>
      <c r="T108" s="298">
        <v>0</v>
      </c>
      <c r="U108" s="298">
        <v>0</v>
      </c>
      <c r="V108" s="298">
        <v>0</v>
      </c>
    </row>
    <row r="109" spans="1:22" s="299" customFormat="1" ht="15" customHeight="1" x14ac:dyDescent="0.25">
      <c r="A109" s="295" t="s">
        <v>582</v>
      </c>
      <c r="B109" s="295">
        <v>2</v>
      </c>
      <c r="C109" s="295">
        <v>2</v>
      </c>
      <c r="D109" s="295" t="s">
        <v>579</v>
      </c>
      <c r="E109" s="295" t="s">
        <v>580</v>
      </c>
      <c r="F109" s="295">
        <v>287</v>
      </c>
      <c r="G109" s="295" t="s">
        <v>25</v>
      </c>
      <c r="H109" s="295">
        <v>1</v>
      </c>
      <c r="I109" s="296">
        <v>34101</v>
      </c>
      <c r="J109" s="295">
        <v>1</v>
      </c>
      <c r="K109" s="295">
        <v>19</v>
      </c>
      <c r="L109" s="295">
        <v>1</v>
      </c>
      <c r="M109" s="295">
        <v>1</v>
      </c>
      <c r="N109" s="295" t="s">
        <v>581</v>
      </c>
      <c r="O109" s="295">
        <v>13</v>
      </c>
      <c r="P109" s="298">
        <v>42494</v>
      </c>
      <c r="Q109" s="298">
        <v>0</v>
      </c>
      <c r="R109" s="298">
        <f t="shared" si="5"/>
        <v>42494</v>
      </c>
      <c r="S109" s="298">
        <v>47786.26</v>
      </c>
      <c r="T109" s="298">
        <v>47786.26</v>
      </c>
      <c r="U109" s="298">
        <v>47786.26</v>
      </c>
      <c r="V109" s="298">
        <v>47021.16</v>
      </c>
    </row>
    <row r="110" spans="1:22" s="299" customFormat="1" ht="15" customHeight="1" x14ac:dyDescent="0.25">
      <c r="A110" s="295" t="s">
        <v>582</v>
      </c>
      <c r="B110" s="295">
        <v>2</v>
      </c>
      <c r="C110" s="295">
        <v>2</v>
      </c>
      <c r="D110" s="295" t="s">
        <v>579</v>
      </c>
      <c r="E110" s="295" t="s">
        <v>580</v>
      </c>
      <c r="F110" s="295">
        <v>287</v>
      </c>
      <c r="G110" s="295" t="s">
        <v>25</v>
      </c>
      <c r="H110" s="295">
        <v>1</v>
      </c>
      <c r="I110" s="296">
        <v>34401</v>
      </c>
      <c r="J110" s="295">
        <v>1</v>
      </c>
      <c r="K110" s="295">
        <v>19</v>
      </c>
      <c r="L110" s="295">
        <v>1</v>
      </c>
      <c r="M110" s="295">
        <v>1</v>
      </c>
      <c r="N110" s="295" t="s">
        <v>581</v>
      </c>
      <c r="O110" s="297">
        <v>13</v>
      </c>
      <c r="P110" s="298">
        <v>139715.65</v>
      </c>
      <c r="Q110" s="298">
        <v>0</v>
      </c>
      <c r="R110" s="298">
        <f t="shared" si="5"/>
        <v>139715.65</v>
      </c>
      <c r="S110" s="298">
        <v>144064.52959999998</v>
      </c>
      <c r="T110" s="298">
        <v>144064.52959999998</v>
      </c>
      <c r="U110" s="298">
        <v>144064.52959999998</v>
      </c>
      <c r="V110" s="298">
        <v>144064.52959999998</v>
      </c>
    </row>
    <row r="111" spans="1:22" s="299" customFormat="1" ht="15" customHeight="1" x14ac:dyDescent="0.25">
      <c r="A111" s="295" t="s">
        <v>582</v>
      </c>
      <c r="B111" s="295">
        <v>2</v>
      </c>
      <c r="C111" s="295">
        <v>2</v>
      </c>
      <c r="D111" s="295" t="s">
        <v>579</v>
      </c>
      <c r="E111" s="295" t="s">
        <v>580</v>
      </c>
      <c r="F111" s="295">
        <v>287</v>
      </c>
      <c r="G111" s="295" t="s">
        <v>25</v>
      </c>
      <c r="H111" s="295">
        <v>1</v>
      </c>
      <c r="I111" s="296">
        <v>34701</v>
      </c>
      <c r="J111" s="295">
        <v>1</v>
      </c>
      <c r="K111" s="295">
        <v>19</v>
      </c>
      <c r="L111" s="295">
        <v>1</v>
      </c>
      <c r="M111" s="295">
        <v>1</v>
      </c>
      <c r="N111" s="295" t="s">
        <v>581</v>
      </c>
      <c r="O111" s="295">
        <v>13</v>
      </c>
      <c r="P111" s="298">
        <v>6627</v>
      </c>
      <c r="Q111" s="298">
        <v>0</v>
      </c>
      <c r="R111" s="298">
        <f t="shared" si="5"/>
        <v>6627</v>
      </c>
      <c r="S111" s="298">
        <v>2970.01</v>
      </c>
      <c r="T111" s="298">
        <v>2970.01</v>
      </c>
      <c r="U111" s="298">
        <v>2970.01</v>
      </c>
      <c r="V111" s="298">
        <v>2970.01</v>
      </c>
    </row>
    <row r="112" spans="1:22" s="299" customFormat="1" ht="15" customHeight="1" x14ac:dyDescent="0.25">
      <c r="A112" s="295" t="s">
        <v>582</v>
      </c>
      <c r="B112" s="295">
        <v>2</v>
      </c>
      <c r="C112" s="295">
        <v>2</v>
      </c>
      <c r="D112" s="295" t="s">
        <v>579</v>
      </c>
      <c r="E112" s="295" t="s">
        <v>580</v>
      </c>
      <c r="F112" s="295">
        <v>287</v>
      </c>
      <c r="G112" s="295" t="s">
        <v>25</v>
      </c>
      <c r="H112" s="295">
        <v>1</v>
      </c>
      <c r="I112" s="296">
        <v>35101</v>
      </c>
      <c r="J112" s="295">
        <v>1</v>
      </c>
      <c r="K112" s="295">
        <v>19</v>
      </c>
      <c r="L112" s="295">
        <v>1</v>
      </c>
      <c r="M112" s="295">
        <v>1</v>
      </c>
      <c r="N112" s="295" t="s">
        <v>581</v>
      </c>
      <c r="O112" s="297">
        <v>13</v>
      </c>
      <c r="P112" s="298">
        <v>121238.5</v>
      </c>
      <c r="Q112" s="298">
        <f>2108798.46+722029.05-39463.61</f>
        <v>2791363.9</v>
      </c>
      <c r="R112" s="298">
        <f>P112+Q112</f>
        <v>2912602.4</v>
      </c>
      <c r="S112" s="298">
        <v>426345.22999999992</v>
      </c>
      <c r="T112" s="298">
        <v>426345.22999999992</v>
      </c>
      <c r="U112" s="298">
        <v>426345.22999999992</v>
      </c>
      <c r="V112" s="298">
        <f>289679.8+8655.99</f>
        <v>298335.78999999998</v>
      </c>
    </row>
    <row r="113" spans="1:22" s="299" customFormat="1" ht="15" customHeight="1" x14ac:dyDescent="0.25">
      <c r="A113" s="295" t="s">
        <v>582</v>
      </c>
      <c r="B113" s="295">
        <v>2</v>
      </c>
      <c r="C113" s="295">
        <v>2</v>
      </c>
      <c r="D113" s="295" t="s">
        <v>579</v>
      </c>
      <c r="E113" s="295" t="s">
        <v>580</v>
      </c>
      <c r="F113" s="295">
        <v>287</v>
      </c>
      <c r="G113" s="295" t="s">
        <v>25</v>
      </c>
      <c r="H113" s="295">
        <v>1</v>
      </c>
      <c r="I113" s="296">
        <v>35201</v>
      </c>
      <c r="J113" s="295">
        <v>1</v>
      </c>
      <c r="K113" s="295">
        <v>19</v>
      </c>
      <c r="L113" s="295">
        <v>1</v>
      </c>
      <c r="M113" s="295">
        <v>1</v>
      </c>
      <c r="N113" s="295" t="s">
        <v>581</v>
      </c>
      <c r="O113" s="295">
        <v>13</v>
      </c>
      <c r="P113" s="298">
        <v>64380</v>
      </c>
      <c r="Q113" s="298">
        <v>5162</v>
      </c>
      <c r="R113" s="298">
        <f t="shared" si="5"/>
        <v>69542</v>
      </c>
      <c r="S113" s="298">
        <v>69542</v>
      </c>
      <c r="T113" s="298">
        <v>69542</v>
      </c>
      <c r="U113" s="298">
        <v>69542</v>
      </c>
      <c r="V113" s="298">
        <v>33176</v>
      </c>
    </row>
    <row r="114" spans="1:22" s="299" customFormat="1" ht="15" customHeight="1" x14ac:dyDescent="0.25">
      <c r="A114" s="295" t="s">
        <v>582</v>
      </c>
      <c r="B114" s="295">
        <v>2</v>
      </c>
      <c r="C114" s="295">
        <v>2</v>
      </c>
      <c r="D114" s="295" t="s">
        <v>579</v>
      </c>
      <c r="E114" s="295" t="s">
        <v>580</v>
      </c>
      <c r="F114" s="295">
        <v>287</v>
      </c>
      <c r="G114" s="295" t="s">
        <v>25</v>
      </c>
      <c r="H114" s="295">
        <v>1</v>
      </c>
      <c r="I114" s="296">
        <v>35302</v>
      </c>
      <c r="J114" s="295">
        <v>1</v>
      </c>
      <c r="K114" s="295">
        <v>19</v>
      </c>
      <c r="L114" s="295">
        <v>1</v>
      </c>
      <c r="M114" s="295">
        <v>1</v>
      </c>
      <c r="N114" s="295" t="s">
        <v>581</v>
      </c>
      <c r="O114" s="297">
        <v>13</v>
      </c>
      <c r="P114" s="298">
        <v>579.97</v>
      </c>
      <c r="Q114" s="298">
        <v>290.02999999999997</v>
      </c>
      <c r="R114" s="298">
        <f t="shared" si="5"/>
        <v>870</v>
      </c>
      <c r="S114" s="298">
        <v>869.99999999999989</v>
      </c>
      <c r="T114" s="298">
        <v>869.99999999999989</v>
      </c>
      <c r="U114" s="298">
        <v>869.99999999999989</v>
      </c>
      <c r="V114" s="298">
        <v>869.99999999999989</v>
      </c>
    </row>
    <row r="115" spans="1:22" s="299" customFormat="1" ht="15" customHeight="1" x14ac:dyDescent="0.25">
      <c r="A115" s="295" t="s">
        <v>582</v>
      </c>
      <c r="B115" s="295">
        <v>2</v>
      </c>
      <c r="C115" s="295">
        <v>2</v>
      </c>
      <c r="D115" s="295" t="s">
        <v>579</v>
      </c>
      <c r="E115" s="295" t="s">
        <v>580</v>
      </c>
      <c r="F115" s="295">
        <v>287</v>
      </c>
      <c r="G115" s="295" t="s">
        <v>25</v>
      </c>
      <c r="H115" s="295">
        <v>1</v>
      </c>
      <c r="I115" s="296">
        <v>35501</v>
      </c>
      <c r="J115" s="295">
        <v>1</v>
      </c>
      <c r="K115" s="295">
        <v>19</v>
      </c>
      <c r="L115" s="295">
        <v>1</v>
      </c>
      <c r="M115" s="295">
        <v>1</v>
      </c>
      <c r="N115" s="295" t="s">
        <v>581</v>
      </c>
      <c r="O115" s="295">
        <v>13</v>
      </c>
      <c r="P115" s="298">
        <v>42788.97</v>
      </c>
      <c r="Q115" s="298">
        <f>15000+9067.87</f>
        <v>24067.870000000003</v>
      </c>
      <c r="R115" s="298">
        <f t="shared" si="5"/>
        <v>66856.84</v>
      </c>
      <c r="S115" s="298">
        <v>66856.842799999999</v>
      </c>
      <c r="T115" s="298">
        <v>66856.842799999999</v>
      </c>
      <c r="U115" s="298">
        <v>66856.842799999999</v>
      </c>
      <c r="V115" s="298">
        <v>64854.64038806974</v>
      </c>
    </row>
    <row r="116" spans="1:22" s="299" customFormat="1" ht="15" customHeight="1" x14ac:dyDescent="0.25">
      <c r="A116" s="295" t="s">
        <v>582</v>
      </c>
      <c r="B116" s="295">
        <v>2</v>
      </c>
      <c r="C116" s="295">
        <v>2</v>
      </c>
      <c r="D116" s="295" t="s">
        <v>579</v>
      </c>
      <c r="E116" s="295" t="s">
        <v>580</v>
      </c>
      <c r="F116" s="295">
        <v>287</v>
      </c>
      <c r="G116" s="295" t="s">
        <v>25</v>
      </c>
      <c r="H116" s="295">
        <v>1</v>
      </c>
      <c r="I116" s="296">
        <v>35801</v>
      </c>
      <c r="J116" s="295">
        <v>1</v>
      </c>
      <c r="K116" s="295">
        <v>19</v>
      </c>
      <c r="L116" s="295">
        <v>1</v>
      </c>
      <c r="M116" s="295">
        <v>1</v>
      </c>
      <c r="N116" s="295" t="s">
        <v>581</v>
      </c>
      <c r="O116" s="297">
        <v>13</v>
      </c>
      <c r="P116" s="298">
        <v>70888</v>
      </c>
      <c r="Q116" s="298">
        <v>0</v>
      </c>
      <c r="R116" s="298">
        <f t="shared" si="5"/>
        <v>70888</v>
      </c>
      <c r="S116" s="298">
        <v>70992</v>
      </c>
      <c r="T116" s="298">
        <v>70992</v>
      </c>
      <c r="U116" s="298">
        <v>70992</v>
      </c>
      <c r="V116" s="298">
        <v>59160</v>
      </c>
    </row>
    <row r="117" spans="1:22" s="299" customFormat="1" ht="15" customHeight="1" x14ac:dyDescent="0.25">
      <c r="A117" s="295" t="s">
        <v>582</v>
      </c>
      <c r="B117" s="295">
        <v>2</v>
      </c>
      <c r="C117" s="295">
        <v>2</v>
      </c>
      <c r="D117" s="295" t="s">
        <v>579</v>
      </c>
      <c r="E117" s="295" t="s">
        <v>580</v>
      </c>
      <c r="F117" s="295">
        <v>287</v>
      </c>
      <c r="G117" s="295" t="s">
        <v>25</v>
      </c>
      <c r="H117" s="295">
        <v>1</v>
      </c>
      <c r="I117" s="296">
        <v>35901</v>
      </c>
      <c r="J117" s="295">
        <v>1</v>
      </c>
      <c r="K117" s="295">
        <v>19</v>
      </c>
      <c r="L117" s="295">
        <v>1</v>
      </c>
      <c r="M117" s="295">
        <v>1</v>
      </c>
      <c r="N117" s="295" t="s">
        <v>581</v>
      </c>
      <c r="O117" s="295">
        <v>13</v>
      </c>
      <c r="P117" s="298">
        <v>75355</v>
      </c>
      <c r="Q117" s="298">
        <f>15300+25573</f>
        <v>40873</v>
      </c>
      <c r="R117" s="298">
        <f t="shared" si="5"/>
        <v>116228</v>
      </c>
      <c r="S117" s="298">
        <v>116231.07</v>
      </c>
      <c r="T117" s="298">
        <v>116227.83</v>
      </c>
      <c r="U117" s="298">
        <v>116227.83</v>
      </c>
      <c r="V117" s="298">
        <v>77835.09</v>
      </c>
    </row>
    <row r="118" spans="1:22" s="299" customFormat="1" ht="15" customHeight="1" x14ac:dyDescent="0.25">
      <c r="A118" s="295" t="s">
        <v>582</v>
      </c>
      <c r="B118" s="295">
        <v>2</v>
      </c>
      <c r="C118" s="295">
        <v>2</v>
      </c>
      <c r="D118" s="295" t="s">
        <v>579</v>
      </c>
      <c r="E118" s="295" t="s">
        <v>580</v>
      </c>
      <c r="F118" s="295">
        <v>287</v>
      </c>
      <c r="G118" s="295" t="s">
        <v>25</v>
      </c>
      <c r="H118" s="295">
        <v>1</v>
      </c>
      <c r="I118" s="296">
        <v>37101</v>
      </c>
      <c r="J118" s="295">
        <v>1</v>
      </c>
      <c r="K118" s="295">
        <v>19</v>
      </c>
      <c r="L118" s="295">
        <v>1</v>
      </c>
      <c r="M118" s="295">
        <v>1</v>
      </c>
      <c r="N118" s="295" t="s">
        <v>581</v>
      </c>
      <c r="O118" s="297">
        <v>13</v>
      </c>
      <c r="P118" s="298">
        <v>203083.62</v>
      </c>
      <c r="Q118" s="298">
        <f>-16028-66661.73-12405.61-30423.81-44946.94</f>
        <v>-170466.09</v>
      </c>
      <c r="R118" s="298">
        <f t="shared" si="5"/>
        <v>32617.53</v>
      </c>
      <c r="S118" s="298">
        <v>16297.988399999998</v>
      </c>
      <c r="T118" s="298">
        <v>16297.988399999998</v>
      </c>
      <c r="U118" s="298">
        <v>16297.988399999998</v>
      </c>
      <c r="V118" s="298">
        <v>11773.639201309206</v>
      </c>
    </row>
    <row r="119" spans="1:22" s="299" customFormat="1" ht="15" customHeight="1" x14ac:dyDescent="0.25">
      <c r="A119" s="295" t="s">
        <v>582</v>
      </c>
      <c r="B119" s="295">
        <v>2</v>
      </c>
      <c r="C119" s="295">
        <v>2</v>
      </c>
      <c r="D119" s="295" t="s">
        <v>579</v>
      </c>
      <c r="E119" s="295" t="s">
        <v>580</v>
      </c>
      <c r="F119" s="295">
        <v>287</v>
      </c>
      <c r="G119" s="295" t="s">
        <v>25</v>
      </c>
      <c r="H119" s="295">
        <v>1</v>
      </c>
      <c r="I119" s="296">
        <v>37201</v>
      </c>
      <c r="J119" s="295">
        <v>1</v>
      </c>
      <c r="K119" s="295">
        <v>19</v>
      </c>
      <c r="L119" s="295">
        <v>1</v>
      </c>
      <c r="M119" s="295">
        <v>1</v>
      </c>
      <c r="N119" s="295" t="s">
        <v>581</v>
      </c>
      <c r="O119" s="295">
        <v>13</v>
      </c>
      <c r="P119" s="298">
        <v>42854</v>
      </c>
      <c r="Q119" s="298">
        <f>-35779.33-5964.68</f>
        <v>-41744.01</v>
      </c>
      <c r="R119" s="298">
        <f t="shared" si="5"/>
        <v>1109.989999999998</v>
      </c>
      <c r="S119" s="298">
        <v>1109.99</v>
      </c>
      <c r="T119" s="298">
        <v>1109.99</v>
      </c>
      <c r="U119" s="298">
        <v>1109.99</v>
      </c>
      <c r="V119" s="298">
        <v>1109.99</v>
      </c>
    </row>
    <row r="120" spans="1:22" s="299" customFormat="1" ht="15" customHeight="1" x14ac:dyDescent="0.25">
      <c r="A120" s="295" t="s">
        <v>582</v>
      </c>
      <c r="B120" s="295">
        <v>2</v>
      </c>
      <c r="C120" s="295">
        <v>2</v>
      </c>
      <c r="D120" s="295" t="s">
        <v>579</v>
      </c>
      <c r="E120" s="295" t="s">
        <v>580</v>
      </c>
      <c r="F120" s="295">
        <v>287</v>
      </c>
      <c r="G120" s="295" t="s">
        <v>25</v>
      </c>
      <c r="H120" s="295">
        <v>1</v>
      </c>
      <c r="I120" s="296">
        <v>37501</v>
      </c>
      <c r="J120" s="295">
        <v>1</v>
      </c>
      <c r="K120" s="295">
        <v>19</v>
      </c>
      <c r="L120" s="295">
        <v>1</v>
      </c>
      <c r="M120" s="295">
        <v>1</v>
      </c>
      <c r="N120" s="295" t="s">
        <v>581</v>
      </c>
      <c r="O120" s="297">
        <v>13</v>
      </c>
      <c r="P120" s="298">
        <v>252464.42</v>
      </c>
      <c r="Q120" s="298">
        <f>100000-6822.6-53576.9-53576.92</f>
        <v>-13976.420000000006</v>
      </c>
      <c r="R120" s="298">
        <f t="shared" si="5"/>
        <v>238488</v>
      </c>
      <c r="S120" s="298">
        <v>198863.3</v>
      </c>
      <c r="T120" s="298">
        <v>198863.3</v>
      </c>
      <c r="U120" s="298">
        <v>198863.3</v>
      </c>
      <c r="V120" s="298">
        <v>198863.3</v>
      </c>
    </row>
    <row r="121" spans="1:22" s="299" customFormat="1" ht="15" customHeight="1" x14ac:dyDescent="0.25">
      <c r="A121" s="295" t="s">
        <v>582</v>
      </c>
      <c r="B121" s="295">
        <v>2</v>
      </c>
      <c r="C121" s="295">
        <v>2</v>
      </c>
      <c r="D121" s="295" t="s">
        <v>579</v>
      </c>
      <c r="E121" s="295" t="s">
        <v>580</v>
      </c>
      <c r="F121" s="295">
        <v>287</v>
      </c>
      <c r="G121" s="295" t="s">
        <v>25</v>
      </c>
      <c r="H121" s="295">
        <v>1</v>
      </c>
      <c r="I121" s="296">
        <v>37502</v>
      </c>
      <c r="J121" s="295">
        <v>1</v>
      </c>
      <c r="K121" s="295">
        <v>19</v>
      </c>
      <c r="L121" s="295">
        <v>1</v>
      </c>
      <c r="M121" s="295">
        <v>1</v>
      </c>
      <c r="N121" s="295" t="s">
        <v>581</v>
      </c>
      <c r="O121" s="295">
        <v>13</v>
      </c>
      <c r="P121" s="298">
        <v>117137.42</v>
      </c>
      <c r="Q121" s="298">
        <f>65000+-5938.87-5938.87</f>
        <v>53122.259999999995</v>
      </c>
      <c r="R121" s="298">
        <f t="shared" si="5"/>
        <v>170259.68</v>
      </c>
      <c r="S121" s="298">
        <f>47800+600</f>
        <v>48400</v>
      </c>
      <c r="T121" s="298">
        <v>47800</v>
      </c>
      <c r="U121" s="298">
        <f>47800-400</f>
        <v>47400</v>
      </c>
      <c r="V121" s="298">
        <f>47800-200</f>
        <v>47600</v>
      </c>
    </row>
    <row r="122" spans="1:22" s="299" customFormat="1" ht="15" customHeight="1" x14ac:dyDescent="0.25">
      <c r="A122" s="295" t="s">
        <v>582</v>
      </c>
      <c r="B122" s="295">
        <v>2</v>
      </c>
      <c r="C122" s="295">
        <v>2</v>
      </c>
      <c r="D122" s="295" t="s">
        <v>579</v>
      </c>
      <c r="E122" s="295" t="s">
        <v>580</v>
      </c>
      <c r="F122" s="295">
        <v>287</v>
      </c>
      <c r="G122" s="295" t="s">
        <v>25</v>
      </c>
      <c r="H122" s="295">
        <v>1</v>
      </c>
      <c r="I122" s="296">
        <v>37801</v>
      </c>
      <c r="J122" s="295">
        <v>1</v>
      </c>
      <c r="K122" s="295">
        <v>19</v>
      </c>
      <c r="L122" s="295">
        <v>1</v>
      </c>
      <c r="M122" s="295">
        <v>1</v>
      </c>
      <c r="N122" s="295" t="s">
        <v>581</v>
      </c>
      <c r="O122" s="297">
        <v>13</v>
      </c>
      <c r="P122" s="298">
        <f>3870.9+0.14</f>
        <v>3871.04</v>
      </c>
      <c r="Q122" s="298">
        <f>1212.96+2000</f>
        <v>3212.96</v>
      </c>
      <c r="R122" s="298">
        <f t="shared" si="5"/>
        <v>7084</v>
      </c>
      <c r="S122" s="298">
        <v>7026</v>
      </c>
      <c r="T122" s="298">
        <v>7026</v>
      </c>
      <c r="U122" s="298">
        <v>7026</v>
      </c>
      <c r="V122" s="298">
        <v>7026</v>
      </c>
    </row>
    <row r="123" spans="1:22" s="299" customFormat="1" ht="15" customHeight="1" x14ac:dyDescent="0.25">
      <c r="A123" s="295" t="s">
        <v>582</v>
      </c>
      <c r="B123" s="295">
        <v>2</v>
      </c>
      <c r="C123" s="295">
        <v>2</v>
      </c>
      <c r="D123" s="295" t="s">
        <v>579</v>
      </c>
      <c r="E123" s="295" t="s">
        <v>580</v>
      </c>
      <c r="F123" s="295">
        <v>287</v>
      </c>
      <c r="G123" s="295" t="s">
        <v>25</v>
      </c>
      <c r="H123" s="295">
        <v>1</v>
      </c>
      <c r="I123" s="296">
        <v>37901</v>
      </c>
      <c r="J123" s="295">
        <v>1</v>
      </c>
      <c r="K123" s="295">
        <v>19</v>
      </c>
      <c r="L123" s="295">
        <v>1</v>
      </c>
      <c r="M123" s="295">
        <v>1</v>
      </c>
      <c r="N123" s="295" t="s">
        <v>581</v>
      </c>
      <c r="O123" s="295">
        <v>13</v>
      </c>
      <c r="P123" s="298">
        <v>815.68</v>
      </c>
      <c r="Q123" s="298">
        <v>0</v>
      </c>
      <c r="R123" s="298">
        <f t="shared" si="5"/>
        <v>815.68</v>
      </c>
      <c r="S123" s="298">
        <v>126.01079999999999</v>
      </c>
      <c r="T123" s="298">
        <v>126.01079999999999</v>
      </c>
      <c r="U123" s="298">
        <v>126.01079999999999</v>
      </c>
      <c r="V123" s="298">
        <v>126.01079999999999</v>
      </c>
    </row>
    <row r="124" spans="1:22" s="299" customFormat="1" ht="15" customHeight="1" x14ac:dyDescent="0.25">
      <c r="A124" s="295" t="s">
        <v>582</v>
      </c>
      <c r="B124" s="295">
        <v>2</v>
      </c>
      <c r="C124" s="295">
        <v>2</v>
      </c>
      <c r="D124" s="295" t="s">
        <v>579</v>
      </c>
      <c r="E124" s="295" t="s">
        <v>580</v>
      </c>
      <c r="F124" s="295">
        <v>287</v>
      </c>
      <c r="G124" s="295" t="s">
        <v>25</v>
      </c>
      <c r="H124" s="295">
        <v>1</v>
      </c>
      <c r="I124" s="296">
        <v>38101</v>
      </c>
      <c r="J124" s="295">
        <v>1</v>
      </c>
      <c r="K124" s="295">
        <v>19</v>
      </c>
      <c r="L124" s="295">
        <v>1</v>
      </c>
      <c r="M124" s="295">
        <v>1</v>
      </c>
      <c r="N124" s="295" t="s">
        <v>581</v>
      </c>
      <c r="O124" s="297">
        <v>13</v>
      </c>
      <c r="P124" s="298">
        <f>4005.69-0.26</f>
        <v>4005.43</v>
      </c>
      <c r="Q124" s="298">
        <f>-319.01+5298+3315.58</f>
        <v>8294.57</v>
      </c>
      <c r="R124" s="298">
        <f t="shared" si="5"/>
        <v>12300</v>
      </c>
      <c r="S124" s="298">
        <v>12299.9964</v>
      </c>
      <c r="T124" s="298">
        <v>12299.9964</v>
      </c>
      <c r="U124" s="298">
        <v>12299.9964</v>
      </c>
      <c r="V124" s="298">
        <v>12299.9964</v>
      </c>
    </row>
    <row r="125" spans="1:22" s="299" customFormat="1" ht="15" customHeight="1" x14ac:dyDescent="0.25">
      <c r="A125" s="295" t="s">
        <v>582</v>
      </c>
      <c r="B125" s="295">
        <v>2</v>
      </c>
      <c r="C125" s="295">
        <v>2</v>
      </c>
      <c r="D125" s="295" t="s">
        <v>579</v>
      </c>
      <c r="E125" s="295" t="s">
        <v>580</v>
      </c>
      <c r="F125" s="295">
        <v>287</v>
      </c>
      <c r="G125" s="295" t="s">
        <v>25</v>
      </c>
      <c r="H125" s="295">
        <v>1</v>
      </c>
      <c r="I125" s="296">
        <v>38301</v>
      </c>
      <c r="J125" s="295">
        <v>1</v>
      </c>
      <c r="K125" s="295">
        <v>19</v>
      </c>
      <c r="L125" s="295">
        <v>1</v>
      </c>
      <c r="M125" s="295">
        <v>1</v>
      </c>
      <c r="N125" s="295" t="s">
        <v>581</v>
      </c>
      <c r="O125" s="295">
        <v>13</v>
      </c>
      <c r="P125" s="298">
        <v>27618</v>
      </c>
      <c r="Q125" s="298">
        <f>-3430.12+71942.27+3849.24</f>
        <v>72361.390000000014</v>
      </c>
      <c r="R125" s="298">
        <f t="shared" si="5"/>
        <v>99979.390000000014</v>
      </c>
      <c r="S125" s="298">
        <v>99979.39</v>
      </c>
      <c r="T125" s="298">
        <v>99979.39</v>
      </c>
      <c r="U125" s="298">
        <v>99979.39</v>
      </c>
      <c r="V125" s="298">
        <v>99979.39</v>
      </c>
    </row>
    <row r="126" spans="1:22" s="299" customFormat="1" ht="15" customHeight="1" x14ac:dyDescent="0.25">
      <c r="A126" s="295" t="s">
        <v>582</v>
      </c>
      <c r="B126" s="295">
        <v>2</v>
      </c>
      <c r="C126" s="295">
        <v>2</v>
      </c>
      <c r="D126" s="295" t="s">
        <v>579</v>
      </c>
      <c r="E126" s="295" t="s">
        <v>580</v>
      </c>
      <c r="F126" s="295">
        <v>287</v>
      </c>
      <c r="G126" s="295" t="s">
        <v>25</v>
      </c>
      <c r="H126" s="295">
        <v>1</v>
      </c>
      <c r="I126" s="296">
        <v>39201</v>
      </c>
      <c r="J126" s="295">
        <v>1</v>
      </c>
      <c r="K126" s="295">
        <v>19</v>
      </c>
      <c r="L126" s="295">
        <v>1</v>
      </c>
      <c r="M126" s="295">
        <v>1</v>
      </c>
      <c r="N126" s="295" t="s">
        <v>581</v>
      </c>
      <c r="O126" s="297">
        <v>13</v>
      </c>
      <c r="P126" s="298">
        <v>185227</v>
      </c>
      <c r="Q126" s="298">
        <f>32688753.72-14724-2614+3724301.67-14724.08-13239883.37</f>
        <v>23141109.940000005</v>
      </c>
      <c r="R126" s="298">
        <f t="shared" si="5"/>
        <v>23326336.940000005</v>
      </c>
      <c r="S126" s="298">
        <v>704.99900000000002</v>
      </c>
      <c r="T126" s="298">
        <v>704.99900000000002</v>
      </c>
      <c r="U126" s="298">
        <v>704.99900000000002</v>
      </c>
      <c r="V126" s="298">
        <v>602.26226602202667</v>
      </c>
    </row>
    <row r="127" spans="1:22" s="299" customFormat="1" ht="15" customHeight="1" x14ac:dyDescent="0.25">
      <c r="A127" s="295" t="s">
        <v>582</v>
      </c>
      <c r="B127" s="295">
        <v>2</v>
      </c>
      <c r="C127" s="295">
        <v>2</v>
      </c>
      <c r="D127" s="295" t="s">
        <v>579</v>
      </c>
      <c r="E127" s="295" t="s">
        <v>580</v>
      </c>
      <c r="F127" s="295">
        <v>287</v>
      </c>
      <c r="G127" s="295" t="s">
        <v>25</v>
      </c>
      <c r="H127" s="295">
        <v>1</v>
      </c>
      <c r="I127" s="296">
        <v>39501</v>
      </c>
      <c r="J127" s="295">
        <v>1</v>
      </c>
      <c r="K127" s="295">
        <v>19</v>
      </c>
      <c r="L127" s="295">
        <v>1</v>
      </c>
      <c r="M127" s="295">
        <v>1</v>
      </c>
      <c r="N127" s="295" t="s">
        <v>581</v>
      </c>
      <c r="O127" s="295">
        <v>13</v>
      </c>
      <c r="P127" s="298">
        <v>63193</v>
      </c>
      <c r="Q127" s="298">
        <v>0</v>
      </c>
      <c r="R127" s="298">
        <f t="shared" si="5"/>
        <v>63193</v>
      </c>
      <c r="S127" s="298">
        <v>55787</v>
      </c>
      <c r="T127" s="298">
        <v>55787</v>
      </c>
      <c r="U127" s="298">
        <v>55787</v>
      </c>
      <c r="V127" s="298">
        <v>55787</v>
      </c>
    </row>
    <row r="128" spans="1:22" s="299" customFormat="1" ht="15" customHeight="1" x14ac:dyDescent="0.25">
      <c r="A128" s="295" t="s">
        <v>582</v>
      </c>
      <c r="B128" s="295">
        <v>2</v>
      </c>
      <c r="C128" s="295">
        <v>2</v>
      </c>
      <c r="D128" s="295" t="s">
        <v>579</v>
      </c>
      <c r="E128" s="295" t="s">
        <v>580</v>
      </c>
      <c r="F128" s="295">
        <v>287</v>
      </c>
      <c r="G128" s="295" t="s">
        <v>25</v>
      </c>
      <c r="H128" s="295">
        <v>1</v>
      </c>
      <c r="I128" s="296">
        <v>39801</v>
      </c>
      <c r="J128" s="295">
        <v>1</v>
      </c>
      <c r="K128" s="295">
        <v>19</v>
      </c>
      <c r="L128" s="295">
        <v>1</v>
      </c>
      <c r="M128" s="295">
        <v>1</v>
      </c>
      <c r="N128" s="295" t="s">
        <v>581</v>
      </c>
      <c r="O128" s="295">
        <v>13</v>
      </c>
      <c r="P128" s="298"/>
      <c r="Q128" s="298">
        <v>664126.29</v>
      </c>
      <c r="R128" s="298">
        <f>P128+Q128</f>
        <v>664126.29</v>
      </c>
      <c r="S128" s="298">
        <v>664126.29</v>
      </c>
      <c r="T128" s="298">
        <v>664126.29</v>
      </c>
      <c r="U128" s="298">
        <v>664126.29</v>
      </c>
      <c r="V128" s="298">
        <v>826957.8</v>
      </c>
    </row>
    <row r="129" spans="1:27" s="299" customFormat="1" ht="15" customHeight="1" x14ac:dyDescent="0.25">
      <c r="A129" s="295" t="s">
        <v>582</v>
      </c>
      <c r="B129" s="295">
        <v>2</v>
      </c>
      <c r="C129" s="295">
        <v>2</v>
      </c>
      <c r="D129" s="295" t="s">
        <v>579</v>
      </c>
      <c r="E129" s="295" t="s">
        <v>580</v>
      </c>
      <c r="F129" s="295">
        <v>287</v>
      </c>
      <c r="G129" s="295" t="s">
        <v>25</v>
      </c>
      <c r="H129" s="295">
        <v>1</v>
      </c>
      <c r="I129" s="296">
        <v>42401</v>
      </c>
      <c r="J129" s="295">
        <v>1</v>
      </c>
      <c r="K129" s="295">
        <v>19</v>
      </c>
      <c r="L129" s="295">
        <v>1</v>
      </c>
      <c r="M129" s="295">
        <v>1</v>
      </c>
      <c r="N129" s="295" t="s">
        <v>581</v>
      </c>
      <c r="O129" s="297">
        <v>13</v>
      </c>
      <c r="P129" s="298">
        <v>0</v>
      </c>
      <c r="Q129" s="298">
        <f>18547016+632288.92</f>
        <v>19179304.920000002</v>
      </c>
      <c r="R129" s="298">
        <f t="shared" si="5"/>
        <v>19179304.920000002</v>
      </c>
      <c r="S129" s="298">
        <v>19092117</v>
      </c>
      <c r="T129" s="298">
        <v>19092117</v>
      </c>
      <c r="U129" s="298">
        <v>19092117</v>
      </c>
      <c r="V129" s="298">
        <v>18781080</v>
      </c>
    </row>
    <row r="130" spans="1:27" s="299" customFormat="1" ht="15" customHeight="1" x14ac:dyDescent="0.25">
      <c r="A130" s="303">
        <v>4121500200</v>
      </c>
      <c r="B130" s="295">
        <v>2</v>
      </c>
      <c r="C130" s="295">
        <v>2</v>
      </c>
      <c r="D130" s="295" t="s">
        <v>579</v>
      </c>
      <c r="E130" s="295" t="s">
        <v>580</v>
      </c>
      <c r="F130" s="295">
        <v>287</v>
      </c>
      <c r="G130" s="295" t="s">
        <v>25</v>
      </c>
      <c r="H130" s="295">
        <v>1</v>
      </c>
      <c r="I130" s="296">
        <v>91102</v>
      </c>
      <c r="J130" s="295">
        <v>3</v>
      </c>
      <c r="K130" s="295">
        <v>19</v>
      </c>
      <c r="L130" s="295">
        <v>1</v>
      </c>
      <c r="M130" s="295">
        <v>1</v>
      </c>
      <c r="N130" s="295" t="s">
        <v>581</v>
      </c>
      <c r="O130" s="295">
        <v>13</v>
      </c>
      <c r="P130" s="298">
        <v>0</v>
      </c>
      <c r="Q130" s="298">
        <f>5699875+921772.38</f>
        <v>6621647.3799999999</v>
      </c>
      <c r="R130" s="298">
        <f t="shared" si="5"/>
        <v>6621647.3799999999</v>
      </c>
      <c r="S130" s="298">
        <v>6621647.3799999999</v>
      </c>
      <c r="T130" s="298">
        <v>6621647.3799999999</v>
      </c>
      <c r="U130" s="298">
        <v>6621647.3799999999</v>
      </c>
      <c r="V130" s="298">
        <v>6621647.3799999999</v>
      </c>
    </row>
    <row r="131" spans="1:27" s="299" customFormat="1" ht="15" customHeight="1" x14ac:dyDescent="0.25">
      <c r="A131" s="303">
        <v>4121500200</v>
      </c>
      <c r="B131" s="295">
        <v>2</v>
      </c>
      <c r="C131" s="295">
        <v>2</v>
      </c>
      <c r="D131" s="295" t="s">
        <v>579</v>
      </c>
      <c r="E131" s="295" t="s">
        <v>580</v>
      </c>
      <c r="F131" s="295">
        <v>287</v>
      </c>
      <c r="G131" s="295" t="s">
        <v>25</v>
      </c>
      <c r="H131" s="295">
        <v>1</v>
      </c>
      <c r="I131" s="296">
        <v>92102</v>
      </c>
      <c r="J131" s="295">
        <v>3</v>
      </c>
      <c r="K131" s="295">
        <v>19</v>
      </c>
      <c r="L131" s="295">
        <v>1</v>
      </c>
      <c r="M131" s="295">
        <v>1</v>
      </c>
      <c r="N131" s="295" t="s">
        <v>581</v>
      </c>
      <c r="O131" s="297">
        <v>13</v>
      </c>
      <c r="P131" s="298">
        <v>0</v>
      </c>
      <c r="Q131" s="298">
        <v>11732948</v>
      </c>
      <c r="R131" s="298">
        <f t="shared" si="5"/>
        <v>11732948</v>
      </c>
      <c r="S131" s="298">
        <v>11724168.08</v>
      </c>
      <c r="T131" s="298">
        <v>11724168.08</v>
      </c>
      <c r="U131" s="298">
        <v>11724168.08</v>
      </c>
      <c r="V131" s="298">
        <v>11724168.08</v>
      </c>
    </row>
    <row r="132" spans="1:27" s="299" customFormat="1" ht="15" customHeight="1" x14ac:dyDescent="0.25">
      <c r="A132" s="303">
        <v>4121500200</v>
      </c>
      <c r="B132" s="295">
        <v>2</v>
      </c>
      <c r="C132" s="295">
        <v>2</v>
      </c>
      <c r="D132" s="295" t="s">
        <v>579</v>
      </c>
      <c r="E132" s="295" t="s">
        <v>580</v>
      </c>
      <c r="F132" s="295">
        <v>287</v>
      </c>
      <c r="G132" s="295" t="s">
        <v>25</v>
      </c>
      <c r="H132" s="295">
        <v>1</v>
      </c>
      <c r="I132" s="296">
        <v>99101</v>
      </c>
      <c r="J132" s="295">
        <v>3</v>
      </c>
      <c r="K132" s="295">
        <v>19</v>
      </c>
      <c r="L132" s="295">
        <v>1</v>
      </c>
      <c r="M132" s="295">
        <v>1</v>
      </c>
      <c r="N132" s="295" t="s">
        <v>581</v>
      </c>
      <c r="O132" s="295">
        <v>13</v>
      </c>
      <c r="P132" s="298">
        <v>0</v>
      </c>
      <c r="Q132" s="298">
        <f>6139315.91+1238580</f>
        <v>7377895.9100000001</v>
      </c>
      <c r="R132" s="298">
        <f>P132+Q132</f>
        <v>7377895.9100000001</v>
      </c>
      <c r="S132" s="298">
        <v>7417094.0899999999</v>
      </c>
      <c r="T132" s="298">
        <v>7377895.2400000002</v>
      </c>
      <c r="U132" s="298">
        <v>7377895.2400000002</v>
      </c>
      <c r="V132" s="298">
        <v>7417094.0899999999</v>
      </c>
    </row>
    <row r="133" spans="1:27" s="299" customFormat="1" ht="15" customHeight="1" x14ac:dyDescent="0.25">
      <c r="A133" s="303">
        <v>4121500200</v>
      </c>
      <c r="B133" s="295">
        <v>2</v>
      </c>
      <c r="C133" s="295">
        <v>2</v>
      </c>
      <c r="D133" s="295" t="s">
        <v>579</v>
      </c>
      <c r="E133" s="295" t="s">
        <v>580</v>
      </c>
      <c r="F133" s="295">
        <v>287</v>
      </c>
      <c r="G133" s="295" t="s">
        <v>25</v>
      </c>
      <c r="H133" s="295">
        <v>1</v>
      </c>
      <c r="I133" s="296">
        <v>56501</v>
      </c>
      <c r="J133" s="295">
        <v>2</v>
      </c>
      <c r="K133" s="295">
        <v>19</v>
      </c>
      <c r="L133" s="295">
        <v>1</v>
      </c>
      <c r="M133" s="295">
        <v>1</v>
      </c>
      <c r="N133" s="295" t="s">
        <v>581</v>
      </c>
      <c r="O133" s="295">
        <v>13</v>
      </c>
      <c r="P133" s="298">
        <v>0</v>
      </c>
      <c r="Q133" s="298">
        <v>9628</v>
      </c>
      <c r="R133" s="298">
        <f>P133+Q133</f>
        <v>9628</v>
      </c>
      <c r="S133" s="298">
        <v>9628</v>
      </c>
      <c r="T133" s="298">
        <v>9628</v>
      </c>
      <c r="U133" s="298">
        <v>9628</v>
      </c>
      <c r="V133" s="298">
        <v>9628</v>
      </c>
    </row>
    <row r="134" spans="1:27" s="299" customFormat="1" ht="15" customHeight="1" x14ac:dyDescent="0.25">
      <c r="A134" s="295" t="s">
        <v>584</v>
      </c>
      <c r="B134" s="295">
        <v>2</v>
      </c>
      <c r="C134" s="295">
        <v>2</v>
      </c>
      <c r="D134" s="295" t="s">
        <v>579</v>
      </c>
      <c r="E134" s="295" t="s">
        <v>580</v>
      </c>
      <c r="F134" s="295">
        <v>448</v>
      </c>
      <c r="G134" s="295" t="s">
        <v>25</v>
      </c>
      <c r="H134" s="295">
        <v>1</v>
      </c>
      <c r="I134" s="296">
        <v>11301</v>
      </c>
      <c r="J134" s="295">
        <v>1</v>
      </c>
      <c r="K134" s="295">
        <v>19</v>
      </c>
      <c r="L134" s="295">
        <v>1</v>
      </c>
      <c r="M134" s="295">
        <v>1</v>
      </c>
      <c r="N134" s="295" t="s">
        <v>581</v>
      </c>
      <c r="O134" s="297">
        <v>13</v>
      </c>
      <c r="P134" s="298">
        <v>943324</v>
      </c>
      <c r="Q134" s="298">
        <v>0</v>
      </c>
      <c r="R134" s="298">
        <f t="shared" si="5"/>
        <v>943324</v>
      </c>
      <c r="S134" s="298">
        <f>939088.90400944+4161.44+73.66</f>
        <v>943324.00400943996</v>
      </c>
      <c r="T134" s="298">
        <v>932703.1399999999</v>
      </c>
      <c r="U134" s="298">
        <v>932703.1399999999</v>
      </c>
      <c r="V134" s="298">
        <v>932703.1399999999</v>
      </c>
    </row>
    <row r="135" spans="1:27" s="299" customFormat="1" ht="15" customHeight="1" x14ac:dyDescent="0.25">
      <c r="A135" s="295" t="s">
        <v>584</v>
      </c>
      <c r="B135" s="295">
        <v>2</v>
      </c>
      <c r="C135" s="295">
        <v>2</v>
      </c>
      <c r="D135" s="295" t="s">
        <v>579</v>
      </c>
      <c r="E135" s="295" t="s">
        <v>580</v>
      </c>
      <c r="F135" s="295">
        <v>448</v>
      </c>
      <c r="G135" s="295" t="s">
        <v>25</v>
      </c>
      <c r="H135" s="295">
        <v>1</v>
      </c>
      <c r="I135" s="296">
        <v>11304</v>
      </c>
      <c r="J135" s="295">
        <v>1</v>
      </c>
      <c r="K135" s="295">
        <v>19</v>
      </c>
      <c r="L135" s="295">
        <v>1</v>
      </c>
      <c r="M135" s="295">
        <v>1</v>
      </c>
      <c r="N135" s="295" t="s">
        <v>581</v>
      </c>
      <c r="O135" s="295">
        <v>13</v>
      </c>
      <c r="P135" s="298">
        <v>704893</v>
      </c>
      <c r="Q135" s="298">
        <v>-704893</v>
      </c>
      <c r="R135" s="298">
        <f t="shared" si="5"/>
        <v>0</v>
      </c>
      <c r="S135" s="298">
        <v>0</v>
      </c>
      <c r="T135" s="298">
        <v>0</v>
      </c>
      <c r="U135" s="298">
        <v>0</v>
      </c>
      <c r="V135" s="298">
        <v>0</v>
      </c>
    </row>
    <row r="136" spans="1:27" s="299" customFormat="1" ht="15" customHeight="1" x14ac:dyDescent="0.25">
      <c r="A136" s="295" t="s">
        <v>584</v>
      </c>
      <c r="B136" s="295">
        <v>2</v>
      </c>
      <c r="C136" s="295">
        <v>2</v>
      </c>
      <c r="D136" s="295" t="s">
        <v>579</v>
      </c>
      <c r="E136" s="295" t="s">
        <v>580</v>
      </c>
      <c r="F136" s="295">
        <v>448</v>
      </c>
      <c r="G136" s="295" t="s">
        <v>25</v>
      </c>
      <c r="H136" s="295">
        <v>1</v>
      </c>
      <c r="I136" s="296">
        <v>11306</v>
      </c>
      <c r="J136" s="295">
        <v>1</v>
      </c>
      <c r="K136" s="295">
        <v>19</v>
      </c>
      <c r="L136" s="295">
        <v>1</v>
      </c>
      <c r="M136" s="295">
        <v>1</v>
      </c>
      <c r="N136" s="295" t="s">
        <v>581</v>
      </c>
      <c r="O136" s="297">
        <v>13</v>
      </c>
      <c r="P136" s="298">
        <v>289866</v>
      </c>
      <c r="Q136" s="298">
        <v>466296.63902650226</v>
      </c>
      <c r="R136" s="298">
        <f t="shared" ref="R136:R215" si="9">P136+Q136</f>
        <v>756162.63902650226</v>
      </c>
      <c r="S136" s="300">
        <f>840888.693683198-84726.05</f>
        <v>756162.64368319791</v>
      </c>
      <c r="T136" s="298">
        <v>914344.42740395223</v>
      </c>
      <c r="U136" s="298">
        <v>822592.749136406</v>
      </c>
      <c r="V136" s="298">
        <v>822592.749136406</v>
      </c>
      <c r="Y136" s="301"/>
      <c r="AA136" s="301"/>
    </row>
    <row r="137" spans="1:27" s="299" customFormat="1" ht="15" customHeight="1" x14ac:dyDescent="0.25">
      <c r="A137" s="295" t="s">
        <v>584</v>
      </c>
      <c r="B137" s="295">
        <v>2</v>
      </c>
      <c r="C137" s="295">
        <v>2</v>
      </c>
      <c r="D137" s="295" t="s">
        <v>579</v>
      </c>
      <c r="E137" s="295" t="s">
        <v>580</v>
      </c>
      <c r="F137" s="295">
        <v>448</v>
      </c>
      <c r="G137" s="295" t="s">
        <v>25</v>
      </c>
      <c r="H137" s="295">
        <v>1</v>
      </c>
      <c r="I137" s="296">
        <v>11307</v>
      </c>
      <c r="J137" s="295">
        <v>1</v>
      </c>
      <c r="K137" s="295">
        <v>19</v>
      </c>
      <c r="L137" s="295">
        <v>1</v>
      </c>
      <c r="M137" s="295">
        <v>1</v>
      </c>
      <c r="N137" s="295" t="s">
        <v>581</v>
      </c>
      <c r="O137" s="295">
        <v>13</v>
      </c>
      <c r="P137" s="298">
        <v>290287</v>
      </c>
      <c r="Q137" s="298">
        <v>-421.11039999994682</v>
      </c>
      <c r="R137" s="298">
        <f t="shared" si="9"/>
        <v>289865.88960000005</v>
      </c>
      <c r="S137" s="300">
        <f>299732.717991564-9866.83</f>
        <v>289865.887991564</v>
      </c>
      <c r="T137" s="298">
        <v>238568.21763523406</v>
      </c>
      <c r="U137" s="298">
        <v>238568.21763523406</v>
      </c>
      <c r="V137" s="298">
        <v>238568.21763523406</v>
      </c>
    </row>
    <row r="138" spans="1:27" s="299" customFormat="1" ht="15" customHeight="1" x14ac:dyDescent="0.25">
      <c r="A138" s="295" t="s">
        <v>584</v>
      </c>
      <c r="B138" s="295">
        <v>2</v>
      </c>
      <c r="C138" s="295">
        <v>2</v>
      </c>
      <c r="D138" s="295" t="s">
        <v>579</v>
      </c>
      <c r="E138" s="295" t="s">
        <v>580</v>
      </c>
      <c r="F138" s="295">
        <v>448</v>
      </c>
      <c r="G138" s="295" t="s">
        <v>25</v>
      </c>
      <c r="H138" s="295">
        <v>1</v>
      </c>
      <c r="I138" s="296">
        <v>11310</v>
      </c>
      <c r="J138" s="295">
        <v>1</v>
      </c>
      <c r="K138" s="295">
        <v>19</v>
      </c>
      <c r="L138" s="295">
        <v>1</v>
      </c>
      <c r="M138" s="295">
        <v>1</v>
      </c>
      <c r="N138" s="295" t="s">
        <v>581</v>
      </c>
      <c r="O138" s="297">
        <v>13</v>
      </c>
      <c r="P138" s="298">
        <v>0</v>
      </c>
      <c r="Q138" s="298">
        <v>290286.52800000005</v>
      </c>
      <c r="R138" s="298">
        <f t="shared" si="9"/>
        <v>290286.52800000005</v>
      </c>
      <c r="S138" s="298">
        <f>305159.312588689-14872.78</f>
        <v>290286.53258868895</v>
      </c>
      <c r="T138" s="298">
        <v>251368.19999999998</v>
      </c>
      <c r="U138" s="298">
        <v>251368.19999999998</v>
      </c>
      <c r="V138" s="298">
        <v>251368.19999999998</v>
      </c>
    </row>
    <row r="139" spans="1:27" s="299" customFormat="1" ht="15" customHeight="1" x14ac:dyDescent="0.25">
      <c r="A139" s="295" t="s">
        <v>584</v>
      </c>
      <c r="B139" s="295">
        <v>2</v>
      </c>
      <c r="C139" s="295">
        <v>2</v>
      </c>
      <c r="D139" s="295" t="s">
        <v>579</v>
      </c>
      <c r="E139" s="295" t="s">
        <v>580</v>
      </c>
      <c r="F139" s="295">
        <v>448</v>
      </c>
      <c r="G139" s="295" t="s">
        <v>25</v>
      </c>
      <c r="H139" s="295">
        <v>1</v>
      </c>
      <c r="I139" s="296">
        <v>12101</v>
      </c>
      <c r="J139" s="295">
        <v>1</v>
      </c>
      <c r="K139" s="295">
        <v>19</v>
      </c>
      <c r="L139" s="295">
        <v>1</v>
      </c>
      <c r="M139" s="295">
        <v>1</v>
      </c>
      <c r="N139" s="295" t="s">
        <v>581</v>
      </c>
      <c r="O139" s="295">
        <v>13</v>
      </c>
      <c r="P139" s="298">
        <v>81693</v>
      </c>
      <c r="Q139" s="298">
        <v>-81693</v>
      </c>
      <c r="R139" s="298">
        <f t="shared" si="9"/>
        <v>0</v>
      </c>
      <c r="S139" s="298">
        <v>0</v>
      </c>
      <c r="T139" s="298">
        <v>0</v>
      </c>
      <c r="U139" s="298">
        <v>0</v>
      </c>
      <c r="V139" s="298">
        <v>0</v>
      </c>
    </row>
    <row r="140" spans="1:27" s="299" customFormat="1" ht="15" customHeight="1" x14ac:dyDescent="0.25">
      <c r="A140" s="295" t="s">
        <v>584</v>
      </c>
      <c r="B140" s="295">
        <v>2</v>
      </c>
      <c r="C140" s="295">
        <v>2</v>
      </c>
      <c r="D140" s="295" t="s">
        <v>579</v>
      </c>
      <c r="E140" s="295" t="s">
        <v>580</v>
      </c>
      <c r="F140" s="295">
        <v>448</v>
      </c>
      <c r="G140" s="295" t="s">
        <v>25</v>
      </c>
      <c r="H140" s="295">
        <v>1</v>
      </c>
      <c r="I140" s="296">
        <v>13101</v>
      </c>
      <c r="J140" s="295">
        <v>1</v>
      </c>
      <c r="K140" s="295">
        <v>19</v>
      </c>
      <c r="L140" s="295">
        <v>1</v>
      </c>
      <c r="M140" s="295">
        <v>1</v>
      </c>
      <c r="N140" s="295" t="s">
        <v>581</v>
      </c>
      <c r="O140" s="297">
        <v>13</v>
      </c>
      <c r="P140" s="298">
        <v>18482</v>
      </c>
      <c r="Q140" s="298">
        <v>63210.9</v>
      </c>
      <c r="R140" s="298">
        <f t="shared" si="9"/>
        <v>81692.899999999994</v>
      </c>
      <c r="S140" s="298">
        <f>88693.6198102755-7000.72</f>
        <v>81692.899810275499</v>
      </c>
      <c r="T140" s="298">
        <v>91014.814199749744</v>
      </c>
      <c r="U140" s="298">
        <v>91014.814199749744</v>
      </c>
      <c r="V140" s="298">
        <v>91014.814199749744</v>
      </c>
    </row>
    <row r="141" spans="1:27" s="299" customFormat="1" ht="15" customHeight="1" x14ac:dyDescent="0.25">
      <c r="A141" s="295" t="s">
        <v>584</v>
      </c>
      <c r="B141" s="295">
        <v>2</v>
      </c>
      <c r="C141" s="295">
        <v>2</v>
      </c>
      <c r="D141" s="295" t="s">
        <v>579</v>
      </c>
      <c r="E141" s="295" t="s">
        <v>580</v>
      </c>
      <c r="F141" s="295">
        <v>448</v>
      </c>
      <c r="G141" s="295" t="s">
        <v>25</v>
      </c>
      <c r="H141" s="295">
        <v>1</v>
      </c>
      <c r="I141" s="296">
        <v>13201</v>
      </c>
      <c r="J141" s="295">
        <v>1</v>
      </c>
      <c r="K141" s="295">
        <v>19</v>
      </c>
      <c r="L141" s="295">
        <v>1</v>
      </c>
      <c r="M141" s="295">
        <v>1</v>
      </c>
      <c r="N141" s="295" t="s">
        <v>581</v>
      </c>
      <c r="O141" s="295">
        <v>13</v>
      </c>
      <c r="P141" s="298">
        <v>36965</v>
      </c>
      <c r="Q141" s="298">
        <f>-18482.6+928.45</f>
        <v>-17554.149999999998</v>
      </c>
      <c r="R141" s="298">
        <f t="shared" si="9"/>
        <v>19410.850000000002</v>
      </c>
      <c r="S141" s="298">
        <f>22921.9656759262-4439.57+928.45</f>
        <v>19410.845675926201</v>
      </c>
      <c r="T141" s="298">
        <f>19590.85-180</f>
        <v>19410.849999999999</v>
      </c>
      <c r="U141" s="298">
        <f>19590.85-180</f>
        <v>19410.849999999999</v>
      </c>
      <c r="V141" s="298">
        <f>19590.85-180</f>
        <v>19410.849999999999</v>
      </c>
    </row>
    <row r="142" spans="1:27" s="299" customFormat="1" ht="15" customHeight="1" x14ac:dyDescent="0.25">
      <c r="A142" s="295" t="s">
        <v>584</v>
      </c>
      <c r="B142" s="295">
        <v>2</v>
      </c>
      <c r="C142" s="295">
        <v>2</v>
      </c>
      <c r="D142" s="295" t="s">
        <v>579</v>
      </c>
      <c r="E142" s="295" t="s">
        <v>580</v>
      </c>
      <c r="F142" s="295">
        <v>448</v>
      </c>
      <c r="G142" s="295" t="s">
        <v>25</v>
      </c>
      <c r="H142" s="295">
        <v>1</v>
      </c>
      <c r="I142" s="296">
        <v>13202</v>
      </c>
      <c r="J142" s="295">
        <v>1</v>
      </c>
      <c r="K142" s="295">
        <v>19</v>
      </c>
      <c r="L142" s="295">
        <v>1</v>
      </c>
      <c r="M142" s="295">
        <v>1</v>
      </c>
      <c r="N142" s="295" t="s">
        <v>581</v>
      </c>
      <c r="O142" s="297">
        <v>13</v>
      </c>
      <c r="P142" s="298">
        <v>0</v>
      </c>
      <c r="Q142" s="298">
        <v>36964.80000000001</v>
      </c>
      <c r="R142" s="298">
        <f t="shared" si="9"/>
        <v>36964.80000000001</v>
      </c>
      <c r="S142" s="298">
        <f>45843.9313518523-8879.13</f>
        <v>36964.8013518523</v>
      </c>
      <c r="T142" s="298">
        <v>33884.400000000001</v>
      </c>
      <c r="U142" s="298">
        <v>33884.400000000001</v>
      </c>
      <c r="V142" s="298">
        <v>33884.400000000001</v>
      </c>
    </row>
    <row r="143" spans="1:27" s="299" customFormat="1" ht="15" customHeight="1" x14ac:dyDescent="0.25">
      <c r="A143" s="295" t="s">
        <v>584</v>
      </c>
      <c r="B143" s="295">
        <v>2</v>
      </c>
      <c r="C143" s="295">
        <v>2</v>
      </c>
      <c r="D143" s="295" t="s">
        <v>579</v>
      </c>
      <c r="E143" s="295" t="s">
        <v>580</v>
      </c>
      <c r="F143" s="295">
        <v>448</v>
      </c>
      <c r="G143" s="295" t="s">
        <v>25</v>
      </c>
      <c r="H143" s="295">
        <v>1</v>
      </c>
      <c r="I143" s="296">
        <v>14106</v>
      </c>
      <c r="J143" s="295">
        <v>1</v>
      </c>
      <c r="K143" s="295">
        <v>19</v>
      </c>
      <c r="L143" s="295">
        <v>1</v>
      </c>
      <c r="M143" s="295">
        <v>1</v>
      </c>
      <c r="N143" s="295" t="s">
        <v>581</v>
      </c>
      <c r="O143" s="295">
        <v>13</v>
      </c>
      <c r="P143" s="298">
        <v>565958</v>
      </c>
      <c r="Q143" s="298">
        <v>-15000</v>
      </c>
      <c r="R143" s="298">
        <f t="shared" si="9"/>
        <v>550958</v>
      </c>
      <c r="S143" s="298">
        <f>565958-15442</f>
        <v>550516</v>
      </c>
      <c r="T143" s="298">
        <v>550515.89764845988</v>
      </c>
      <c r="U143" s="298">
        <v>550515.89764845988</v>
      </c>
      <c r="V143" s="298">
        <v>550515.89764845988</v>
      </c>
    </row>
    <row r="144" spans="1:27" s="299" customFormat="1" ht="15" customHeight="1" x14ac:dyDescent="0.25">
      <c r="A144" s="295" t="s">
        <v>584</v>
      </c>
      <c r="B144" s="295">
        <v>2</v>
      </c>
      <c r="C144" s="295">
        <v>2</v>
      </c>
      <c r="D144" s="295" t="s">
        <v>579</v>
      </c>
      <c r="E144" s="295" t="s">
        <v>580</v>
      </c>
      <c r="F144" s="295">
        <v>448</v>
      </c>
      <c r="G144" s="295" t="s">
        <v>25</v>
      </c>
      <c r="H144" s="295">
        <v>1</v>
      </c>
      <c r="I144" s="296">
        <v>14109</v>
      </c>
      <c r="J144" s="295">
        <v>1</v>
      </c>
      <c r="K144" s="295">
        <v>19</v>
      </c>
      <c r="L144" s="295">
        <v>1</v>
      </c>
      <c r="M144" s="295">
        <v>1</v>
      </c>
      <c r="N144" s="295" t="s">
        <v>581</v>
      </c>
      <c r="O144" s="297">
        <v>13</v>
      </c>
      <c r="P144" s="298">
        <v>1308166</v>
      </c>
      <c r="Q144" s="298">
        <v>0</v>
      </c>
      <c r="R144" s="298">
        <f t="shared" si="9"/>
        <v>1308166</v>
      </c>
      <c r="S144" s="298">
        <v>1271754.2498612963</v>
      </c>
      <c r="T144" s="298">
        <v>1271754.2498612963</v>
      </c>
      <c r="U144" s="298">
        <v>1271754.2498612963</v>
      </c>
      <c r="V144" s="298">
        <v>1241676.2206748058</v>
      </c>
    </row>
    <row r="145" spans="1:23" s="299" customFormat="1" ht="15" customHeight="1" x14ac:dyDescent="0.25">
      <c r="A145" s="295" t="s">
        <v>584</v>
      </c>
      <c r="B145" s="295">
        <v>2</v>
      </c>
      <c r="C145" s="295">
        <v>2</v>
      </c>
      <c r="D145" s="295" t="s">
        <v>579</v>
      </c>
      <c r="E145" s="295" t="s">
        <v>580</v>
      </c>
      <c r="F145" s="295">
        <v>448</v>
      </c>
      <c r="G145" s="295" t="s">
        <v>25</v>
      </c>
      <c r="H145" s="295">
        <v>1</v>
      </c>
      <c r="I145" s="296">
        <v>14402</v>
      </c>
      <c r="J145" s="295">
        <v>1</v>
      </c>
      <c r="K145" s="295">
        <v>19</v>
      </c>
      <c r="L145" s="295">
        <v>1</v>
      </c>
      <c r="M145" s="295">
        <v>1</v>
      </c>
      <c r="N145" s="295" t="s">
        <v>581</v>
      </c>
      <c r="O145" s="295">
        <v>13</v>
      </c>
      <c r="P145" s="298">
        <v>2904</v>
      </c>
      <c r="Q145" s="298">
        <v>0</v>
      </c>
      <c r="R145" s="298">
        <f t="shared" si="9"/>
        <v>2904</v>
      </c>
      <c r="S145" s="298">
        <v>2904</v>
      </c>
      <c r="T145" s="298">
        <v>2904</v>
      </c>
      <c r="U145" s="298">
        <v>2904</v>
      </c>
      <c r="V145" s="298">
        <v>2904</v>
      </c>
    </row>
    <row r="146" spans="1:23" s="299" customFormat="1" ht="15" customHeight="1" x14ac:dyDescent="0.25">
      <c r="A146" s="295" t="s">
        <v>584</v>
      </c>
      <c r="B146" s="295">
        <v>2</v>
      </c>
      <c r="C146" s="295">
        <v>2</v>
      </c>
      <c r="D146" s="295" t="s">
        <v>579</v>
      </c>
      <c r="E146" s="295" t="s">
        <v>580</v>
      </c>
      <c r="F146" s="295">
        <v>448</v>
      </c>
      <c r="G146" s="295" t="s">
        <v>25</v>
      </c>
      <c r="H146" s="295">
        <v>1</v>
      </c>
      <c r="I146" s="296">
        <v>14406</v>
      </c>
      <c r="J146" s="295">
        <v>1</v>
      </c>
      <c r="K146" s="295">
        <v>19</v>
      </c>
      <c r="L146" s="295">
        <v>1</v>
      </c>
      <c r="M146" s="295">
        <v>1</v>
      </c>
      <c r="N146" s="295" t="s">
        <v>581</v>
      </c>
      <c r="O146" s="297">
        <v>13</v>
      </c>
      <c r="P146" s="298">
        <v>324</v>
      </c>
      <c r="Q146" s="298">
        <v>0</v>
      </c>
      <c r="R146" s="298">
        <f t="shared" si="9"/>
        <v>324</v>
      </c>
      <c r="S146" s="298">
        <v>324</v>
      </c>
      <c r="T146" s="298">
        <v>324</v>
      </c>
      <c r="U146" s="298">
        <v>324</v>
      </c>
      <c r="V146" s="298">
        <v>324</v>
      </c>
    </row>
    <row r="147" spans="1:23" s="299" customFormat="1" ht="15" customHeight="1" x14ac:dyDescent="0.25">
      <c r="A147" s="295" t="s">
        <v>584</v>
      </c>
      <c r="B147" s="295">
        <v>2</v>
      </c>
      <c r="C147" s="295">
        <v>2</v>
      </c>
      <c r="D147" s="295" t="s">
        <v>579</v>
      </c>
      <c r="E147" s="295" t="s">
        <v>580</v>
      </c>
      <c r="F147" s="295">
        <v>448</v>
      </c>
      <c r="G147" s="295" t="s">
        <v>25</v>
      </c>
      <c r="H147" s="295">
        <v>1</v>
      </c>
      <c r="I147" s="296">
        <v>15101</v>
      </c>
      <c r="J147" s="295">
        <v>1</v>
      </c>
      <c r="K147" s="295">
        <v>19</v>
      </c>
      <c r="L147" s="295">
        <v>1</v>
      </c>
      <c r="M147" s="295">
        <v>1</v>
      </c>
      <c r="N147" s="295" t="s">
        <v>581</v>
      </c>
      <c r="O147" s="295">
        <v>13</v>
      </c>
      <c r="P147" s="298">
        <v>8066</v>
      </c>
      <c r="Q147" s="298">
        <v>0</v>
      </c>
      <c r="R147" s="298">
        <f t="shared" si="9"/>
        <v>8066</v>
      </c>
      <c r="S147" s="298">
        <v>8066</v>
      </c>
      <c r="T147" s="298">
        <v>7972.9399999999987</v>
      </c>
      <c r="U147" s="298">
        <v>7972.9399999999987</v>
      </c>
      <c r="V147" s="298">
        <v>7972.9399999999987</v>
      </c>
    </row>
    <row r="148" spans="1:23" s="299" customFormat="1" ht="15" customHeight="1" x14ac:dyDescent="0.25">
      <c r="A148" s="295" t="s">
        <v>584</v>
      </c>
      <c r="B148" s="295">
        <v>2</v>
      </c>
      <c r="C148" s="295">
        <v>2</v>
      </c>
      <c r="D148" s="295" t="s">
        <v>579</v>
      </c>
      <c r="E148" s="295" t="s">
        <v>580</v>
      </c>
      <c r="F148" s="295">
        <v>448</v>
      </c>
      <c r="G148" s="295" t="s">
        <v>25</v>
      </c>
      <c r="H148" s="295">
        <v>1</v>
      </c>
      <c r="I148" s="296">
        <v>15901</v>
      </c>
      <c r="J148" s="295">
        <v>1</v>
      </c>
      <c r="K148" s="295">
        <v>19</v>
      </c>
      <c r="L148" s="295">
        <v>1</v>
      </c>
      <c r="M148" s="295">
        <v>1</v>
      </c>
      <c r="N148" s="295" t="s">
        <v>581</v>
      </c>
      <c r="O148" s="297">
        <v>13</v>
      </c>
      <c r="P148" s="298">
        <v>1054685</v>
      </c>
      <c r="Q148" s="298">
        <v>-10000</v>
      </c>
      <c r="R148" s="298">
        <f t="shared" si="9"/>
        <v>1044685</v>
      </c>
      <c r="S148" s="298">
        <v>1044685</v>
      </c>
      <c r="T148" s="298">
        <v>1160127.9499999997</v>
      </c>
      <c r="U148" s="298">
        <v>1160127.9499999997</v>
      </c>
      <c r="V148" s="298">
        <v>1160127.9499999997</v>
      </c>
    </row>
    <row r="149" spans="1:23" s="299" customFormat="1" ht="15" customHeight="1" x14ac:dyDescent="0.25">
      <c r="A149" s="295" t="s">
        <v>584</v>
      </c>
      <c r="B149" s="295">
        <v>2</v>
      </c>
      <c r="C149" s="295">
        <v>2</v>
      </c>
      <c r="D149" s="295" t="s">
        <v>579</v>
      </c>
      <c r="E149" s="295" t="s">
        <v>580</v>
      </c>
      <c r="F149" s="295">
        <v>448</v>
      </c>
      <c r="G149" s="295" t="s">
        <v>25</v>
      </c>
      <c r="H149" s="295">
        <v>1</v>
      </c>
      <c r="I149" s="296">
        <v>17102</v>
      </c>
      <c r="J149" s="295">
        <v>1</v>
      </c>
      <c r="K149" s="295">
        <v>19</v>
      </c>
      <c r="L149" s="295">
        <v>1</v>
      </c>
      <c r="M149" s="295">
        <v>1</v>
      </c>
      <c r="N149" s="295" t="s">
        <v>581</v>
      </c>
      <c r="O149" s="295">
        <v>13</v>
      </c>
      <c r="P149" s="298"/>
      <c r="Q149" s="298">
        <f>1000+750</f>
        <v>1750</v>
      </c>
      <c r="R149" s="298">
        <f>P149+Q149</f>
        <v>1750</v>
      </c>
      <c r="S149" s="298">
        <f>1000+750</f>
        <v>1750</v>
      </c>
      <c r="T149" s="298">
        <v>1750</v>
      </c>
      <c r="U149" s="298">
        <v>1750</v>
      </c>
      <c r="V149" s="298">
        <v>1750</v>
      </c>
    </row>
    <row r="150" spans="1:23" s="299" customFormat="1" ht="15" customHeight="1" x14ac:dyDescent="0.25">
      <c r="A150" s="295" t="s">
        <v>584</v>
      </c>
      <c r="B150" s="295">
        <v>2</v>
      </c>
      <c r="C150" s="295">
        <v>2</v>
      </c>
      <c r="D150" s="295" t="s">
        <v>579</v>
      </c>
      <c r="E150" s="295" t="s">
        <v>580</v>
      </c>
      <c r="F150" s="295">
        <v>448</v>
      </c>
      <c r="G150" s="295" t="s">
        <v>25</v>
      </c>
      <c r="H150" s="295">
        <v>1</v>
      </c>
      <c r="I150" s="296">
        <v>21101</v>
      </c>
      <c r="J150" s="295">
        <v>1</v>
      </c>
      <c r="K150" s="295">
        <v>19</v>
      </c>
      <c r="L150" s="295">
        <v>1</v>
      </c>
      <c r="M150" s="295">
        <v>1</v>
      </c>
      <c r="N150" s="295" t="s">
        <v>581</v>
      </c>
      <c r="O150" s="295">
        <v>13</v>
      </c>
      <c r="P150" s="298">
        <v>10473</v>
      </c>
      <c r="Q150" s="298">
        <f>-3500+1601</f>
        <v>-1899</v>
      </c>
      <c r="R150" s="298">
        <f t="shared" si="9"/>
        <v>8574</v>
      </c>
      <c r="S150" s="298">
        <v>8574.0355999999992</v>
      </c>
      <c r="T150" s="298">
        <v>8574.0355999999992</v>
      </c>
      <c r="U150" s="298">
        <v>8574.0355999999992</v>
      </c>
      <c r="V150" s="298">
        <v>8501.4681225876848</v>
      </c>
      <c r="W150" s="302"/>
    </row>
    <row r="151" spans="1:23" s="299" customFormat="1" ht="15" customHeight="1" x14ac:dyDescent="0.25">
      <c r="A151" s="295" t="s">
        <v>584</v>
      </c>
      <c r="B151" s="295">
        <v>2</v>
      </c>
      <c r="C151" s="295">
        <v>2</v>
      </c>
      <c r="D151" s="295" t="s">
        <v>579</v>
      </c>
      <c r="E151" s="295" t="s">
        <v>580</v>
      </c>
      <c r="F151" s="295">
        <v>448</v>
      </c>
      <c r="G151" s="295" t="s">
        <v>25</v>
      </c>
      <c r="H151" s="295">
        <v>1</v>
      </c>
      <c r="I151" s="296">
        <v>21201</v>
      </c>
      <c r="J151" s="295">
        <v>1</v>
      </c>
      <c r="K151" s="295">
        <v>19</v>
      </c>
      <c r="L151" s="295">
        <v>1</v>
      </c>
      <c r="M151" s="295">
        <v>1</v>
      </c>
      <c r="N151" s="295" t="s">
        <v>581</v>
      </c>
      <c r="O151" s="297">
        <v>13</v>
      </c>
      <c r="P151" s="298">
        <v>14562</v>
      </c>
      <c r="Q151" s="298">
        <f>-14000-562</f>
        <v>-14562</v>
      </c>
      <c r="R151" s="298">
        <f t="shared" si="9"/>
        <v>0</v>
      </c>
      <c r="S151" s="298">
        <v>500</v>
      </c>
      <c r="T151" s="298">
        <v>500</v>
      </c>
      <c r="U151" s="298">
        <v>500</v>
      </c>
      <c r="V151" s="298">
        <v>411.11823318061477</v>
      </c>
      <c r="W151" s="302"/>
    </row>
    <row r="152" spans="1:23" s="299" customFormat="1" ht="15" customHeight="1" x14ac:dyDescent="0.25">
      <c r="A152" s="295" t="s">
        <v>584</v>
      </c>
      <c r="B152" s="295">
        <v>2</v>
      </c>
      <c r="C152" s="295">
        <v>2</v>
      </c>
      <c r="D152" s="295" t="s">
        <v>579</v>
      </c>
      <c r="E152" s="295" t="s">
        <v>580</v>
      </c>
      <c r="F152" s="295">
        <v>448</v>
      </c>
      <c r="G152" s="295" t="s">
        <v>25</v>
      </c>
      <c r="H152" s="295">
        <v>1</v>
      </c>
      <c r="I152" s="296">
        <v>21401</v>
      </c>
      <c r="J152" s="295">
        <v>1</v>
      </c>
      <c r="K152" s="295">
        <v>19</v>
      </c>
      <c r="L152" s="295">
        <v>1</v>
      </c>
      <c r="M152" s="295">
        <v>1</v>
      </c>
      <c r="N152" s="295" t="s">
        <v>581</v>
      </c>
      <c r="O152" s="295">
        <v>13</v>
      </c>
      <c r="P152" s="298">
        <v>2491.6999999999998</v>
      </c>
      <c r="Q152" s="298">
        <v>0</v>
      </c>
      <c r="R152" s="298">
        <f t="shared" si="9"/>
        <v>2491.6999999999998</v>
      </c>
      <c r="S152" s="298">
        <v>445.99680000000001</v>
      </c>
      <c r="T152" s="298">
        <v>445.99680000000001</v>
      </c>
      <c r="U152" s="298">
        <v>445.99680000000001</v>
      </c>
      <c r="V152" s="298">
        <v>453.00546646447856</v>
      </c>
      <c r="W152" s="302"/>
    </row>
    <row r="153" spans="1:23" s="299" customFormat="1" ht="15" customHeight="1" x14ac:dyDescent="0.25">
      <c r="A153" s="295" t="s">
        <v>584</v>
      </c>
      <c r="B153" s="295">
        <v>2</v>
      </c>
      <c r="C153" s="295">
        <v>2</v>
      </c>
      <c r="D153" s="295" t="s">
        <v>579</v>
      </c>
      <c r="E153" s="295" t="s">
        <v>580</v>
      </c>
      <c r="F153" s="295">
        <v>448</v>
      </c>
      <c r="G153" s="295" t="s">
        <v>25</v>
      </c>
      <c r="H153" s="295">
        <v>1</v>
      </c>
      <c r="I153" s="296">
        <v>21501</v>
      </c>
      <c r="J153" s="295">
        <v>1</v>
      </c>
      <c r="K153" s="295">
        <v>19</v>
      </c>
      <c r="L153" s="295">
        <v>1</v>
      </c>
      <c r="M153" s="295">
        <v>1</v>
      </c>
      <c r="N153" s="295" t="s">
        <v>581</v>
      </c>
      <c r="O153" s="297">
        <v>13</v>
      </c>
      <c r="P153" s="298">
        <v>263</v>
      </c>
      <c r="Q153" s="298">
        <v>0</v>
      </c>
      <c r="R153" s="298">
        <f t="shared" si="9"/>
        <v>263</v>
      </c>
      <c r="S153" s="298">
        <v>198</v>
      </c>
      <c r="T153" s="298">
        <v>198</v>
      </c>
      <c r="U153" s="298">
        <v>198</v>
      </c>
      <c r="V153" s="298">
        <v>198</v>
      </c>
      <c r="W153" s="302"/>
    </row>
    <row r="154" spans="1:23" s="299" customFormat="1" ht="15" customHeight="1" x14ac:dyDescent="0.25">
      <c r="A154" s="295" t="s">
        <v>584</v>
      </c>
      <c r="B154" s="295">
        <v>2</v>
      </c>
      <c r="C154" s="295">
        <v>2</v>
      </c>
      <c r="D154" s="295" t="s">
        <v>579</v>
      </c>
      <c r="E154" s="295" t="s">
        <v>580</v>
      </c>
      <c r="F154" s="295">
        <v>448</v>
      </c>
      <c r="G154" s="295" t="s">
        <v>25</v>
      </c>
      <c r="H154" s="295">
        <v>1</v>
      </c>
      <c r="I154" s="296">
        <v>21801</v>
      </c>
      <c r="J154" s="295">
        <v>1</v>
      </c>
      <c r="K154" s="295">
        <v>19</v>
      </c>
      <c r="L154" s="295">
        <v>1</v>
      </c>
      <c r="M154" s="295">
        <v>1</v>
      </c>
      <c r="N154" s="295" t="s">
        <v>581</v>
      </c>
      <c r="O154" s="295">
        <v>13</v>
      </c>
      <c r="P154" s="298">
        <v>8489</v>
      </c>
      <c r="Q154" s="298">
        <v>-701</v>
      </c>
      <c r="R154" s="298">
        <f t="shared" si="9"/>
        <v>7788</v>
      </c>
      <c r="S154" s="298">
        <v>7788</v>
      </c>
      <c r="T154" s="298">
        <v>7788</v>
      </c>
      <c r="U154" s="298">
        <v>7788</v>
      </c>
      <c r="V154" s="298">
        <v>7788</v>
      </c>
      <c r="W154" s="302"/>
    </row>
    <row r="155" spans="1:23" s="299" customFormat="1" ht="15" customHeight="1" x14ac:dyDescent="0.25">
      <c r="A155" s="295" t="s">
        <v>584</v>
      </c>
      <c r="B155" s="295">
        <v>2</v>
      </c>
      <c r="C155" s="295">
        <v>2</v>
      </c>
      <c r="D155" s="295" t="s">
        <v>579</v>
      </c>
      <c r="E155" s="295" t="s">
        <v>580</v>
      </c>
      <c r="F155" s="295">
        <v>448</v>
      </c>
      <c r="G155" s="295" t="s">
        <v>25</v>
      </c>
      <c r="H155" s="295">
        <v>1</v>
      </c>
      <c r="I155" s="296">
        <v>22101</v>
      </c>
      <c r="J155" s="295">
        <v>1</v>
      </c>
      <c r="K155" s="295">
        <v>19</v>
      </c>
      <c r="L155" s="295">
        <v>1</v>
      </c>
      <c r="M155" s="295">
        <v>1</v>
      </c>
      <c r="N155" s="295" t="s">
        <v>581</v>
      </c>
      <c r="O155" s="295">
        <v>13</v>
      </c>
      <c r="P155" s="298">
        <v>4508</v>
      </c>
      <c r="Q155" s="298">
        <f>1446.54+12503.03</f>
        <v>13949.57</v>
      </c>
      <c r="R155" s="298">
        <f t="shared" si="9"/>
        <v>18457.57</v>
      </c>
      <c r="S155" s="298">
        <v>18457.572125154056</v>
      </c>
      <c r="T155" s="298">
        <v>18457.572125154056</v>
      </c>
      <c r="U155" s="298">
        <v>18457.572125154056</v>
      </c>
      <c r="V155" s="298">
        <v>18457.572125154056</v>
      </c>
      <c r="W155" s="302"/>
    </row>
    <row r="156" spans="1:23" s="299" customFormat="1" ht="15" customHeight="1" x14ac:dyDescent="0.25">
      <c r="A156" s="295" t="s">
        <v>584</v>
      </c>
      <c r="B156" s="295">
        <v>2</v>
      </c>
      <c r="C156" s="295">
        <v>2</v>
      </c>
      <c r="D156" s="295" t="s">
        <v>579</v>
      </c>
      <c r="E156" s="295" t="s">
        <v>580</v>
      </c>
      <c r="F156" s="295">
        <v>448</v>
      </c>
      <c r="G156" s="295" t="s">
        <v>25</v>
      </c>
      <c r="H156" s="295">
        <v>1</v>
      </c>
      <c r="I156" s="296">
        <v>25301</v>
      </c>
      <c r="J156" s="295">
        <v>1</v>
      </c>
      <c r="K156" s="295">
        <v>19</v>
      </c>
      <c r="L156" s="295">
        <v>1</v>
      </c>
      <c r="M156" s="295">
        <v>1</v>
      </c>
      <c r="N156" s="295" t="s">
        <v>581</v>
      </c>
      <c r="O156" s="295">
        <v>13</v>
      </c>
      <c r="P156" s="298">
        <v>0</v>
      </c>
      <c r="Q156" s="298">
        <f>419.39+61.21</f>
        <v>480.59999999999997</v>
      </c>
      <c r="R156" s="298">
        <f>P156+Q156</f>
        <v>480.59999999999997</v>
      </c>
      <c r="S156" s="298">
        <v>480.54</v>
      </c>
      <c r="T156" s="298">
        <v>480.54</v>
      </c>
      <c r="U156" s="298">
        <v>480.54</v>
      </c>
      <c r="V156" s="298">
        <v>480.54</v>
      </c>
      <c r="W156" s="302"/>
    </row>
    <row r="157" spans="1:23" s="299" customFormat="1" ht="15" customHeight="1" x14ac:dyDescent="0.25">
      <c r="A157" s="295" t="s">
        <v>584</v>
      </c>
      <c r="B157" s="295">
        <v>2</v>
      </c>
      <c r="C157" s="295">
        <v>2</v>
      </c>
      <c r="D157" s="295" t="s">
        <v>579</v>
      </c>
      <c r="E157" s="295" t="s">
        <v>580</v>
      </c>
      <c r="F157" s="295">
        <v>448</v>
      </c>
      <c r="G157" s="295" t="s">
        <v>25</v>
      </c>
      <c r="H157" s="295">
        <v>1</v>
      </c>
      <c r="I157" s="296">
        <v>26101</v>
      </c>
      <c r="J157" s="295">
        <v>1</v>
      </c>
      <c r="K157" s="295">
        <v>19</v>
      </c>
      <c r="L157" s="295">
        <v>1</v>
      </c>
      <c r="M157" s="295">
        <v>1</v>
      </c>
      <c r="N157" s="295" t="s">
        <v>581</v>
      </c>
      <c r="O157" s="295">
        <v>13</v>
      </c>
      <c r="P157" s="298">
        <v>156693</v>
      </c>
      <c r="Q157" s="298">
        <f>-18538.59-4968.09+17145.76</f>
        <v>-6360.9200000000019</v>
      </c>
      <c r="R157" s="298">
        <f t="shared" si="9"/>
        <v>150332.07999999999</v>
      </c>
      <c r="S157" s="298">
        <v>150332.07707723905</v>
      </c>
      <c r="T157" s="298">
        <v>150332.07707723905</v>
      </c>
      <c r="U157" s="298">
        <v>150332.07707723905</v>
      </c>
      <c r="V157" s="298">
        <v>139799.80684661877</v>
      </c>
      <c r="W157" s="302"/>
    </row>
    <row r="158" spans="1:23" s="299" customFormat="1" ht="15" customHeight="1" x14ac:dyDescent="0.25">
      <c r="A158" s="295" t="s">
        <v>584</v>
      </c>
      <c r="B158" s="295">
        <v>2</v>
      </c>
      <c r="C158" s="295">
        <v>2</v>
      </c>
      <c r="D158" s="295" t="s">
        <v>579</v>
      </c>
      <c r="E158" s="295" t="s">
        <v>580</v>
      </c>
      <c r="F158" s="295">
        <v>448</v>
      </c>
      <c r="G158" s="295" t="s">
        <v>25</v>
      </c>
      <c r="H158" s="295">
        <v>1</v>
      </c>
      <c r="I158" s="296">
        <v>26102</v>
      </c>
      <c r="J158" s="295">
        <v>1</v>
      </c>
      <c r="K158" s="295">
        <v>19</v>
      </c>
      <c r="L158" s="295">
        <v>1</v>
      </c>
      <c r="M158" s="295">
        <v>1</v>
      </c>
      <c r="N158" s="295" t="s">
        <v>581</v>
      </c>
      <c r="O158" s="297">
        <v>13</v>
      </c>
      <c r="P158" s="298">
        <v>919</v>
      </c>
      <c r="Q158" s="298">
        <v>0</v>
      </c>
      <c r="R158" s="298">
        <f t="shared" si="9"/>
        <v>919</v>
      </c>
      <c r="S158" s="298">
        <v>3039.4055999999996</v>
      </c>
      <c r="T158" s="298">
        <v>3039.4055999999996</v>
      </c>
      <c r="U158" s="298">
        <v>3039.4055999999996</v>
      </c>
      <c r="V158" s="298">
        <v>2766.6920799936634</v>
      </c>
      <c r="W158" s="302"/>
    </row>
    <row r="159" spans="1:23" s="299" customFormat="1" ht="15" customHeight="1" x14ac:dyDescent="0.25">
      <c r="A159" s="295" t="s">
        <v>584</v>
      </c>
      <c r="B159" s="295">
        <v>2</v>
      </c>
      <c r="C159" s="295">
        <v>2</v>
      </c>
      <c r="D159" s="295" t="s">
        <v>579</v>
      </c>
      <c r="E159" s="295" t="s">
        <v>580</v>
      </c>
      <c r="F159" s="295">
        <v>448</v>
      </c>
      <c r="G159" s="295" t="s">
        <v>25</v>
      </c>
      <c r="H159" s="295">
        <v>1</v>
      </c>
      <c r="I159" s="296">
        <v>29201</v>
      </c>
      <c r="J159" s="295">
        <v>1</v>
      </c>
      <c r="K159" s="295">
        <v>19</v>
      </c>
      <c r="L159" s="295">
        <v>1</v>
      </c>
      <c r="M159" s="295">
        <v>1</v>
      </c>
      <c r="N159" s="295" t="s">
        <v>581</v>
      </c>
      <c r="O159" s="295">
        <v>13</v>
      </c>
      <c r="P159" s="298">
        <v>0</v>
      </c>
      <c r="Q159" s="298">
        <v>4735.42</v>
      </c>
      <c r="R159" s="298">
        <f t="shared" si="9"/>
        <v>4735.42</v>
      </c>
      <c r="S159" s="298">
        <v>4739.9687999999996</v>
      </c>
      <c r="T159" s="298">
        <v>4739.9687999999996</v>
      </c>
      <c r="U159" s="298">
        <v>4739.9687999999996</v>
      </c>
      <c r="V159" s="298">
        <v>4739.9687999999996</v>
      </c>
      <c r="W159" s="302"/>
    </row>
    <row r="160" spans="1:23" s="299" customFormat="1" ht="15" customHeight="1" x14ac:dyDescent="0.25">
      <c r="A160" s="295" t="s">
        <v>584</v>
      </c>
      <c r="B160" s="295">
        <v>2</v>
      </c>
      <c r="C160" s="295">
        <v>2</v>
      </c>
      <c r="D160" s="295" t="s">
        <v>579</v>
      </c>
      <c r="E160" s="295" t="s">
        <v>580</v>
      </c>
      <c r="F160" s="295">
        <v>448</v>
      </c>
      <c r="G160" s="295" t="s">
        <v>25</v>
      </c>
      <c r="H160" s="295">
        <v>1</v>
      </c>
      <c r="I160" s="296">
        <v>29401</v>
      </c>
      <c r="J160" s="295">
        <v>1</v>
      </c>
      <c r="K160" s="295">
        <v>19</v>
      </c>
      <c r="L160" s="295">
        <v>1</v>
      </c>
      <c r="M160" s="295">
        <v>1</v>
      </c>
      <c r="N160" s="295" t="s">
        <v>581</v>
      </c>
      <c r="O160" s="295">
        <v>13</v>
      </c>
      <c r="P160" s="298"/>
      <c r="Q160" s="298"/>
      <c r="R160" s="298"/>
      <c r="S160" s="298">
        <v>329.99680000000001</v>
      </c>
      <c r="T160" s="298">
        <v>329.99680000000001</v>
      </c>
      <c r="U160" s="298">
        <v>329.99680000000001</v>
      </c>
      <c r="V160" s="298">
        <v>329.99680000000001</v>
      </c>
      <c r="W160" s="302"/>
    </row>
    <row r="161" spans="1:23" s="299" customFormat="1" ht="15" customHeight="1" x14ac:dyDescent="0.25">
      <c r="A161" s="295" t="s">
        <v>584</v>
      </c>
      <c r="B161" s="295">
        <v>2</v>
      </c>
      <c r="C161" s="295">
        <v>2</v>
      </c>
      <c r="D161" s="295" t="s">
        <v>579</v>
      </c>
      <c r="E161" s="295" t="s">
        <v>580</v>
      </c>
      <c r="F161" s="295">
        <v>448</v>
      </c>
      <c r="G161" s="295" t="s">
        <v>25</v>
      </c>
      <c r="H161" s="295">
        <v>1</v>
      </c>
      <c r="I161" s="296">
        <v>29601</v>
      </c>
      <c r="J161" s="295">
        <v>1</v>
      </c>
      <c r="K161" s="295">
        <v>19</v>
      </c>
      <c r="L161" s="295">
        <v>1</v>
      </c>
      <c r="M161" s="295">
        <v>1</v>
      </c>
      <c r="N161" s="295" t="s">
        <v>581</v>
      </c>
      <c r="O161" s="297">
        <v>13</v>
      </c>
      <c r="P161" s="298">
        <v>10000</v>
      </c>
      <c r="Q161" s="298">
        <f>26775.39+5371.99</f>
        <v>32147.379999999997</v>
      </c>
      <c r="R161" s="298">
        <f t="shared" si="9"/>
        <v>42147.38</v>
      </c>
      <c r="S161" s="298">
        <v>42147.381999999998</v>
      </c>
      <c r="T161" s="298">
        <v>42147.381999999998</v>
      </c>
      <c r="U161" s="298">
        <v>42147.381999999998</v>
      </c>
      <c r="V161" s="298">
        <v>41713.086873806635</v>
      </c>
      <c r="W161" s="302"/>
    </row>
    <row r="162" spans="1:23" s="299" customFormat="1" ht="15" customHeight="1" x14ac:dyDescent="0.25">
      <c r="A162" s="295" t="s">
        <v>584</v>
      </c>
      <c r="B162" s="295">
        <v>2</v>
      </c>
      <c r="C162" s="295">
        <v>2</v>
      </c>
      <c r="D162" s="295" t="s">
        <v>579</v>
      </c>
      <c r="E162" s="295" t="s">
        <v>580</v>
      </c>
      <c r="F162" s="295">
        <v>448</v>
      </c>
      <c r="G162" s="295" t="s">
        <v>25</v>
      </c>
      <c r="H162" s="295">
        <v>1</v>
      </c>
      <c r="I162" s="296">
        <v>29801</v>
      </c>
      <c r="J162" s="295">
        <v>1</v>
      </c>
      <c r="K162" s="295">
        <v>19</v>
      </c>
      <c r="L162" s="295">
        <v>1</v>
      </c>
      <c r="M162" s="295">
        <v>1</v>
      </c>
      <c r="N162" s="295" t="s">
        <v>581</v>
      </c>
      <c r="O162" s="295">
        <v>13</v>
      </c>
      <c r="P162" s="298">
        <v>1150</v>
      </c>
      <c r="Q162" s="298">
        <f>12000+59000+1.03+170378.18</f>
        <v>241379.21</v>
      </c>
      <c r="R162" s="298">
        <f t="shared" si="9"/>
        <v>242529.21</v>
      </c>
      <c r="S162" s="298">
        <v>72151.03</v>
      </c>
      <c r="T162" s="298">
        <v>72151.03</v>
      </c>
      <c r="U162" s="298">
        <v>72151.03</v>
      </c>
      <c r="V162" s="298">
        <v>72151.03</v>
      </c>
      <c r="W162" s="302"/>
    </row>
    <row r="163" spans="1:23" s="299" customFormat="1" ht="15" customHeight="1" x14ac:dyDescent="0.25">
      <c r="A163" s="295" t="s">
        <v>584</v>
      </c>
      <c r="B163" s="295">
        <v>2</v>
      </c>
      <c r="C163" s="295">
        <v>2</v>
      </c>
      <c r="D163" s="295" t="s">
        <v>579</v>
      </c>
      <c r="E163" s="295" t="s">
        <v>580</v>
      </c>
      <c r="F163" s="295">
        <v>448</v>
      </c>
      <c r="G163" s="295" t="s">
        <v>25</v>
      </c>
      <c r="H163" s="295">
        <v>1</v>
      </c>
      <c r="I163" s="296">
        <v>31801</v>
      </c>
      <c r="J163" s="295">
        <v>1</v>
      </c>
      <c r="K163" s="295">
        <v>19</v>
      </c>
      <c r="L163" s="295">
        <v>1</v>
      </c>
      <c r="M163" s="295">
        <v>1</v>
      </c>
      <c r="N163" s="295" t="s">
        <v>581</v>
      </c>
      <c r="O163" s="297">
        <v>13</v>
      </c>
      <c r="P163" s="298">
        <v>1711</v>
      </c>
      <c r="Q163" s="298">
        <f>425.51+1572.57</f>
        <v>1998.08</v>
      </c>
      <c r="R163" s="298">
        <f t="shared" si="9"/>
        <v>3709.08</v>
      </c>
      <c r="S163" s="298">
        <v>3709.0790000000002</v>
      </c>
      <c r="T163" s="298">
        <v>3709.0790000000002</v>
      </c>
      <c r="U163" s="298">
        <v>3709.0790000000002</v>
      </c>
      <c r="V163" s="298">
        <v>3709.0790000000002</v>
      </c>
    </row>
    <row r="164" spans="1:23" s="299" customFormat="1" ht="15" customHeight="1" x14ac:dyDescent="0.25">
      <c r="A164" s="295" t="s">
        <v>584</v>
      </c>
      <c r="B164" s="295">
        <v>2</v>
      </c>
      <c r="C164" s="295">
        <v>2</v>
      </c>
      <c r="D164" s="295" t="s">
        <v>579</v>
      </c>
      <c r="E164" s="295" t="s">
        <v>580</v>
      </c>
      <c r="F164" s="295">
        <v>448</v>
      </c>
      <c r="G164" s="295" t="s">
        <v>25</v>
      </c>
      <c r="H164" s="295">
        <v>1</v>
      </c>
      <c r="I164" s="296">
        <v>32301</v>
      </c>
      <c r="J164" s="295">
        <v>1</v>
      </c>
      <c r="K164" s="295">
        <v>19</v>
      </c>
      <c r="L164" s="295">
        <v>1</v>
      </c>
      <c r="M164" s="295">
        <v>1</v>
      </c>
      <c r="N164" s="295" t="s">
        <v>581</v>
      </c>
      <c r="O164" s="297">
        <v>13</v>
      </c>
      <c r="P164" s="298"/>
      <c r="Q164" s="298">
        <v>1682</v>
      </c>
      <c r="R164" s="298">
        <f>P164+Q164</f>
        <v>1682</v>
      </c>
      <c r="S164" s="298">
        <v>1681.9999999999998</v>
      </c>
      <c r="T164" s="298">
        <v>1681.9999999999998</v>
      </c>
      <c r="U164" s="298">
        <v>1681.9999999999998</v>
      </c>
      <c r="V164" s="298">
        <v>1681.9999999999998</v>
      </c>
    </row>
    <row r="165" spans="1:23" s="299" customFormat="1" ht="15" customHeight="1" x14ac:dyDescent="0.25">
      <c r="A165" s="295" t="s">
        <v>584</v>
      </c>
      <c r="B165" s="295">
        <v>2</v>
      </c>
      <c r="C165" s="295">
        <v>2</v>
      </c>
      <c r="D165" s="295" t="s">
        <v>579</v>
      </c>
      <c r="E165" s="295" t="s">
        <v>580</v>
      </c>
      <c r="F165" s="295">
        <v>448</v>
      </c>
      <c r="G165" s="295" t="s">
        <v>25</v>
      </c>
      <c r="H165" s="295">
        <v>1</v>
      </c>
      <c r="I165" s="296">
        <v>32501</v>
      </c>
      <c r="J165" s="295">
        <v>1</v>
      </c>
      <c r="K165" s="295">
        <v>19</v>
      </c>
      <c r="L165" s="295">
        <v>1</v>
      </c>
      <c r="M165" s="295">
        <v>1</v>
      </c>
      <c r="N165" s="295" t="s">
        <v>581</v>
      </c>
      <c r="O165" s="295">
        <v>13</v>
      </c>
      <c r="P165" s="298">
        <v>0</v>
      </c>
      <c r="Q165" s="298">
        <f>1200+757.13</f>
        <v>1957.13</v>
      </c>
      <c r="R165" s="298">
        <f t="shared" si="9"/>
        <v>1957.13</v>
      </c>
      <c r="S165" s="298">
        <v>1957.1288</v>
      </c>
      <c r="T165" s="298">
        <v>1957.1288</v>
      </c>
      <c r="U165" s="298">
        <v>1957.1288</v>
      </c>
      <c r="V165" s="298">
        <v>1957.1288</v>
      </c>
    </row>
    <row r="166" spans="1:23" s="299" customFormat="1" ht="15" customHeight="1" x14ac:dyDescent="0.25">
      <c r="A166" s="295" t="s">
        <v>584</v>
      </c>
      <c r="B166" s="295">
        <v>2</v>
      </c>
      <c r="C166" s="295">
        <v>2</v>
      </c>
      <c r="D166" s="295" t="s">
        <v>579</v>
      </c>
      <c r="E166" s="295" t="s">
        <v>580</v>
      </c>
      <c r="F166" s="295">
        <v>448</v>
      </c>
      <c r="G166" s="295" t="s">
        <v>25</v>
      </c>
      <c r="H166" s="295">
        <v>1</v>
      </c>
      <c r="I166" s="296">
        <v>33101</v>
      </c>
      <c r="J166" s="295">
        <v>1</v>
      </c>
      <c r="K166" s="295">
        <v>19</v>
      </c>
      <c r="L166" s="295">
        <v>1</v>
      </c>
      <c r="M166" s="295">
        <v>1</v>
      </c>
      <c r="N166" s="295" t="s">
        <v>581</v>
      </c>
      <c r="O166" s="295">
        <v>13</v>
      </c>
      <c r="P166" s="298"/>
      <c r="Q166" s="298">
        <v>22040</v>
      </c>
      <c r="R166" s="298">
        <f>P166+Q166</f>
        <v>22040</v>
      </c>
      <c r="S166" s="298">
        <v>22040</v>
      </c>
      <c r="T166" s="298">
        <v>22040</v>
      </c>
      <c r="U166" s="298">
        <v>22040</v>
      </c>
      <c r="V166" s="298">
        <v>19351.332750490077</v>
      </c>
    </row>
    <row r="167" spans="1:23" s="299" customFormat="1" ht="15" customHeight="1" x14ac:dyDescent="0.25">
      <c r="A167" s="295" t="s">
        <v>584</v>
      </c>
      <c r="B167" s="295">
        <v>2</v>
      </c>
      <c r="C167" s="295">
        <v>2</v>
      </c>
      <c r="D167" s="295" t="s">
        <v>579</v>
      </c>
      <c r="E167" s="295" t="s">
        <v>580</v>
      </c>
      <c r="F167" s="295">
        <v>448</v>
      </c>
      <c r="G167" s="295" t="s">
        <v>25</v>
      </c>
      <c r="H167" s="295">
        <v>1</v>
      </c>
      <c r="I167" s="296">
        <v>33401</v>
      </c>
      <c r="J167" s="295">
        <v>1</v>
      </c>
      <c r="K167" s="295">
        <v>19</v>
      </c>
      <c r="L167" s="295">
        <v>1</v>
      </c>
      <c r="M167" s="295">
        <v>1</v>
      </c>
      <c r="N167" s="295" t="s">
        <v>581</v>
      </c>
      <c r="O167" s="297">
        <v>13</v>
      </c>
      <c r="P167" s="298">
        <v>9335</v>
      </c>
      <c r="Q167" s="298">
        <v>-9335</v>
      </c>
      <c r="R167" s="298">
        <f t="shared" si="9"/>
        <v>0</v>
      </c>
      <c r="S167" s="298">
        <v>0</v>
      </c>
      <c r="T167" s="298">
        <v>0</v>
      </c>
      <c r="U167" s="298">
        <v>0</v>
      </c>
      <c r="V167" s="298">
        <v>0</v>
      </c>
    </row>
    <row r="168" spans="1:23" s="299" customFormat="1" ht="15" customHeight="1" x14ac:dyDescent="0.25">
      <c r="A168" s="295" t="s">
        <v>584</v>
      </c>
      <c r="B168" s="295">
        <v>2</v>
      </c>
      <c r="C168" s="295">
        <v>2</v>
      </c>
      <c r="D168" s="295" t="s">
        <v>579</v>
      </c>
      <c r="E168" s="295" t="s">
        <v>580</v>
      </c>
      <c r="F168" s="295">
        <v>448</v>
      </c>
      <c r="G168" s="295" t="s">
        <v>25</v>
      </c>
      <c r="H168" s="295">
        <v>1</v>
      </c>
      <c r="I168" s="296">
        <v>33603</v>
      </c>
      <c r="J168" s="295">
        <v>1</v>
      </c>
      <c r="K168" s="295">
        <v>19</v>
      </c>
      <c r="L168" s="295">
        <v>1</v>
      </c>
      <c r="M168" s="295">
        <v>1</v>
      </c>
      <c r="N168" s="295" t="s">
        <v>581</v>
      </c>
      <c r="O168" s="295">
        <v>13</v>
      </c>
      <c r="P168" s="298">
        <v>7820</v>
      </c>
      <c r="Q168" s="298">
        <v>22657</v>
      </c>
      <c r="R168" s="298">
        <f t="shared" si="9"/>
        <v>30477</v>
      </c>
      <c r="S168" s="298">
        <v>39521.199999999997</v>
      </c>
      <c r="T168" s="298">
        <v>39521.199999999997</v>
      </c>
      <c r="U168" s="298">
        <v>39521.199999999997</v>
      </c>
      <c r="V168" s="298">
        <v>36244.01186410743</v>
      </c>
    </row>
    <row r="169" spans="1:23" s="299" customFormat="1" ht="15" customHeight="1" x14ac:dyDescent="0.25">
      <c r="A169" s="295" t="s">
        <v>584</v>
      </c>
      <c r="B169" s="295">
        <v>2</v>
      </c>
      <c r="C169" s="295">
        <v>2</v>
      </c>
      <c r="D169" s="295" t="s">
        <v>579</v>
      </c>
      <c r="E169" s="295" t="s">
        <v>580</v>
      </c>
      <c r="F169" s="295">
        <v>448</v>
      </c>
      <c r="G169" s="295" t="s">
        <v>25</v>
      </c>
      <c r="H169" s="295">
        <v>1</v>
      </c>
      <c r="I169" s="296">
        <v>34401</v>
      </c>
      <c r="J169" s="295">
        <v>1</v>
      </c>
      <c r="K169" s="295">
        <v>19</v>
      </c>
      <c r="L169" s="295">
        <v>1</v>
      </c>
      <c r="M169" s="295">
        <v>1</v>
      </c>
      <c r="N169" s="295" t="s">
        <v>581</v>
      </c>
      <c r="O169" s="297">
        <v>13</v>
      </c>
      <c r="P169" s="298">
        <v>277886</v>
      </c>
      <c r="Q169" s="298">
        <v>-59915</v>
      </c>
      <c r="R169" s="298">
        <f t="shared" si="9"/>
        <v>217971</v>
      </c>
      <c r="S169" s="298">
        <v>217971.4008</v>
      </c>
      <c r="T169" s="298">
        <v>217971.4008</v>
      </c>
      <c r="U169" s="298">
        <v>217971.4008</v>
      </c>
      <c r="V169" s="298">
        <v>217971.4008</v>
      </c>
    </row>
    <row r="170" spans="1:23" s="299" customFormat="1" ht="15" customHeight="1" x14ac:dyDescent="0.25">
      <c r="A170" s="295" t="s">
        <v>584</v>
      </c>
      <c r="B170" s="295">
        <v>2</v>
      </c>
      <c r="C170" s="295">
        <v>2</v>
      </c>
      <c r="D170" s="295" t="s">
        <v>579</v>
      </c>
      <c r="E170" s="295" t="s">
        <v>580</v>
      </c>
      <c r="F170" s="295">
        <v>448</v>
      </c>
      <c r="G170" s="295" t="s">
        <v>25</v>
      </c>
      <c r="H170" s="295">
        <v>1</v>
      </c>
      <c r="I170" s="296">
        <v>35302</v>
      </c>
      <c r="J170" s="295">
        <v>1</v>
      </c>
      <c r="K170" s="295">
        <v>19</v>
      </c>
      <c r="L170" s="295">
        <v>1</v>
      </c>
      <c r="M170" s="295">
        <v>1</v>
      </c>
      <c r="N170" s="295" t="s">
        <v>581</v>
      </c>
      <c r="O170" s="297">
        <v>13</v>
      </c>
      <c r="P170" s="298">
        <v>0</v>
      </c>
      <c r="Q170" s="298">
        <v>2320</v>
      </c>
      <c r="R170" s="298">
        <f>P170+Q170</f>
        <v>2320</v>
      </c>
      <c r="S170" s="298">
        <v>2320</v>
      </c>
      <c r="T170" s="298">
        <v>2320</v>
      </c>
      <c r="U170" s="298">
        <v>2320</v>
      </c>
      <c r="V170" s="298">
        <v>2320</v>
      </c>
    </row>
    <row r="171" spans="1:23" s="299" customFormat="1" ht="15" customHeight="1" x14ac:dyDescent="0.25">
      <c r="A171" s="295" t="s">
        <v>584</v>
      </c>
      <c r="B171" s="295">
        <v>2</v>
      </c>
      <c r="C171" s="295">
        <v>2</v>
      </c>
      <c r="D171" s="295" t="s">
        <v>579</v>
      </c>
      <c r="E171" s="295" t="s">
        <v>580</v>
      </c>
      <c r="F171" s="295">
        <v>448</v>
      </c>
      <c r="G171" s="295" t="s">
        <v>25</v>
      </c>
      <c r="H171" s="295">
        <v>1</v>
      </c>
      <c r="I171" s="296">
        <v>35501</v>
      </c>
      <c r="J171" s="295">
        <v>1</v>
      </c>
      <c r="K171" s="295">
        <v>19</v>
      </c>
      <c r="L171" s="295">
        <v>1</v>
      </c>
      <c r="M171" s="295">
        <v>1</v>
      </c>
      <c r="N171" s="295" t="s">
        <v>581</v>
      </c>
      <c r="O171" s="295">
        <v>13</v>
      </c>
      <c r="P171" s="298">
        <f>32956+0.21</f>
        <v>32956.21</v>
      </c>
      <c r="Q171" s="298">
        <f>-9468.86-2387.4</f>
        <v>-11856.26</v>
      </c>
      <c r="R171" s="298">
        <f t="shared" si="9"/>
        <v>21099.949999999997</v>
      </c>
      <c r="S171" s="298">
        <v>21099.9476</v>
      </c>
      <c r="T171" s="298">
        <v>21099.9476</v>
      </c>
      <c r="U171" s="298">
        <v>21099.9476</v>
      </c>
      <c r="V171" s="298">
        <v>20468.054674653515</v>
      </c>
    </row>
    <row r="172" spans="1:23" s="299" customFormat="1" ht="15" customHeight="1" x14ac:dyDescent="0.25">
      <c r="A172" s="295" t="s">
        <v>584</v>
      </c>
      <c r="B172" s="295">
        <v>2</v>
      </c>
      <c r="C172" s="295">
        <v>2</v>
      </c>
      <c r="D172" s="295" t="s">
        <v>579</v>
      </c>
      <c r="E172" s="295" t="s">
        <v>580</v>
      </c>
      <c r="F172" s="295">
        <v>448</v>
      </c>
      <c r="G172" s="295" t="s">
        <v>25</v>
      </c>
      <c r="H172" s="295">
        <v>1</v>
      </c>
      <c r="I172" s="296">
        <v>35701</v>
      </c>
      <c r="J172" s="295">
        <v>1</v>
      </c>
      <c r="K172" s="295">
        <v>19</v>
      </c>
      <c r="L172" s="295">
        <v>1</v>
      </c>
      <c r="M172" s="295">
        <v>1</v>
      </c>
      <c r="N172" s="295" t="s">
        <v>581</v>
      </c>
      <c r="O172" s="297">
        <v>13</v>
      </c>
      <c r="P172" s="298">
        <v>69929</v>
      </c>
      <c r="Q172" s="298">
        <v>30915</v>
      </c>
      <c r="R172" s="298">
        <f t="shared" si="9"/>
        <v>100844</v>
      </c>
      <c r="S172" s="298">
        <v>212931.20079999999</v>
      </c>
      <c r="T172" s="298">
        <v>212931.20079999999</v>
      </c>
      <c r="U172" s="298">
        <v>212931.20079999999</v>
      </c>
      <c r="V172" s="298">
        <v>44586.276788109193</v>
      </c>
    </row>
    <row r="173" spans="1:23" s="299" customFormat="1" ht="15" customHeight="1" x14ac:dyDescent="0.25">
      <c r="A173" s="295" t="s">
        <v>584</v>
      </c>
      <c r="B173" s="295">
        <v>2</v>
      </c>
      <c r="C173" s="295">
        <v>2</v>
      </c>
      <c r="D173" s="295" t="s">
        <v>579</v>
      </c>
      <c r="E173" s="295" t="s">
        <v>580</v>
      </c>
      <c r="F173" s="295">
        <v>448</v>
      </c>
      <c r="G173" s="295" t="s">
        <v>25</v>
      </c>
      <c r="H173" s="295">
        <v>1</v>
      </c>
      <c r="I173" s="296">
        <v>36501</v>
      </c>
      <c r="J173" s="295">
        <v>1</v>
      </c>
      <c r="K173" s="295">
        <v>19</v>
      </c>
      <c r="L173" s="295">
        <v>1</v>
      </c>
      <c r="M173" s="295">
        <v>1</v>
      </c>
      <c r="N173" s="295" t="s">
        <v>581</v>
      </c>
      <c r="O173" s="295">
        <v>13</v>
      </c>
      <c r="P173" s="298">
        <v>0</v>
      </c>
      <c r="Q173" s="298">
        <f>29000+34800</f>
        <v>63800</v>
      </c>
      <c r="R173" s="298">
        <f t="shared" si="9"/>
        <v>63800</v>
      </c>
      <c r="S173" s="298">
        <v>63800</v>
      </c>
      <c r="T173" s="298">
        <v>63800</v>
      </c>
      <c r="U173" s="298">
        <v>63800</v>
      </c>
      <c r="V173" s="298">
        <v>63800</v>
      </c>
    </row>
    <row r="174" spans="1:23" s="299" customFormat="1" ht="15" customHeight="1" x14ac:dyDescent="0.25">
      <c r="A174" s="295" t="s">
        <v>584</v>
      </c>
      <c r="B174" s="295">
        <v>2</v>
      </c>
      <c r="C174" s="295">
        <v>2</v>
      </c>
      <c r="D174" s="295" t="s">
        <v>579</v>
      </c>
      <c r="E174" s="295" t="s">
        <v>580</v>
      </c>
      <c r="F174" s="295">
        <v>448</v>
      </c>
      <c r="G174" s="295" t="s">
        <v>25</v>
      </c>
      <c r="H174" s="295">
        <v>1</v>
      </c>
      <c r="I174" s="296">
        <v>37101</v>
      </c>
      <c r="J174" s="295">
        <v>1</v>
      </c>
      <c r="K174" s="295">
        <v>19</v>
      </c>
      <c r="L174" s="295">
        <v>1</v>
      </c>
      <c r="M174" s="295">
        <v>1</v>
      </c>
      <c r="N174" s="295" t="s">
        <v>581</v>
      </c>
      <c r="O174" s="297">
        <v>13</v>
      </c>
      <c r="P174" s="298">
        <v>41764</v>
      </c>
      <c r="Q174" s="298">
        <f>54.14+30423.81</f>
        <v>30477.95</v>
      </c>
      <c r="R174" s="298">
        <f t="shared" si="9"/>
        <v>72241.95</v>
      </c>
      <c r="S174" s="298">
        <v>72241.950278186021</v>
      </c>
      <c r="T174" s="298">
        <v>72241.950278186021</v>
      </c>
      <c r="U174" s="298">
        <v>72241.950278186021</v>
      </c>
      <c r="V174" s="298">
        <v>52187.462458513073</v>
      </c>
    </row>
    <row r="175" spans="1:23" s="299" customFormat="1" ht="15" customHeight="1" x14ac:dyDescent="0.25">
      <c r="A175" s="295" t="s">
        <v>584</v>
      </c>
      <c r="B175" s="295">
        <v>2</v>
      </c>
      <c r="C175" s="295">
        <v>2</v>
      </c>
      <c r="D175" s="295" t="s">
        <v>579</v>
      </c>
      <c r="E175" s="295" t="s">
        <v>580</v>
      </c>
      <c r="F175" s="295">
        <v>448</v>
      </c>
      <c r="G175" s="295" t="s">
        <v>25</v>
      </c>
      <c r="H175" s="295">
        <v>1</v>
      </c>
      <c r="I175" s="296">
        <v>37201</v>
      </c>
      <c r="J175" s="295">
        <v>1</v>
      </c>
      <c r="K175" s="295">
        <v>19</v>
      </c>
      <c r="L175" s="295">
        <v>1</v>
      </c>
      <c r="M175" s="295">
        <v>1</v>
      </c>
      <c r="N175" s="295" t="s">
        <v>581</v>
      </c>
      <c r="O175" s="295">
        <v>13</v>
      </c>
      <c r="P175" s="298">
        <v>6000</v>
      </c>
      <c r="Q175" s="298">
        <f>35779.33+5572.18+5964.68+3956.67</f>
        <v>51272.86</v>
      </c>
      <c r="R175" s="298">
        <f>P175+Q175</f>
        <v>57272.86</v>
      </c>
      <c r="S175" s="298">
        <v>57272.86</v>
      </c>
      <c r="T175" s="298">
        <v>57272.86</v>
      </c>
      <c r="U175" s="298">
        <v>57272.86</v>
      </c>
      <c r="V175" s="298">
        <v>57272.86</v>
      </c>
    </row>
    <row r="176" spans="1:23" s="299" customFormat="1" ht="15" customHeight="1" x14ac:dyDescent="0.25">
      <c r="A176" s="295" t="s">
        <v>584</v>
      </c>
      <c r="B176" s="295">
        <v>2</v>
      </c>
      <c r="C176" s="295">
        <v>2</v>
      </c>
      <c r="D176" s="295" t="s">
        <v>579</v>
      </c>
      <c r="E176" s="295" t="s">
        <v>580</v>
      </c>
      <c r="F176" s="295">
        <v>448</v>
      </c>
      <c r="G176" s="295" t="s">
        <v>25</v>
      </c>
      <c r="H176" s="295">
        <v>1</v>
      </c>
      <c r="I176" s="296">
        <v>37501</v>
      </c>
      <c r="J176" s="295">
        <v>1</v>
      </c>
      <c r="K176" s="295">
        <v>19</v>
      </c>
      <c r="L176" s="295">
        <v>1</v>
      </c>
      <c r="M176" s="295">
        <v>1</v>
      </c>
      <c r="N176" s="295" t="s">
        <v>581</v>
      </c>
      <c r="O176" s="297">
        <v>13</v>
      </c>
      <c r="P176" s="298">
        <v>80000</v>
      </c>
      <c r="Q176" s="298">
        <f>6822.6+38650</f>
        <v>45472.6</v>
      </c>
      <c r="R176" s="298">
        <f t="shared" si="9"/>
        <v>125472.6</v>
      </c>
      <c r="S176" s="298">
        <v>125472.59621868414</v>
      </c>
      <c r="T176" s="298">
        <v>125472.59621868414</v>
      </c>
      <c r="U176" s="298">
        <f>125472.596218684-1300</f>
        <v>124172.596218684</v>
      </c>
      <c r="V176" s="298">
        <f>125472.596218684-480</f>
        <v>124992.596218684</v>
      </c>
    </row>
    <row r="177" spans="1:27" s="299" customFormat="1" ht="15" customHeight="1" x14ac:dyDescent="0.25">
      <c r="A177" s="295" t="s">
        <v>584</v>
      </c>
      <c r="B177" s="295">
        <v>2</v>
      </c>
      <c r="C177" s="295">
        <v>2</v>
      </c>
      <c r="D177" s="295" t="s">
        <v>579</v>
      </c>
      <c r="E177" s="295" t="s">
        <v>580</v>
      </c>
      <c r="F177" s="295">
        <v>448</v>
      </c>
      <c r="G177" s="295" t="s">
        <v>25</v>
      </c>
      <c r="H177" s="295">
        <v>1</v>
      </c>
      <c r="I177" s="296">
        <v>37502</v>
      </c>
      <c r="J177" s="295">
        <v>1</v>
      </c>
      <c r="K177" s="295">
        <v>19</v>
      </c>
      <c r="L177" s="295">
        <v>1</v>
      </c>
      <c r="M177" s="295">
        <v>1</v>
      </c>
      <c r="N177" s="295" t="s">
        <v>581</v>
      </c>
      <c r="O177" s="295">
        <v>13</v>
      </c>
      <c r="P177" s="298">
        <v>30000</v>
      </c>
      <c r="Q177" s="298">
        <f>25000+11400</f>
        <v>36400</v>
      </c>
      <c r="R177" s="298">
        <f t="shared" si="9"/>
        <v>66400</v>
      </c>
      <c r="S177" s="298">
        <v>66400</v>
      </c>
      <c r="T177" s="298">
        <v>66400</v>
      </c>
      <c r="U177" s="298">
        <v>66400</v>
      </c>
      <c r="V177" s="298">
        <v>66400</v>
      </c>
    </row>
    <row r="178" spans="1:27" s="299" customFormat="1" ht="15" customHeight="1" x14ac:dyDescent="0.25">
      <c r="A178" s="295" t="s">
        <v>584</v>
      </c>
      <c r="B178" s="295">
        <v>2</v>
      </c>
      <c r="C178" s="295">
        <v>2</v>
      </c>
      <c r="D178" s="295" t="s">
        <v>579</v>
      </c>
      <c r="E178" s="295" t="s">
        <v>580</v>
      </c>
      <c r="F178" s="295">
        <v>448</v>
      </c>
      <c r="G178" s="295" t="s">
        <v>25</v>
      </c>
      <c r="H178" s="295">
        <v>1</v>
      </c>
      <c r="I178" s="296">
        <v>37601</v>
      </c>
      <c r="J178" s="295">
        <v>1</v>
      </c>
      <c r="K178" s="295">
        <v>19</v>
      </c>
      <c r="L178" s="295">
        <v>1</v>
      </c>
      <c r="M178" s="295">
        <v>1</v>
      </c>
      <c r="N178" s="295" t="s">
        <v>581</v>
      </c>
      <c r="O178" s="297">
        <v>13</v>
      </c>
      <c r="P178" s="298"/>
      <c r="Q178" s="298">
        <v>20000</v>
      </c>
      <c r="R178" s="298">
        <f>P178+Q178</f>
        <v>20000</v>
      </c>
      <c r="S178" s="298">
        <v>20000</v>
      </c>
      <c r="T178" s="298">
        <v>20000</v>
      </c>
      <c r="U178" s="298">
        <v>20000</v>
      </c>
      <c r="V178" s="298">
        <v>20000</v>
      </c>
    </row>
    <row r="179" spans="1:27" s="299" customFormat="1" ht="15" customHeight="1" x14ac:dyDescent="0.25">
      <c r="A179" s="295" t="s">
        <v>584</v>
      </c>
      <c r="B179" s="295">
        <v>2</v>
      </c>
      <c r="C179" s="295">
        <v>2</v>
      </c>
      <c r="D179" s="295" t="s">
        <v>579</v>
      </c>
      <c r="E179" s="295" t="s">
        <v>580</v>
      </c>
      <c r="F179" s="295">
        <v>448</v>
      </c>
      <c r="G179" s="295" t="s">
        <v>25</v>
      </c>
      <c r="H179" s="295">
        <v>1</v>
      </c>
      <c r="I179" s="296">
        <v>37801</v>
      </c>
      <c r="J179" s="295">
        <v>1</v>
      </c>
      <c r="K179" s="295">
        <v>19</v>
      </c>
      <c r="L179" s="295">
        <v>1</v>
      </c>
      <c r="M179" s="295">
        <v>1</v>
      </c>
      <c r="N179" s="295" t="s">
        <v>581</v>
      </c>
      <c r="O179" s="297">
        <v>13</v>
      </c>
      <c r="P179" s="298">
        <v>25568</v>
      </c>
      <c r="Q179" s="298">
        <v>0</v>
      </c>
      <c r="R179" s="298">
        <f t="shared" si="9"/>
        <v>25568</v>
      </c>
      <c r="S179" s="298">
        <v>0</v>
      </c>
      <c r="T179" s="298">
        <v>0</v>
      </c>
      <c r="U179" s="298">
        <v>0</v>
      </c>
      <c r="V179" s="298">
        <v>0</v>
      </c>
    </row>
    <row r="180" spans="1:27" s="299" customFormat="1" ht="15" customHeight="1" x14ac:dyDescent="0.25">
      <c r="A180" s="295" t="s">
        <v>584</v>
      </c>
      <c r="B180" s="295">
        <v>2</v>
      </c>
      <c r="C180" s="295">
        <v>2</v>
      </c>
      <c r="D180" s="295" t="s">
        <v>579</v>
      </c>
      <c r="E180" s="295" t="s">
        <v>580</v>
      </c>
      <c r="F180" s="295">
        <v>448</v>
      </c>
      <c r="G180" s="295" t="s">
        <v>25</v>
      </c>
      <c r="H180" s="295">
        <v>1</v>
      </c>
      <c r="I180" s="296">
        <v>37901</v>
      </c>
      <c r="J180" s="295">
        <v>1</v>
      </c>
      <c r="K180" s="295">
        <v>19</v>
      </c>
      <c r="L180" s="295">
        <v>1</v>
      </c>
      <c r="M180" s="295">
        <v>1</v>
      </c>
      <c r="N180" s="295" t="s">
        <v>581</v>
      </c>
      <c r="O180" s="295">
        <v>13</v>
      </c>
      <c r="P180" s="298">
        <v>10861</v>
      </c>
      <c r="Q180" s="298">
        <v>0</v>
      </c>
      <c r="R180" s="298">
        <f t="shared" si="9"/>
        <v>10861</v>
      </c>
      <c r="S180" s="298">
        <v>2468.0275999999999</v>
      </c>
      <c r="T180" s="298">
        <v>3860.0275999999999</v>
      </c>
      <c r="U180" s="298">
        <v>3860.0275999999999</v>
      </c>
      <c r="V180" s="298">
        <f>3860.0276-74</f>
        <v>3786.0275999999999</v>
      </c>
    </row>
    <row r="181" spans="1:27" s="299" customFormat="1" ht="15" customHeight="1" x14ac:dyDescent="0.25">
      <c r="A181" s="295" t="s">
        <v>584</v>
      </c>
      <c r="B181" s="295">
        <v>2</v>
      </c>
      <c r="C181" s="295">
        <v>2</v>
      </c>
      <c r="D181" s="295" t="s">
        <v>579</v>
      </c>
      <c r="E181" s="295" t="s">
        <v>580</v>
      </c>
      <c r="F181" s="295">
        <v>448</v>
      </c>
      <c r="G181" s="295" t="s">
        <v>25</v>
      </c>
      <c r="H181" s="295">
        <v>1</v>
      </c>
      <c r="I181" s="296">
        <v>38101</v>
      </c>
      <c r="J181" s="295">
        <v>1</v>
      </c>
      <c r="K181" s="295">
        <v>19</v>
      </c>
      <c r="L181" s="295">
        <v>1</v>
      </c>
      <c r="M181" s="295">
        <v>1</v>
      </c>
      <c r="N181" s="295" t="s">
        <v>581</v>
      </c>
      <c r="O181" s="297">
        <v>13</v>
      </c>
      <c r="P181" s="298">
        <v>709</v>
      </c>
      <c r="Q181" s="298">
        <f>709+20</f>
        <v>729</v>
      </c>
      <c r="R181" s="298">
        <f t="shared" si="9"/>
        <v>1438</v>
      </c>
      <c r="S181" s="298">
        <v>1438</v>
      </c>
      <c r="T181" s="298">
        <v>1438</v>
      </c>
      <c r="U181" s="298">
        <v>1438</v>
      </c>
      <c r="V181" s="298">
        <v>1438</v>
      </c>
    </row>
    <row r="182" spans="1:27" s="299" customFormat="1" ht="15" customHeight="1" x14ac:dyDescent="0.25">
      <c r="A182" s="295" t="s">
        <v>584</v>
      </c>
      <c r="B182" s="295">
        <v>2</v>
      </c>
      <c r="C182" s="295">
        <v>2</v>
      </c>
      <c r="D182" s="295" t="s">
        <v>579</v>
      </c>
      <c r="E182" s="295" t="s">
        <v>580</v>
      </c>
      <c r="F182" s="295">
        <v>448</v>
      </c>
      <c r="G182" s="295" t="s">
        <v>25</v>
      </c>
      <c r="H182" s="295">
        <v>1</v>
      </c>
      <c r="I182" s="296">
        <v>38301</v>
      </c>
      <c r="J182" s="295">
        <v>1</v>
      </c>
      <c r="K182" s="295">
        <v>19</v>
      </c>
      <c r="L182" s="295">
        <v>1</v>
      </c>
      <c r="M182" s="295">
        <v>1</v>
      </c>
      <c r="N182" s="295" t="s">
        <v>581</v>
      </c>
      <c r="O182" s="295">
        <v>13</v>
      </c>
      <c r="P182" s="298">
        <v>13161</v>
      </c>
      <c r="Q182" s="298">
        <v>87557.73</v>
      </c>
      <c r="R182" s="298">
        <f t="shared" si="9"/>
        <v>100718.73</v>
      </c>
      <c r="S182" s="298">
        <v>100718.73</v>
      </c>
      <c r="T182" s="298">
        <v>100718.73</v>
      </c>
      <c r="U182" s="298">
        <v>100718.73</v>
      </c>
      <c r="V182" s="298">
        <v>100718.73</v>
      </c>
    </row>
    <row r="183" spans="1:27" s="299" customFormat="1" ht="15" customHeight="1" x14ac:dyDescent="0.25">
      <c r="A183" s="295" t="s">
        <v>584</v>
      </c>
      <c r="B183" s="295">
        <v>2</v>
      </c>
      <c r="C183" s="295">
        <v>2</v>
      </c>
      <c r="D183" s="295" t="s">
        <v>579</v>
      </c>
      <c r="E183" s="295" t="s">
        <v>580</v>
      </c>
      <c r="F183" s="295">
        <v>448</v>
      </c>
      <c r="G183" s="295" t="s">
        <v>25</v>
      </c>
      <c r="H183" s="295">
        <v>1</v>
      </c>
      <c r="I183" s="296">
        <v>61305</v>
      </c>
      <c r="J183" s="295">
        <v>2</v>
      </c>
      <c r="K183" s="295">
        <v>19</v>
      </c>
      <c r="L183" s="295">
        <v>1</v>
      </c>
      <c r="M183" s="295">
        <v>1</v>
      </c>
      <c r="N183" s="295" t="s">
        <v>581</v>
      </c>
      <c r="O183" s="295">
        <v>13</v>
      </c>
      <c r="P183" s="298"/>
      <c r="Q183" s="298">
        <v>1500000</v>
      </c>
      <c r="R183" s="298">
        <f>P183+Q183</f>
        <v>1500000</v>
      </c>
      <c r="S183" s="298">
        <v>500000</v>
      </c>
      <c r="T183" s="298">
        <v>500000</v>
      </c>
      <c r="U183" s="298">
        <v>500000</v>
      </c>
      <c r="V183" s="298">
        <v>500000</v>
      </c>
    </row>
    <row r="184" spans="1:27" s="299" customFormat="1" ht="15" customHeight="1" x14ac:dyDescent="0.25">
      <c r="A184" s="295" t="s">
        <v>584</v>
      </c>
      <c r="B184" s="295">
        <v>2</v>
      </c>
      <c r="C184" s="295">
        <v>2</v>
      </c>
      <c r="D184" s="295" t="s">
        <v>579</v>
      </c>
      <c r="E184" s="295" t="s">
        <v>580</v>
      </c>
      <c r="F184" s="295">
        <v>448</v>
      </c>
      <c r="G184" s="295" t="s">
        <v>25</v>
      </c>
      <c r="H184" s="295">
        <v>1</v>
      </c>
      <c r="I184" s="296">
        <v>61305</v>
      </c>
      <c r="J184" s="295">
        <v>2</v>
      </c>
      <c r="K184" s="295">
        <v>19</v>
      </c>
      <c r="L184" s="295">
        <v>2</v>
      </c>
      <c r="M184" s="295">
        <v>5</v>
      </c>
      <c r="N184" s="295" t="s">
        <v>585</v>
      </c>
      <c r="O184" s="295">
        <v>13</v>
      </c>
      <c r="P184" s="298"/>
      <c r="Q184" s="298">
        <v>500000</v>
      </c>
      <c r="R184" s="298">
        <f>P184+Q184</f>
        <v>500000</v>
      </c>
      <c r="S184" s="298">
        <v>500000</v>
      </c>
      <c r="T184" s="298">
        <v>500000</v>
      </c>
      <c r="U184" s="298">
        <v>500000</v>
      </c>
      <c r="V184" s="298">
        <v>500000</v>
      </c>
    </row>
    <row r="185" spans="1:27" s="299" customFormat="1" ht="15" customHeight="1" x14ac:dyDescent="0.25">
      <c r="A185" s="295" t="s">
        <v>584</v>
      </c>
      <c r="B185" s="295">
        <v>2</v>
      </c>
      <c r="C185" s="295">
        <v>2</v>
      </c>
      <c r="D185" s="295" t="s">
        <v>579</v>
      </c>
      <c r="E185" s="295" t="s">
        <v>580</v>
      </c>
      <c r="F185" s="295">
        <v>448</v>
      </c>
      <c r="G185" s="295" t="s">
        <v>25</v>
      </c>
      <c r="H185" s="295">
        <v>1</v>
      </c>
      <c r="I185" s="296">
        <v>61305</v>
      </c>
      <c r="J185" s="295">
        <v>2</v>
      </c>
      <c r="K185" s="295">
        <v>19</v>
      </c>
      <c r="L185" s="295">
        <v>1</v>
      </c>
      <c r="M185" s="295">
        <v>1</v>
      </c>
      <c r="N185" s="295" t="s">
        <v>581</v>
      </c>
      <c r="O185" s="295">
        <v>13</v>
      </c>
      <c r="P185" s="298"/>
      <c r="Q185" s="298">
        <f>190000-119587.05</f>
        <v>70412.95</v>
      </c>
      <c r="R185" s="298">
        <f>P185+Q185</f>
        <v>70412.95</v>
      </c>
      <c r="S185" s="298">
        <v>18316.400000000001</v>
      </c>
      <c r="T185" s="298">
        <v>18316.400000000001</v>
      </c>
      <c r="U185" s="298">
        <v>18316.400000000001</v>
      </c>
      <c r="V185" s="298">
        <v>18316.400000000001</v>
      </c>
    </row>
    <row r="186" spans="1:27" s="299" customFormat="1" ht="15" customHeight="1" x14ac:dyDescent="0.25">
      <c r="A186" s="295" t="s">
        <v>584</v>
      </c>
      <c r="B186" s="295">
        <v>2</v>
      </c>
      <c r="C186" s="295">
        <v>2</v>
      </c>
      <c r="D186" s="295" t="s">
        <v>579</v>
      </c>
      <c r="E186" s="295" t="s">
        <v>580</v>
      </c>
      <c r="F186" s="295">
        <v>448</v>
      </c>
      <c r="G186" s="295" t="s">
        <v>25</v>
      </c>
      <c r="H186" s="295">
        <v>1</v>
      </c>
      <c r="I186" s="296">
        <v>61404</v>
      </c>
      <c r="J186" s="295">
        <v>2</v>
      </c>
      <c r="K186" s="295">
        <v>19</v>
      </c>
      <c r="L186" s="295">
        <v>1</v>
      </c>
      <c r="M186" s="295">
        <v>1</v>
      </c>
      <c r="N186" s="295" t="s">
        <v>581</v>
      </c>
      <c r="O186" s="295">
        <v>13</v>
      </c>
      <c r="P186" s="298"/>
      <c r="Q186" s="298">
        <v>374489</v>
      </c>
      <c r="R186" s="298">
        <f>P186+Q186</f>
        <v>374489</v>
      </c>
      <c r="S186" s="298">
        <v>374489.05</v>
      </c>
      <c r="T186" s="298">
        <v>374489.05</v>
      </c>
      <c r="U186" s="298">
        <v>374489.05</v>
      </c>
      <c r="V186" s="298">
        <v>374489.05</v>
      </c>
    </row>
    <row r="187" spans="1:27" s="299" customFormat="1" ht="15" customHeight="1" x14ac:dyDescent="0.25">
      <c r="A187" s="295" t="s">
        <v>584</v>
      </c>
      <c r="B187" s="295">
        <v>2</v>
      </c>
      <c r="C187" s="295">
        <v>2</v>
      </c>
      <c r="D187" s="295" t="s">
        <v>579</v>
      </c>
      <c r="E187" s="295" t="s">
        <v>580</v>
      </c>
      <c r="F187" s="295">
        <v>448</v>
      </c>
      <c r="G187" s="295" t="s">
        <v>25</v>
      </c>
      <c r="H187" s="295">
        <v>1</v>
      </c>
      <c r="I187" s="296">
        <v>61404</v>
      </c>
      <c r="J187" s="295">
        <v>2</v>
      </c>
      <c r="K187" s="295">
        <v>19</v>
      </c>
      <c r="L187" s="295">
        <v>1</v>
      </c>
      <c r="M187" s="295">
        <v>5</v>
      </c>
      <c r="N187" s="295" t="s">
        <v>586</v>
      </c>
      <c r="O187" s="295">
        <v>13</v>
      </c>
      <c r="P187" s="298">
        <v>0</v>
      </c>
      <c r="Q187" s="298">
        <v>0</v>
      </c>
      <c r="R187" s="298">
        <v>0</v>
      </c>
      <c r="S187" s="298">
        <v>374489.05</v>
      </c>
      <c r="T187" s="298">
        <v>374489.05</v>
      </c>
      <c r="U187" s="298">
        <v>374489.05</v>
      </c>
      <c r="V187" s="298">
        <v>374489.05</v>
      </c>
    </row>
    <row r="188" spans="1:27" s="299" customFormat="1" ht="15" customHeight="1" x14ac:dyDescent="0.25">
      <c r="A188" s="295" t="s">
        <v>587</v>
      </c>
      <c r="B188" s="295">
        <v>2</v>
      </c>
      <c r="C188" s="295">
        <v>2</v>
      </c>
      <c r="D188" s="295" t="s">
        <v>579</v>
      </c>
      <c r="E188" s="295" t="s">
        <v>580</v>
      </c>
      <c r="F188" s="295">
        <v>448</v>
      </c>
      <c r="G188" s="295" t="s">
        <v>25</v>
      </c>
      <c r="H188" s="295">
        <v>1</v>
      </c>
      <c r="I188" s="296">
        <v>11301</v>
      </c>
      <c r="J188" s="295">
        <v>1</v>
      </c>
      <c r="K188" s="295">
        <v>19</v>
      </c>
      <c r="L188" s="295">
        <v>1</v>
      </c>
      <c r="M188" s="295">
        <v>1</v>
      </c>
      <c r="N188" s="295" t="s">
        <v>581</v>
      </c>
      <c r="O188" s="297">
        <v>13</v>
      </c>
      <c r="P188" s="298">
        <v>1575247</v>
      </c>
      <c r="Q188" s="298">
        <v>0</v>
      </c>
      <c r="R188" s="298">
        <f t="shared" si="9"/>
        <v>1575247</v>
      </c>
      <c r="S188" s="298">
        <f>1480597.55220324+94649.45</f>
        <v>1575247.0022032401</v>
      </c>
      <c r="T188" s="298">
        <f>1445207.3-180</f>
        <v>1445027.3</v>
      </c>
      <c r="U188" s="298">
        <f t="shared" ref="U188" si="10">1445207.3-180</f>
        <v>1445027.3</v>
      </c>
      <c r="V188" s="298">
        <f>1445207.3-180+2911.79</f>
        <v>1447939.09</v>
      </c>
    </row>
    <row r="189" spans="1:27" s="299" customFormat="1" ht="15" customHeight="1" x14ac:dyDescent="0.25">
      <c r="A189" s="295" t="s">
        <v>587</v>
      </c>
      <c r="B189" s="295">
        <v>2</v>
      </c>
      <c r="C189" s="295">
        <v>2</v>
      </c>
      <c r="D189" s="295" t="s">
        <v>579</v>
      </c>
      <c r="E189" s="295" t="s">
        <v>580</v>
      </c>
      <c r="F189" s="295">
        <v>448</v>
      </c>
      <c r="G189" s="295" t="s">
        <v>25</v>
      </c>
      <c r="H189" s="295">
        <v>1</v>
      </c>
      <c r="I189" s="296">
        <v>11304</v>
      </c>
      <c r="J189" s="295">
        <v>1</v>
      </c>
      <c r="K189" s="295">
        <v>19</v>
      </c>
      <c r="L189" s="295">
        <v>1</v>
      </c>
      <c r="M189" s="295">
        <v>1</v>
      </c>
      <c r="N189" s="295" t="s">
        <v>581</v>
      </c>
      <c r="O189" s="295">
        <v>13</v>
      </c>
      <c r="P189" s="298">
        <v>1131920</v>
      </c>
      <c r="Q189" s="298">
        <v>-1131920</v>
      </c>
      <c r="R189" s="298">
        <f t="shared" si="9"/>
        <v>0</v>
      </c>
      <c r="S189" s="298">
        <v>0</v>
      </c>
      <c r="T189" s="298">
        <v>0</v>
      </c>
      <c r="U189" s="298">
        <v>0</v>
      </c>
      <c r="V189" s="298">
        <v>0</v>
      </c>
    </row>
    <row r="190" spans="1:27" s="299" customFormat="1" ht="15" customHeight="1" x14ac:dyDescent="0.25">
      <c r="A190" s="295" t="s">
        <v>587</v>
      </c>
      <c r="B190" s="295">
        <v>2</v>
      </c>
      <c r="C190" s="295">
        <v>2</v>
      </c>
      <c r="D190" s="295" t="s">
        <v>579</v>
      </c>
      <c r="E190" s="295" t="s">
        <v>580</v>
      </c>
      <c r="F190" s="295">
        <v>448</v>
      </c>
      <c r="G190" s="295" t="s">
        <v>25</v>
      </c>
      <c r="H190" s="295">
        <v>1</v>
      </c>
      <c r="I190" s="296">
        <v>11306</v>
      </c>
      <c r="J190" s="295">
        <v>1</v>
      </c>
      <c r="K190" s="295">
        <v>19</v>
      </c>
      <c r="L190" s="295">
        <v>1</v>
      </c>
      <c r="M190" s="295">
        <v>1</v>
      </c>
      <c r="N190" s="295" t="s">
        <v>581</v>
      </c>
      <c r="O190" s="297">
        <v>13</v>
      </c>
      <c r="P190" s="298">
        <v>361326</v>
      </c>
      <c r="Q190" s="298">
        <v>865788.87483181723</v>
      </c>
      <c r="R190" s="298">
        <f t="shared" si="9"/>
        <v>1227114.8748318171</v>
      </c>
      <c r="S190" s="300">
        <f>1233459.49883332-6344.62</f>
        <v>1227114.87883332</v>
      </c>
      <c r="T190" s="298">
        <v>1289929.7899363881</v>
      </c>
      <c r="U190" s="298">
        <v>1160489.2645426907</v>
      </c>
      <c r="V190" s="298">
        <v>1160489.2645426907</v>
      </c>
      <c r="Y190" s="301"/>
      <c r="AA190" s="301"/>
    </row>
    <row r="191" spans="1:27" s="299" customFormat="1" ht="15" customHeight="1" x14ac:dyDescent="0.25">
      <c r="A191" s="295" t="s">
        <v>587</v>
      </c>
      <c r="B191" s="295">
        <v>2</v>
      </c>
      <c r="C191" s="295">
        <v>2</v>
      </c>
      <c r="D191" s="295" t="s">
        <v>579</v>
      </c>
      <c r="E191" s="295" t="s">
        <v>580</v>
      </c>
      <c r="F191" s="295">
        <v>448</v>
      </c>
      <c r="G191" s="295" t="s">
        <v>25</v>
      </c>
      <c r="H191" s="295">
        <v>1</v>
      </c>
      <c r="I191" s="296">
        <v>11307</v>
      </c>
      <c r="J191" s="295">
        <v>1</v>
      </c>
      <c r="K191" s="295">
        <v>19</v>
      </c>
      <c r="L191" s="295">
        <v>1</v>
      </c>
      <c r="M191" s="295">
        <v>1</v>
      </c>
      <c r="N191" s="295" t="s">
        <v>581</v>
      </c>
      <c r="O191" s="295">
        <v>13</v>
      </c>
      <c r="P191" s="298">
        <v>418023</v>
      </c>
      <c r="Q191" s="298">
        <v>-56697.431999999913</v>
      </c>
      <c r="R191" s="298">
        <f t="shared" si="9"/>
        <v>361325.56800000009</v>
      </c>
      <c r="S191" s="300">
        <f>309810.973038296+51514.59+0.01</f>
        <v>361325.57303829596</v>
      </c>
      <c r="T191" s="298">
        <v>239920.93235771672</v>
      </c>
      <c r="U191" s="298">
        <v>239920.93235771675</v>
      </c>
      <c r="V191" s="298">
        <v>239920.93235771675</v>
      </c>
    </row>
    <row r="192" spans="1:27" s="299" customFormat="1" ht="15" customHeight="1" x14ac:dyDescent="0.25">
      <c r="A192" s="295" t="s">
        <v>587</v>
      </c>
      <c r="B192" s="295">
        <v>2</v>
      </c>
      <c r="C192" s="295">
        <v>2</v>
      </c>
      <c r="D192" s="295" t="s">
        <v>579</v>
      </c>
      <c r="E192" s="295" t="s">
        <v>580</v>
      </c>
      <c r="F192" s="295">
        <v>448</v>
      </c>
      <c r="G192" s="295" t="s">
        <v>25</v>
      </c>
      <c r="H192" s="295">
        <v>1</v>
      </c>
      <c r="I192" s="296">
        <v>11310</v>
      </c>
      <c r="J192" s="295">
        <v>1</v>
      </c>
      <c r="K192" s="295">
        <v>19</v>
      </c>
      <c r="L192" s="295">
        <v>1</v>
      </c>
      <c r="M192" s="295">
        <v>1</v>
      </c>
      <c r="N192" s="295" t="s">
        <v>581</v>
      </c>
      <c r="O192" s="297">
        <v>13</v>
      </c>
      <c r="P192" s="298">
        <v>0</v>
      </c>
      <c r="Q192" s="298">
        <v>418023.46080000006</v>
      </c>
      <c r="R192" s="298">
        <f t="shared" si="9"/>
        <v>418023.46080000006</v>
      </c>
      <c r="S192" s="298">
        <f>378274.770783008+39748.69</f>
        <v>418023.46078300802</v>
      </c>
      <c r="T192" s="298">
        <v>303583.65000000002</v>
      </c>
      <c r="U192" s="298">
        <v>303583.65000000002</v>
      </c>
      <c r="V192" s="298">
        <v>303583.65000000002</v>
      </c>
    </row>
    <row r="193" spans="1:23" s="299" customFormat="1" ht="15" customHeight="1" x14ac:dyDescent="0.25">
      <c r="A193" s="295" t="s">
        <v>587</v>
      </c>
      <c r="B193" s="295">
        <v>2</v>
      </c>
      <c r="C193" s="295">
        <v>2</v>
      </c>
      <c r="D193" s="295" t="s">
        <v>579</v>
      </c>
      <c r="E193" s="295" t="s">
        <v>580</v>
      </c>
      <c r="F193" s="295">
        <v>448</v>
      </c>
      <c r="G193" s="295" t="s">
        <v>25</v>
      </c>
      <c r="H193" s="295">
        <v>1</v>
      </c>
      <c r="I193" s="296">
        <v>12101</v>
      </c>
      <c r="J193" s="295">
        <v>1</v>
      </c>
      <c r="K193" s="295">
        <v>19</v>
      </c>
      <c r="L193" s="295">
        <v>1</v>
      </c>
      <c r="M193" s="295">
        <v>1</v>
      </c>
      <c r="N193" s="295" t="s">
        <v>581</v>
      </c>
      <c r="O193" s="295">
        <v>13</v>
      </c>
      <c r="P193" s="298">
        <v>210747</v>
      </c>
      <c r="Q193" s="298">
        <v>-210747</v>
      </c>
      <c r="R193" s="298">
        <f t="shared" si="9"/>
        <v>0</v>
      </c>
      <c r="S193" s="298">
        <v>0</v>
      </c>
      <c r="T193" s="298">
        <v>0</v>
      </c>
      <c r="U193" s="298">
        <v>0</v>
      </c>
      <c r="V193" s="298">
        <v>0</v>
      </c>
    </row>
    <row r="194" spans="1:23" s="299" customFormat="1" ht="15" customHeight="1" x14ac:dyDescent="0.25">
      <c r="A194" s="295" t="s">
        <v>587</v>
      </c>
      <c r="B194" s="295">
        <v>2</v>
      </c>
      <c r="C194" s="295">
        <v>2</v>
      </c>
      <c r="D194" s="295" t="s">
        <v>579</v>
      </c>
      <c r="E194" s="295" t="s">
        <v>580</v>
      </c>
      <c r="F194" s="295">
        <v>448</v>
      </c>
      <c r="G194" s="295" t="s">
        <v>25</v>
      </c>
      <c r="H194" s="295">
        <v>1</v>
      </c>
      <c r="I194" s="296">
        <v>13101</v>
      </c>
      <c r="J194" s="295">
        <v>1</v>
      </c>
      <c r="K194" s="295">
        <v>19</v>
      </c>
      <c r="L194" s="295">
        <v>1</v>
      </c>
      <c r="M194" s="295">
        <v>1</v>
      </c>
      <c r="N194" s="295" t="s">
        <v>581</v>
      </c>
      <c r="O194" s="297">
        <v>13</v>
      </c>
      <c r="P194" s="298">
        <v>27724</v>
      </c>
      <c r="Q194" s="298">
        <v>183022.55840000004</v>
      </c>
      <c r="R194" s="298">
        <f t="shared" si="9"/>
        <v>210746.55840000004</v>
      </c>
      <c r="S194" s="298">
        <f>183760.951408013+26985.61</f>
        <v>210746.56140801299</v>
      </c>
      <c r="T194" s="298">
        <f>185156.770323999+2817.21</f>
        <v>187973.98032399899</v>
      </c>
      <c r="U194" s="298">
        <f>185156.770323999+2817.21</f>
        <v>187973.98032399899</v>
      </c>
      <c r="V194" s="298">
        <v>185156.77032399867</v>
      </c>
    </row>
    <row r="195" spans="1:23" s="299" customFormat="1" ht="15" customHeight="1" x14ac:dyDescent="0.25">
      <c r="A195" s="295" t="s">
        <v>587</v>
      </c>
      <c r="B195" s="295">
        <v>2</v>
      </c>
      <c r="C195" s="295">
        <v>2</v>
      </c>
      <c r="D195" s="295" t="s">
        <v>579</v>
      </c>
      <c r="E195" s="295" t="s">
        <v>580</v>
      </c>
      <c r="F195" s="295">
        <v>448</v>
      </c>
      <c r="G195" s="295" t="s">
        <v>25</v>
      </c>
      <c r="H195" s="295">
        <v>1</v>
      </c>
      <c r="I195" s="296">
        <v>13201</v>
      </c>
      <c r="J195" s="295">
        <v>1</v>
      </c>
      <c r="K195" s="295">
        <v>19</v>
      </c>
      <c r="L195" s="295">
        <v>1</v>
      </c>
      <c r="M195" s="295">
        <v>1</v>
      </c>
      <c r="N195" s="295" t="s">
        <v>581</v>
      </c>
      <c r="O195" s="295">
        <v>13</v>
      </c>
      <c r="P195" s="298">
        <v>55447</v>
      </c>
      <c r="Q195" s="298">
        <f>-27723.4-3850-0.5</f>
        <v>-31573.9</v>
      </c>
      <c r="R195" s="298">
        <f t="shared" si="9"/>
        <v>23873.1</v>
      </c>
      <c r="S195" s="298">
        <f>25399.4282490606+2324.17-3850.5</f>
        <v>23873.098249060597</v>
      </c>
      <c r="T195" s="298">
        <v>23873.1</v>
      </c>
      <c r="U195" s="298">
        <v>23873.1</v>
      </c>
      <c r="V195" s="298">
        <v>23873.1</v>
      </c>
    </row>
    <row r="196" spans="1:23" s="299" customFormat="1" ht="15" customHeight="1" x14ac:dyDescent="0.25">
      <c r="A196" s="295" t="s">
        <v>587</v>
      </c>
      <c r="B196" s="295">
        <v>2</v>
      </c>
      <c r="C196" s="295">
        <v>2</v>
      </c>
      <c r="D196" s="295" t="s">
        <v>579</v>
      </c>
      <c r="E196" s="295" t="s">
        <v>580</v>
      </c>
      <c r="F196" s="295">
        <v>448</v>
      </c>
      <c r="G196" s="295" t="s">
        <v>25</v>
      </c>
      <c r="H196" s="295">
        <v>1</v>
      </c>
      <c r="I196" s="296">
        <v>13202</v>
      </c>
      <c r="J196" s="295">
        <v>1</v>
      </c>
      <c r="K196" s="295">
        <v>19</v>
      </c>
      <c r="L196" s="295">
        <v>1</v>
      </c>
      <c r="M196" s="295">
        <v>1</v>
      </c>
      <c r="N196" s="295" t="s">
        <v>581</v>
      </c>
      <c r="O196" s="297">
        <v>13</v>
      </c>
      <c r="P196" s="298">
        <v>0</v>
      </c>
      <c r="Q196" s="298">
        <v>55447.200000000019</v>
      </c>
      <c r="R196" s="298">
        <f t="shared" si="9"/>
        <v>55447.200000000019</v>
      </c>
      <c r="S196" s="298">
        <f>50798.8564981212+4648.34</f>
        <v>55447.196498121193</v>
      </c>
      <c r="T196" s="298">
        <v>46206</v>
      </c>
      <c r="U196" s="298">
        <v>46206</v>
      </c>
      <c r="V196" s="298">
        <v>46206</v>
      </c>
    </row>
    <row r="197" spans="1:23" s="299" customFormat="1" ht="15" customHeight="1" x14ac:dyDescent="0.25">
      <c r="A197" s="295" t="s">
        <v>587</v>
      </c>
      <c r="B197" s="295">
        <v>2</v>
      </c>
      <c r="C197" s="295">
        <v>2</v>
      </c>
      <c r="D197" s="295" t="s">
        <v>579</v>
      </c>
      <c r="E197" s="295" t="s">
        <v>580</v>
      </c>
      <c r="F197" s="295">
        <v>448</v>
      </c>
      <c r="G197" s="295" t="s">
        <v>25</v>
      </c>
      <c r="H197" s="295">
        <v>1</v>
      </c>
      <c r="I197" s="296">
        <v>14106</v>
      </c>
      <c r="J197" s="295">
        <v>1</v>
      </c>
      <c r="K197" s="295">
        <v>19</v>
      </c>
      <c r="L197" s="295">
        <v>1</v>
      </c>
      <c r="M197" s="295">
        <v>1</v>
      </c>
      <c r="N197" s="295" t="s">
        <v>581</v>
      </c>
      <c r="O197" s="295">
        <v>13</v>
      </c>
      <c r="P197" s="298">
        <v>924461</v>
      </c>
      <c r="Q197" s="298">
        <v>-32000</v>
      </c>
      <c r="R197" s="298">
        <f t="shared" si="9"/>
        <v>892461</v>
      </c>
      <c r="S197" s="298">
        <f>924461-33200</f>
        <v>891261</v>
      </c>
      <c r="T197" s="298">
        <v>861346.22508926957</v>
      </c>
      <c r="U197" s="298">
        <v>861346.22508926957</v>
      </c>
      <c r="V197" s="298">
        <v>861346.22508926957</v>
      </c>
    </row>
    <row r="198" spans="1:23" s="299" customFormat="1" ht="15" customHeight="1" x14ac:dyDescent="0.25">
      <c r="A198" s="295" t="s">
        <v>587</v>
      </c>
      <c r="B198" s="295">
        <v>2</v>
      </c>
      <c r="C198" s="295">
        <v>2</v>
      </c>
      <c r="D198" s="295" t="s">
        <v>579</v>
      </c>
      <c r="E198" s="295" t="s">
        <v>580</v>
      </c>
      <c r="F198" s="295">
        <v>448</v>
      </c>
      <c r="G198" s="295" t="s">
        <v>25</v>
      </c>
      <c r="H198" s="295">
        <v>1</v>
      </c>
      <c r="I198" s="296">
        <v>14109</v>
      </c>
      <c r="J198" s="295">
        <v>1</v>
      </c>
      <c r="K198" s="295">
        <v>19</v>
      </c>
      <c r="L198" s="295">
        <v>1</v>
      </c>
      <c r="M198" s="295">
        <v>1</v>
      </c>
      <c r="N198" s="295" t="s">
        <v>581</v>
      </c>
      <c r="O198" s="297">
        <v>13</v>
      </c>
      <c r="P198" s="298">
        <v>2169232</v>
      </c>
      <c r="Q198" s="298">
        <v>0</v>
      </c>
      <c r="R198" s="298">
        <f t="shared" si="9"/>
        <v>2169232</v>
      </c>
      <c r="S198" s="298">
        <f>1933951.76233285-125805.44</f>
        <v>1808146.32233285</v>
      </c>
      <c r="T198" s="298">
        <v>1933951.7623328466</v>
      </c>
      <c r="U198" s="298">
        <v>1933951.7623328466</v>
      </c>
      <c r="V198" s="298">
        <v>1888212.2198394316</v>
      </c>
    </row>
    <row r="199" spans="1:23" s="299" customFormat="1" ht="15" customHeight="1" x14ac:dyDescent="0.25">
      <c r="A199" s="295" t="s">
        <v>587</v>
      </c>
      <c r="B199" s="295">
        <v>2</v>
      </c>
      <c r="C199" s="295">
        <v>2</v>
      </c>
      <c r="D199" s="295" t="s">
        <v>579</v>
      </c>
      <c r="E199" s="295" t="s">
        <v>580</v>
      </c>
      <c r="F199" s="295">
        <v>448</v>
      </c>
      <c r="G199" s="295" t="s">
        <v>25</v>
      </c>
      <c r="H199" s="295">
        <v>1</v>
      </c>
      <c r="I199" s="296">
        <v>14402</v>
      </c>
      <c r="J199" s="295">
        <v>1</v>
      </c>
      <c r="K199" s="295">
        <v>19</v>
      </c>
      <c r="L199" s="295">
        <v>1</v>
      </c>
      <c r="M199" s="295">
        <v>1</v>
      </c>
      <c r="N199" s="295" t="s">
        <v>581</v>
      </c>
      <c r="O199" s="295">
        <v>13</v>
      </c>
      <c r="P199" s="298">
        <v>4488</v>
      </c>
      <c r="Q199" s="298">
        <v>0</v>
      </c>
      <c r="R199" s="298">
        <f t="shared" si="9"/>
        <v>4488</v>
      </c>
      <c r="S199" s="298">
        <v>4488</v>
      </c>
      <c r="T199" s="298">
        <v>4158</v>
      </c>
      <c r="U199" s="298">
        <v>4158</v>
      </c>
      <c r="V199" s="298">
        <v>4158</v>
      </c>
    </row>
    <row r="200" spans="1:23" s="299" customFormat="1" ht="15" customHeight="1" x14ac:dyDescent="0.25">
      <c r="A200" s="295" t="s">
        <v>587</v>
      </c>
      <c r="B200" s="295">
        <v>2</v>
      </c>
      <c r="C200" s="295">
        <v>2</v>
      </c>
      <c r="D200" s="295" t="s">
        <v>579</v>
      </c>
      <c r="E200" s="295" t="s">
        <v>580</v>
      </c>
      <c r="F200" s="295">
        <v>448</v>
      </c>
      <c r="G200" s="295" t="s">
        <v>25</v>
      </c>
      <c r="H200" s="295">
        <v>1</v>
      </c>
      <c r="I200" s="296">
        <v>14406</v>
      </c>
      <c r="J200" s="295">
        <v>1</v>
      </c>
      <c r="K200" s="295">
        <v>19</v>
      </c>
      <c r="L200" s="295">
        <v>1</v>
      </c>
      <c r="M200" s="295">
        <v>1</v>
      </c>
      <c r="N200" s="295" t="s">
        <v>581</v>
      </c>
      <c r="O200" s="297">
        <v>13</v>
      </c>
      <c r="P200" s="298">
        <v>1134</v>
      </c>
      <c r="Q200" s="298">
        <v>0</v>
      </c>
      <c r="R200" s="298">
        <f t="shared" si="9"/>
        <v>1134</v>
      </c>
      <c r="S200" s="298">
        <v>1134</v>
      </c>
      <c r="T200" s="298">
        <f>931.5+13.5</f>
        <v>945</v>
      </c>
      <c r="U200" s="298">
        <f t="shared" ref="U200:V200" si="11">931.5+13.5</f>
        <v>945</v>
      </c>
      <c r="V200" s="298">
        <f t="shared" si="11"/>
        <v>945</v>
      </c>
    </row>
    <row r="201" spans="1:23" s="299" customFormat="1" ht="15" customHeight="1" x14ac:dyDescent="0.25">
      <c r="A201" s="295" t="s">
        <v>587</v>
      </c>
      <c r="B201" s="295">
        <v>2</v>
      </c>
      <c r="C201" s="295">
        <v>2</v>
      </c>
      <c r="D201" s="295" t="s">
        <v>579</v>
      </c>
      <c r="E201" s="295" t="s">
        <v>580</v>
      </c>
      <c r="F201" s="295">
        <v>448</v>
      </c>
      <c r="G201" s="295" t="s">
        <v>25</v>
      </c>
      <c r="H201" s="295">
        <v>1</v>
      </c>
      <c r="I201" s="296">
        <v>15101</v>
      </c>
      <c r="J201" s="295">
        <v>1</v>
      </c>
      <c r="K201" s="295">
        <v>19</v>
      </c>
      <c r="L201" s="295">
        <v>1</v>
      </c>
      <c r="M201" s="295">
        <v>1</v>
      </c>
      <c r="N201" s="295" t="s">
        <v>581</v>
      </c>
      <c r="O201" s="295">
        <v>13</v>
      </c>
      <c r="P201" s="298">
        <v>9626</v>
      </c>
      <c r="Q201" s="298">
        <v>0</v>
      </c>
      <c r="R201" s="298">
        <f t="shared" si="9"/>
        <v>9626</v>
      </c>
      <c r="S201" s="298">
        <v>9626</v>
      </c>
      <c r="T201" s="298">
        <v>7533.5300000000007</v>
      </c>
      <c r="U201" s="298">
        <v>7533.5300000000007</v>
      </c>
      <c r="V201" s="298">
        <v>7533.5300000000007</v>
      </c>
    </row>
    <row r="202" spans="1:23" s="299" customFormat="1" ht="15" customHeight="1" x14ac:dyDescent="0.25">
      <c r="A202" s="295" t="s">
        <v>587</v>
      </c>
      <c r="B202" s="295">
        <v>2</v>
      </c>
      <c r="C202" s="295">
        <v>2</v>
      </c>
      <c r="D202" s="295" t="s">
        <v>579</v>
      </c>
      <c r="E202" s="295" t="s">
        <v>580</v>
      </c>
      <c r="F202" s="295">
        <v>448</v>
      </c>
      <c r="G202" s="295" t="s">
        <v>25</v>
      </c>
      <c r="H202" s="295">
        <v>1</v>
      </c>
      <c r="I202" s="296">
        <v>15202</v>
      </c>
      <c r="J202" s="295">
        <v>1</v>
      </c>
      <c r="K202" s="295">
        <v>19</v>
      </c>
      <c r="L202" s="295">
        <v>1</v>
      </c>
      <c r="M202" s="295">
        <v>1</v>
      </c>
      <c r="N202" s="295" t="s">
        <v>581</v>
      </c>
      <c r="O202" s="297">
        <v>13</v>
      </c>
      <c r="P202" s="298">
        <v>0</v>
      </c>
      <c r="Q202" s="298">
        <v>104910.7</v>
      </c>
      <c r="R202" s="298">
        <f t="shared" si="9"/>
        <v>104910.7</v>
      </c>
      <c r="S202" s="298">
        <v>104910.7</v>
      </c>
      <c r="T202" s="298">
        <v>104910.7</v>
      </c>
      <c r="U202" s="298">
        <v>104910.7</v>
      </c>
      <c r="V202" s="298">
        <v>104910.7</v>
      </c>
    </row>
    <row r="203" spans="1:23" s="299" customFormat="1" ht="15" customHeight="1" x14ac:dyDescent="0.25">
      <c r="A203" s="295" t="s">
        <v>587</v>
      </c>
      <c r="B203" s="295">
        <v>2</v>
      </c>
      <c r="C203" s="295">
        <v>2</v>
      </c>
      <c r="D203" s="295" t="s">
        <v>579</v>
      </c>
      <c r="E203" s="295" t="s">
        <v>580</v>
      </c>
      <c r="F203" s="295">
        <v>448</v>
      </c>
      <c r="G203" s="295" t="s">
        <v>25</v>
      </c>
      <c r="H203" s="295">
        <v>1</v>
      </c>
      <c r="I203" s="296">
        <v>15901</v>
      </c>
      <c r="J203" s="295">
        <v>1</v>
      </c>
      <c r="K203" s="295">
        <v>19</v>
      </c>
      <c r="L203" s="295">
        <v>1</v>
      </c>
      <c r="M203" s="295">
        <v>1</v>
      </c>
      <c r="N203" s="295" t="s">
        <v>581</v>
      </c>
      <c r="O203" s="295">
        <v>13</v>
      </c>
      <c r="P203" s="298">
        <v>1988004</v>
      </c>
      <c r="Q203" s="298">
        <v>-10000</v>
      </c>
      <c r="R203" s="298">
        <f t="shared" si="9"/>
        <v>1978004</v>
      </c>
      <c r="S203" s="298">
        <v>1978004</v>
      </c>
      <c r="T203" s="298">
        <v>1983443.6099999999</v>
      </c>
      <c r="U203" s="298">
        <v>1983443.6099999999</v>
      </c>
      <c r="V203" s="298">
        <v>1983443.6099999999</v>
      </c>
    </row>
    <row r="204" spans="1:23" s="299" customFormat="1" ht="15" customHeight="1" x14ac:dyDescent="0.25">
      <c r="A204" s="295" t="s">
        <v>587</v>
      </c>
      <c r="B204" s="295">
        <v>2</v>
      </c>
      <c r="C204" s="295">
        <v>2</v>
      </c>
      <c r="D204" s="295" t="s">
        <v>579</v>
      </c>
      <c r="E204" s="295" t="s">
        <v>580</v>
      </c>
      <c r="F204" s="295">
        <v>448</v>
      </c>
      <c r="G204" s="295" t="s">
        <v>25</v>
      </c>
      <c r="H204" s="295">
        <v>1</v>
      </c>
      <c r="I204" s="296">
        <v>17102</v>
      </c>
      <c r="J204" s="295">
        <v>1</v>
      </c>
      <c r="K204" s="295">
        <v>19</v>
      </c>
      <c r="L204" s="295">
        <v>1</v>
      </c>
      <c r="M204" s="295">
        <v>1</v>
      </c>
      <c r="N204" s="295" t="s">
        <v>581</v>
      </c>
      <c r="O204" s="297">
        <v>13</v>
      </c>
      <c r="P204" s="298">
        <v>26400</v>
      </c>
      <c r="Q204" s="298">
        <f>-100-1000-2300+9000</f>
        <v>5600</v>
      </c>
      <c r="R204" s="298">
        <f t="shared" si="9"/>
        <v>32000</v>
      </c>
      <c r="S204" s="298">
        <f>23000+9000</f>
        <v>32000</v>
      </c>
      <c r="T204" s="298">
        <v>32000</v>
      </c>
      <c r="U204" s="298">
        <v>32000</v>
      </c>
      <c r="V204" s="298">
        <v>32000</v>
      </c>
    </row>
    <row r="205" spans="1:23" s="299" customFormat="1" ht="15" customHeight="1" x14ac:dyDescent="0.25">
      <c r="A205" s="295" t="s">
        <v>587</v>
      </c>
      <c r="B205" s="295">
        <v>2</v>
      </c>
      <c r="C205" s="295">
        <v>2</v>
      </c>
      <c r="D205" s="295" t="s">
        <v>579</v>
      </c>
      <c r="E205" s="295" t="s">
        <v>580</v>
      </c>
      <c r="F205" s="295">
        <v>448</v>
      </c>
      <c r="G205" s="295" t="s">
        <v>25</v>
      </c>
      <c r="H205" s="295">
        <v>1</v>
      </c>
      <c r="I205" s="296">
        <v>21101</v>
      </c>
      <c r="J205" s="295">
        <v>1</v>
      </c>
      <c r="K205" s="295">
        <v>19</v>
      </c>
      <c r="L205" s="295">
        <v>1</v>
      </c>
      <c r="M205" s="295">
        <v>1</v>
      </c>
      <c r="N205" s="295" t="s">
        <v>581</v>
      </c>
      <c r="O205" s="295">
        <v>13</v>
      </c>
      <c r="P205" s="298">
        <v>11432</v>
      </c>
      <c r="Q205" s="298">
        <v>4</v>
      </c>
      <c r="R205" s="298">
        <f t="shared" si="9"/>
        <v>11436</v>
      </c>
      <c r="S205" s="298">
        <v>4732.7276000000002</v>
      </c>
      <c r="T205" s="298">
        <v>4732.7276000000002</v>
      </c>
      <c r="U205" s="298">
        <v>4732.7276000000002</v>
      </c>
      <c r="V205" s="298">
        <v>4692.6715378101435</v>
      </c>
      <c r="W205" s="302"/>
    </row>
    <row r="206" spans="1:23" s="299" customFormat="1" ht="15" customHeight="1" x14ac:dyDescent="0.25">
      <c r="A206" s="295" t="s">
        <v>587</v>
      </c>
      <c r="B206" s="295">
        <v>2</v>
      </c>
      <c r="C206" s="295">
        <v>2</v>
      </c>
      <c r="D206" s="295" t="s">
        <v>579</v>
      </c>
      <c r="E206" s="295" t="s">
        <v>580</v>
      </c>
      <c r="F206" s="295">
        <v>448</v>
      </c>
      <c r="G206" s="295" t="s">
        <v>25</v>
      </c>
      <c r="H206" s="295">
        <v>1</v>
      </c>
      <c r="I206" s="296">
        <v>21201</v>
      </c>
      <c r="J206" s="295">
        <v>1</v>
      </c>
      <c r="K206" s="295">
        <v>19</v>
      </c>
      <c r="L206" s="295">
        <v>1</v>
      </c>
      <c r="M206" s="295">
        <v>1</v>
      </c>
      <c r="N206" s="295" t="s">
        <v>581</v>
      </c>
      <c r="O206" s="297">
        <v>13</v>
      </c>
      <c r="P206" s="298">
        <v>12162</v>
      </c>
      <c r="Q206" s="298">
        <v>-7500</v>
      </c>
      <c r="R206" s="298">
        <f t="shared" si="9"/>
        <v>4662</v>
      </c>
      <c r="S206" s="298">
        <v>13734.023599999999</v>
      </c>
      <c r="T206" s="298">
        <v>13734.023599999999</v>
      </c>
      <c r="U206" s="298">
        <v>13734.023599999999</v>
      </c>
      <c r="V206" s="298">
        <v>11292.615033785731</v>
      </c>
      <c r="W206" s="302"/>
    </row>
    <row r="207" spans="1:23" s="299" customFormat="1" ht="15" customHeight="1" x14ac:dyDescent="0.25">
      <c r="A207" s="295" t="s">
        <v>587</v>
      </c>
      <c r="B207" s="295">
        <v>2</v>
      </c>
      <c r="C207" s="295">
        <v>2</v>
      </c>
      <c r="D207" s="295" t="s">
        <v>579</v>
      </c>
      <c r="E207" s="295" t="s">
        <v>580</v>
      </c>
      <c r="F207" s="295">
        <v>448</v>
      </c>
      <c r="G207" s="295" t="s">
        <v>25</v>
      </c>
      <c r="H207" s="295">
        <v>1</v>
      </c>
      <c r="I207" s="296">
        <v>21801</v>
      </c>
      <c r="J207" s="295">
        <v>1</v>
      </c>
      <c r="K207" s="295">
        <v>19</v>
      </c>
      <c r="L207" s="295">
        <v>1</v>
      </c>
      <c r="M207" s="295">
        <v>1</v>
      </c>
      <c r="N207" s="295" t="s">
        <v>581</v>
      </c>
      <c r="O207" s="295">
        <v>13</v>
      </c>
      <c r="P207" s="298">
        <v>25784</v>
      </c>
      <c r="Q207" s="298">
        <f>-10000-384-3718</f>
        <v>-14102</v>
      </c>
      <c r="R207" s="298">
        <f t="shared" si="9"/>
        <v>11682</v>
      </c>
      <c r="S207" s="298">
        <v>11682</v>
      </c>
      <c r="T207" s="298">
        <v>11682</v>
      </c>
      <c r="U207" s="298">
        <v>11682</v>
      </c>
      <c r="V207" s="298">
        <v>11682</v>
      </c>
      <c r="W207" s="302"/>
    </row>
    <row r="208" spans="1:23" s="299" customFormat="1" ht="15" customHeight="1" x14ac:dyDescent="0.25">
      <c r="A208" s="295" t="s">
        <v>587</v>
      </c>
      <c r="B208" s="295">
        <v>2</v>
      </c>
      <c r="C208" s="295">
        <v>2</v>
      </c>
      <c r="D208" s="295" t="s">
        <v>579</v>
      </c>
      <c r="E208" s="295" t="s">
        <v>580</v>
      </c>
      <c r="F208" s="295">
        <v>448</v>
      </c>
      <c r="G208" s="295" t="s">
        <v>25</v>
      </c>
      <c r="H208" s="295">
        <v>1</v>
      </c>
      <c r="I208" s="296">
        <v>22101</v>
      </c>
      <c r="J208" s="295">
        <v>1</v>
      </c>
      <c r="K208" s="295">
        <v>19</v>
      </c>
      <c r="L208" s="295">
        <v>1</v>
      </c>
      <c r="M208" s="295">
        <v>1</v>
      </c>
      <c r="N208" s="295" t="s">
        <v>581</v>
      </c>
      <c r="O208" s="297">
        <v>13</v>
      </c>
      <c r="P208" s="298">
        <v>2752</v>
      </c>
      <c r="Q208" s="298">
        <f>-489.6-1446.54+1782.89</f>
        <v>-153.24999999999977</v>
      </c>
      <c r="R208" s="298">
        <f t="shared" si="9"/>
        <v>2598.75</v>
      </c>
      <c r="S208" s="298">
        <v>2598.7508874994255</v>
      </c>
      <c r="T208" s="298">
        <v>2598.7508874994255</v>
      </c>
      <c r="U208" s="298">
        <v>2598.7508874994255</v>
      </c>
      <c r="V208" s="298">
        <v>2598.7508874994255</v>
      </c>
      <c r="W208" s="302"/>
    </row>
    <row r="209" spans="1:23" s="299" customFormat="1" ht="15" customHeight="1" x14ac:dyDescent="0.25">
      <c r="A209" s="295" t="s">
        <v>587</v>
      </c>
      <c r="B209" s="295">
        <v>2</v>
      </c>
      <c r="C209" s="295">
        <v>2</v>
      </c>
      <c r="D209" s="295" t="s">
        <v>579</v>
      </c>
      <c r="E209" s="295" t="s">
        <v>580</v>
      </c>
      <c r="F209" s="295">
        <v>448</v>
      </c>
      <c r="G209" s="295" t="s">
        <v>25</v>
      </c>
      <c r="H209" s="295">
        <v>1</v>
      </c>
      <c r="I209" s="296">
        <v>24601</v>
      </c>
      <c r="J209" s="295">
        <v>1</v>
      </c>
      <c r="K209" s="295">
        <v>19</v>
      </c>
      <c r="L209" s="295">
        <v>1</v>
      </c>
      <c r="M209" s="295">
        <v>1</v>
      </c>
      <c r="N209" s="295" t="s">
        <v>581</v>
      </c>
      <c r="O209" s="297">
        <v>13</v>
      </c>
      <c r="P209" s="298">
        <v>0</v>
      </c>
      <c r="Q209" s="298">
        <v>0</v>
      </c>
      <c r="R209" s="298">
        <v>0</v>
      </c>
      <c r="S209" s="298">
        <v>533.09</v>
      </c>
      <c r="T209" s="298">
        <v>533.09</v>
      </c>
      <c r="U209" s="298">
        <v>533.09</v>
      </c>
      <c r="V209" s="298">
        <v>533.09</v>
      </c>
      <c r="W209" s="302"/>
    </row>
    <row r="210" spans="1:23" s="299" customFormat="1" ht="15" customHeight="1" x14ac:dyDescent="0.25">
      <c r="A210" s="295" t="s">
        <v>587</v>
      </c>
      <c r="B210" s="295">
        <v>2</v>
      </c>
      <c r="C210" s="295">
        <v>2</v>
      </c>
      <c r="D210" s="295" t="s">
        <v>579</v>
      </c>
      <c r="E210" s="295" t="s">
        <v>580</v>
      </c>
      <c r="F210" s="295">
        <v>448</v>
      </c>
      <c r="G210" s="295" t="s">
        <v>25</v>
      </c>
      <c r="H210" s="295">
        <v>1</v>
      </c>
      <c r="I210" s="296">
        <v>24801</v>
      </c>
      <c r="J210" s="295">
        <v>1</v>
      </c>
      <c r="K210" s="295">
        <v>19</v>
      </c>
      <c r="L210" s="295">
        <v>1</v>
      </c>
      <c r="M210" s="295">
        <v>1</v>
      </c>
      <c r="N210" s="295" t="s">
        <v>581</v>
      </c>
      <c r="O210" s="295">
        <v>13</v>
      </c>
      <c r="P210" s="298">
        <v>0</v>
      </c>
      <c r="Q210" s="298">
        <v>3400</v>
      </c>
      <c r="R210" s="298">
        <f>P210+Q210</f>
        <v>3400</v>
      </c>
      <c r="S210" s="298">
        <v>3363.9999999999995</v>
      </c>
      <c r="T210" s="298">
        <v>3363.9999999999995</v>
      </c>
      <c r="U210" s="298">
        <v>3363.9999999999995</v>
      </c>
      <c r="V210" s="298">
        <v>3363.9999999999995</v>
      </c>
      <c r="W210" s="302"/>
    </row>
    <row r="211" spans="1:23" s="299" customFormat="1" ht="15" customHeight="1" x14ac:dyDescent="0.25">
      <c r="A211" s="295" t="s">
        <v>587</v>
      </c>
      <c r="B211" s="295">
        <v>2</v>
      </c>
      <c r="C211" s="295">
        <v>2</v>
      </c>
      <c r="D211" s="295" t="s">
        <v>579</v>
      </c>
      <c r="E211" s="295" t="s">
        <v>580</v>
      </c>
      <c r="F211" s="295">
        <v>448</v>
      </c>
      <c r="G211" s="295" t="s">
        <v>25</v>
      </c>
      <c r="H211" s="295">
        <v>1</v>
      </c>
      <c r="I211" s="296">
        <v>24901</v>
      </c>
      <c r="J211" s="295">
        <v>1</v>
      </c>
      <c r="K211" s="295">
        <v>19</v>
      </c>
      <c r="L211" s="295">
        <v>1</v>
      </c>
      <c r="M211" s="295">
        <v>1</v>
      </c>
      <c r="N211" s="295" t="s">
        <v>581</v>
      </c>
      <c r="O211" s="295">
        <v>13</v>
      </c>
      <c r="P211" s="298"/>
      <c r="Q211" s="298">
        <v>89</v>
      </c>
      <c r="R211" s="298">
        <f>P211+Q211</f>
        <v>89</v>
      </c>
      <c r="S211" s="298">
        <v>88.995199999999997</v>
      </c>
      <c r="T211" s="298">
        <v>88.995199999999997</v>
      </c>
      <c r="U211" s="298">
        <v>88.995199999999997</v>
      </c>
      <c r="V211" s="298">
        <v>88.995199999999997</v>
      </c>
      <c r="W211" s="302"/>
    </row>
    <row r="212" spans="1:23" s="299" customFormat="1" ht="15" customHeight="1" x14ac:dyDescent="0.25">
      <c r="A212" s="295" t="s">
        <v>587</v>
      </c>
      <c r="B212" s="295">
        <v>2</v>
      </c>
      <c r="C212" s="295">
        <v>2</v>
      </c>
      <c r="D212" s="295" t="s">
        <v>579</v>
      </c>
      <c r="E212" s="295" t="s">
        <v>580</v>
      </c>
      <c r="F212" s="295">
        <v>448</v>
      </c>
      <c r="G212" s="295" t="s">
        <v>25</v>
      </c>
      <c r="H212" s="295">
        <v>1</v>
      </c>
      <c r="I212" s="296">
        <v>26101</v>
      </c>
      <c r="J212" s="295">
        <v>1</v>
      </c>
      <c r="K212" s="295">
        <v>19</v>
      </c>
      <c r="L212" s="295">
        <v>1</v>
      </c>
      <c r="M212" s="295">
        <v>1</v>
      </c>
      <c r="N212" s="295" t="s">
        <v>581</v>
      </c>
      <c r="O212" s="295">
        <v>13</v>
      </c>
      <c r="P212" s="298">
        <v>475910.45</v>
      </c>
      <c r="Q212" s="298">
        <f>150000-92895.67+58233.34</f>
        <v>115337.67</v>
      </c>
      <c r="R212" s="298">
        <f t="shared" si="9"/>
        <v>591248.12</v>
      </c>
      <c r="S212" s="298">
        <f>591560.478623548-312.36</f>
        <v>591248.11862354807</v>
      </c>
      <c r="T212" s="298">
        <f>591560.478623548-312.36</f>
        <v>591248.11862354807</v>
      </c>
      <c r="U212" s="298">
        <f>591560.478623548-312.36</f>
        <v>591248.11862354807</v>
      </c>
      <c r="V212" s="298">
        <v>549825.25611969561</v>
      </c>
      <c r="W212" s="302"/>
    </row>
    <row r="213" spans="1:23" s="299" customFormat="1" ht="15" customHeight="1" x14ac:dyDescent="0.25">
      <c r="A213" s="295" t="s">
        <v>587</v>
      </c>
      <c r="B213" s="295">
        <v>2</v>
      </c>
      <c r="C213" s="295">
        <v>2</v>
      </c>
      <c r="D213" s="295" t="s">
        <v>579</v>
      </c>
      <c r="E213" s="295" t="s">
        <v>580</v>
      </c>
      <c r="F213" s="295">
        <v>448</v>
      </c>
      <c r="G213" s="295" t="s">
        <v>25</v>
      </c>
      <c r="H213" s="295">
        <v>1</v>
      </c>
      <c r="I213" s="296">
        <v>26102</v>
      </c>
      <c r="J213" s="295">
        <v>1</v>
      </c>
      <c r="K213" s="295">
        <v>19</v>
      </c>
      <c r="L213" s="295">
        <v>1</v>
      </c>
      <c r="M213" s="295">
        <v>1</v>
      </c>
      <c r="N213" s="295" t="s">
        <v>581</v>
      </c>
      <c r="O213" s="297">
        <v>13</v>
      </c>
      <c r="P213" s="298">
        <v>1133</v>
      </c>
      <c r="Q213" s="298">
        <f>-633.75-499.25</f>
        <v>-1133</v>
      </c>
      <c r="R213" s="298">
        <f t="shared" si="9"/>
        <v>0</v>
      </c>
      <c r="S213" s="298">
        <v>0</v>
      </c>
      <c r="T213" s="298">
        <v>0</v>
      </c>
      <c r="U213" s="298">
        <v>0</v>
      </c>
      <c r="V213" s="298">
        <v>0</v>
      </c>
      <c r="W213" s="302"/>
    </row>
    <row r="214" spans="1:23" s="299" customFormat="1" ht="15" customHeight="1" x14ac:dyDescent="0.25">
      <c r="A214" s="295" t="s">
        <v>587</v>
      </c>
      <c r="B214" s="295">
        <v>2</v>
      </c>
      <c r="C214" s="295">
        <v>2</v>
      </c>
      <c r="D214" s="295" t="s">
        <v>579</v>
      </c>
      <c r="E214" s="295" t="s">
        <v>580</v>
      </c>
      <c r="F214" s="295">
        <v>448</v>
      </c>
      <c r="G214" s="295" t="s">
        <v>25</v>
      </c>
      <c r="H214" s="295">
        <v>1</v>
      </c>
      <c r="I214" s="296">
        <v>29201</v>
      </c>
      <c r="J214" s="295">
        <v>1</v>
      </c>
      <c r="K214" s="295">
        <v>19</v>
      </c>
      <c r="L214" s="295">
        <v>1</v>
      </c>
      <c r="M214" s="295">
        <v>1</v>
      </c>
      <c r="N214" s="295" t="s">
        <v>581</v>
      </c>
      <c r="O214" s="295">
        <v>13</v>
      </c>
      <c r="P214" s="298">
        <v>0</v>
      </c>
      <c r="Q214" s="298">
        <v>1076.72</v>
      </c>
      <c r="R214" s="298">
        <f>P214+Q214</f>
        <v>1076.72</v>
      </c>
      <c r="S214" s="298">
        <v>1891.3831999999998</v>
      </c>
      <c r="T214" s="298">
        <v>1891.3831999999998</v>
      </c>
      <c r="U214" s="298">
        <v>1891.3832</v>
      </c>
      <c r="V214" s="298">
        <v>1891.3832</v>
      </c>
      <c r="W214" s="302"/>
    </row>
    <row r="215" spans="1:23" s="299" customFormat="1" ht="15" customHeight="1" x14ac:dyDescent="0.25">
      <c r="A215" s="295" t="s">
        <v>587</v>
      </c>
      <c r="B215" s="295">
        <v>2</v>
      </c>
      <c r="C215" s="295">
        <v>2</v>
      </c>
      <c r="D215" s="295" t="s">
        <v>579</v>
      </c>
      <c r="E215" s="295" t="s">
        <v>580</v>
      </c>
      <c r="F215" s="295">
        <v>448</v>
      </c>
      <c r="G215" s="295" t="s">
        <v>25</v>
      </c>
      <c r="H215" s="295">
        <v>1</v>
      </c>
      <c r="I215" s="296">
        <v>29301</v>
      </c>
      <c r="J215" s="295">
        <v>1</v>
      </c>
      <c r="K215" s="295">
        <v>19</v>
      </c>
      <c r="L215" s="295">
        <v>1</v>
      </c>
      <c r="M215" s="295">
        <v>1</v>
      </c>
      <c r="N215" s="295" t="s">
        <v>581</v>
      </c>
      <c r="O215" s="295">
        <v>13</v>
      </c>
      <c r="P215" s="298">
        <v>0</v>
      </c>
      <c r="Q215" s="298">
        <v>6704.7999999999993</v>
      </c>
      <c r="R215" s="298">
        <f t="shared" si="9"/>
        <v>6704.7999999999993</v>
      </c>
      <c r="S215" s="298">
        <v>6704.7999999999993</v>
      </c>
      <c r="T215" s="298">
        <v>6704.7999999999993</v>
      </c>
      <c r="U215" s="298">
        <v>6704.7999999999993</v>
      </c>
      <c r="V215" s="298">
        <v>6704.7999999999993</v>
      </c>
      <c r="W215" s="302"/>
    </row>
    <row r="216" spans="1:23" s="299" customFormat="1" ht="15" customHeight="1" x14ac:dyDescent="0.25">
      <c r="A216" s="295" t="s">
        <v>587</v>
      </c>
      <c r="B216" s="295">
        <v>2</v>
      </c>
      <c r="C216" s="295">
        <v>2</v>
      </c>
      <c r="D216" s="295" t="s">
        <v>579</v>
      </c>
      <c r="E216" s="295" t="s">
        <v>580</v>
      </c>
      <c r="F216" s="295">
        <v>448</v>
      </c>
      <c r="G216" s="295" t="s">
        <v>25</v>
      </c>
      <c r="H216" s="295">
        <v>1</v>
      </c>
      <c r="I216" s="296">
        <v>29601</v>
      </c>
      <c r="J216" s="295">
        <v>1</v>
      </c>
      <c r="K216" s="295">
        <v>19</v>
      </c>
      <c r="L216" s="295">
        <v>1</v>
      </c>
      <c r="M216" s="295">
        <v>1</v>
      </c>
      <c r="N216" s="295" t="s">
        <v>581</v>
      </c>
      <c r="O216" s="297">
        <v>13</v>
      </c>
      <c r="P216" s="298">
        <v>20000</v>
      </c>
      <c r="Q216" s="298">
        <f>14591.39+455.6</f>
        <v>15046.99</v>
      </c>
      <c r="R216" s="298">
        <f t="shared" ref="R216:R279" si="12">P216+Q216</f>
        <v>35046.99</v>
      </c>
      <c r="S216" s="298">
        <v>35046.988800000006</v>
      </c>
      <c r="T216" s="298">
        <v>35046.988800000006</v>
      </c>
      <c r="U216" s="298">
        <v>35046.988800000006</v>
      </c>
      <c r="V216" s="298">
        <v>34685.857557646843</v>
      </c>
      <c r="W216" s="302"/>
    </row>
    <row r="217" spans="1:23" s="299" customFormat="1" ht="15" customHeight="1" x14ac:dyDescent="0.25">
      <c r="A217" s="295" t="s">
        <v>587</v>
      </c>
      <c r="B217" s="295">
        <v>2</v>
      </c>
      <c r="C217" s="295">
        <v>2</v>
      </c>
      <c r="D217" s="295" t="s">
        <v>579</v>
      </c>
      <c r="E217" s="295" t="s">
        <v>580</v>
      </c>
      <c r="F217" s="295">
        <v>448</v>
      </c>
      <c r="G217" s="295" t="s">
        <v>25</v>
      </c>
      <c r="H217" s="295">
        <v>1</v>
      </c>
      <c r="I217" s="296">
        <v>29801</v>
      </c>
      <c r="J217" s="295">
        <v>1</v>
      </c>
      <c r="K217" s="295">
        <v>19</v>
      </c>
      <c r="L217" s="295">
        <v>1</v>
      </c>
      <c r="M217" s="295">
        <v>1</v>
      </c>
      <c r="N217" s="295" t="s">
        <v>581</v>
      </c>
      <c r="O217" s="295">
        <v>13</v>
      </c>
      <c r="P217" s="298">
        <v>358</v>
      </c>
      <c r="Q217" s="298">
        <v>-1.02</v>
      </c>
      <c r="R217" s="298">
        <f t="shared" si="12"/>
        <v>356.98</v>
      </c>
      <c r="S217" s="298">
        <v>0</v>
      </c>
      <c r="T217" s="298">
        <v>0</v>
      </c>
      <c r="U217" s="298"/>
      <c r="V217" s="298"/>
      <c r="W217" s="302"/>
    </row>
    <row r="218" spans="1:23" s="299" customFormat="1" ht="15" customHeight="1" x14ac:dyDescent="0.25">
      <c r="A218" s="295" t="s">
        <v>587</v>
      </c>
      <c r="B218" s="295">
        <v>2</v>
      </c>
      <c r="C218" s="295">
        <v>2</v>
      </c>
      <c r="D218" s="295" t="s">
        <v>579</v>
      </c>
      <c r="E218" s="295" t="s">
        <v>580</v>
      </c>
      <c r="F218" s="295">
        <v>448</v>
      </c>
      <c r="G218" s="295" t="s">
        <v>25</v>
      </c>
      <c r="H218" s="295">
        <v>1</v>
      </c>
      <c r="I218" s="296">
        <v>31801</v>
      </c>
      <c r="J218" s="295">
        <v>1</v>
      </c>
      <c r="K218" s="295">
        <v>19</v>
      </c>
      <c r="L218" s="295">
        <v>1</v>
      </c>
      <c r="M218" s="295">
        <v>1</v>
      </c>
      <c r="N218" s="295" t="s">
        <v>581</v>
      </c>
      <c r="O218" s="297">
        <v>13</v>
      </c>
      <c r="P218" s="298">
        <v>1330</v>
      </c>
      <c r="Q218" s="298">
        <v>2402.48</v>
      </c>
      <c r="R218" s="298">
        <f t="shared" si="12"/>
        <v>3732.48</v>
      </c>
      <c r="S218" s="298">
        <v>3732.4799999999996</v>
      </c>
      <c r="T218" s="298">
        <v>3732.4799999999996</v>
      </c>
      <c r="U218" s="298">
        <v>3732.4799999999996</v>
      </c>
      <c r="V218" s="298">
        <v>3732.4799999999996</v>
      </c>
    </row>
    <row r="219" spans="1:23" s="299" customFormat="1" ht="15" customHeight="1" x14ac:dyDescent="0.25">
      <c r="A219" s="295" t="s">
        <v>587</v>
      </c>
      <c r="B219" s="295">
        <v>2</v>
      </c>
      <c r="C219" s="295">
        <v>2</v>
      </c>
      <c r="D219" s="295" t="s">
        <v>579</v>
      </c>
      <c r="E219" s="295" t="s">
        <v>580</v>
      </c>
      <c r="F219" s="295">
        <v>448</v>
      </c>
      <c r="G219" s="295" t="s">
        <v>25</v>
      </c>
      <c r="H219" s="295">
        <v>1</v>
      </c>
      <c r="I219" s="296">
        <v>33101</v>
      </c>
      <c r="J219" s="295">
        <v>1</v>
      </c>
      <c r="K219" s="295">
        <v>19</v>
      </c>
      <c r="L219" s="295">
        <v>1</v>
      </c>
      <c r="M219" s="295">
        <v>1</v>
      </c>
      <c r="N219" s="295" t="s">
        <v>581</v>
      </c>
      <c r="O219" s="295">
        <v>13</v>
      </c>
      <c r="P219" s="298">
        <v>0</v>
      </c>
      <c r="Q219" s="298">
        <v>234990.48</v>
      </c>
      <c r="R219" s="298">
        <f t="shared" si="12"/>
        <v>234990.48</v>
      </c>
      <c r="S219" s="298">
        <v>234990.47999999998</v>
      </c>
      <c r="T219" s="298">
        <v>234990.47999999998</v>
      </c>
      <c r="U219" s="298">
        <v>234990.47999999998</v>
      </c>
      <c r="V219" s="298">
        <v>206323.90978572521</v>
      </c>
    </row>
    <row r="220" spans="1:23" s="299" customFormat="1" ht="15" customHeight="1" x14ac:dyDescent="0.25">
      <c r="A220" s="295" t="s">
        <v>587</v>
      </c>
      <c r="B220" s="295">
        <v>2</v>
      </c>
      <c r="C220" s="295">
        <v>2</v>
      </c>
      <c r="D220" s="295" t="s">
        <v>579</v>
      </c>
      <c r="E220" s="295" t="s">
        <v>580</v>
      </c>
      <c r="F220" s="295">
        <v>448</v>
      </c>
      <c r="G220" s="295" t="s">
        <v>25</v>
      </c>
      <c r="H220" s="295">
        <v>1</v>
      </c>
      <c r="I220" s="296">
        <v>33301</v>
      </c>
      <c r="J220" s="295">
        <v>1</v>
      </c>
      <c r="K220" s="295">
        <v>19</v>
      </c>
      <c r="L220" s="295">
        <v>1</v>
      </c>
      <c r="M220" s="295">
        <v>1</v>
      </c>
      <c r="N220" s="295" t="s">
        <v>581</v>
      </c>
      <c r="O220" s="297">
        <v>13</v>
      </c>
      <c r="P220" s="298">
        <v>210</v>
      </c>
      <c r="Q220" s="298">
        <v>0</v>
      </c>
      <c r="R220" s="298">
        <f t="shared" si="12"/>
        <v>210</v>
      </c>
      <c r="S220" s="298">
        <v>0</v>
      </c>
      <c r="T220" s="298">
        <v>0</v>
      </c>
      <c r="U220" s="298">
        <v>0</v>
      </c>
      <c r="V220" s="298">
        <v>0</v>
      </c>
    </row>
    <row r="221" spans="1:23" s="299" customFormat="1" ht="15" customHeight="1" x14ac:dyDescent="0.25">
      <c r="A221" s="295" t="s">
        <v>587</v>
      </c>
      <c r="B221" s="295">
        <v>2</v>
      </c>
      <c r="C221" s="295">
        <v>2</v>
      </c>
      <c r="D221" s="295" t="s">
        <v>579</v>
      </c>
      <c r="E221" s="295" t="s">
        <v>580</v>
      </c>
      <c r="F221" s="295">
        <v>448</v>
      </c>
      <c r="G221" s="295" t="s">
        <v>25</v>
      </c>
      <c r="H221" s="295">
        <v>1</v>
      </c>
      <c r="I221" s="296">
        <v>33302</v>
      </c>
      <c r="J221" s="295">
        <v>1</v>
      </c>
      <c r="K221" s="295">
        <v>19</v>
      </c>
      <c r="L221" s="295">
        <v>1</v>
      </c>
      <c r="M221" s="295">
        <v>1</v>
      </c>
      <c r="N221" s="295" t="s">
        <v>581</v>
      </c>
      <c r="O221" s="295">
        <v>13</v>
      </c>
      <c r="P221" s="298">
        <v>21887</v>
      </c>
      <c r="Q221" s="298">
        <v>0</v>
      </c>
      <c r="R221" s="298">
        <f t="shared" si="12"/>
        <v>21887</v>
      </c>
      <c r="S221" s="298">
        <v>0</v>
      </c>
      <c r="T221" s="298">
        <v>0</v>
      </c>
      <c r="U221" s="298">
        <v>0</v>
      </c>
      <c r="V221" s="298">
        <v>0</v>
      </c>
    </row>
    <row r="222" spans="1:23" s="299" customFormat="1" ht="15" customHeight="1" x14ac:dyDescent="0.25">
      <c r="A222" s="295" t="s">
        <v>587</v>
      </c>
      <c r="B222" s="295">
        <v>2</v>
      </c>
      <c r="C222" s="295">
        <v>2</v>
      </c>
      <c r="D222" s="295" t="s">
        <v>579</v>
      </c>
      <c r="E222" s="295" t="s">
        <v>580</v>
      </c>
      <c r="F222" s="295">
        <v>448</v>
      </c>
      <c r="G222" s="295" t="s">
        <v>25</v>
      </c>
      <c r="H222" s="295">
        <v>1</v>
      </c>
      <c r="I222" s="296">
        <v>33603</v>
      </c>
      <c r="J222" s="295">
        <v>1</v>
      </c>
      <c r="K222" s="295">
        <v>19</v>
      </c>
      <c r="L222" s="295">
        <v>1</v>
      </c>
      <c r="M222" s="295">
        <v>1</v>
      </c>
      <c r="N222" s="295" t="s">
        <v>581</v>
      </c>
      <c r="O222" s="297">
        <v>13</v>
      </c>
      <c r="P222" s="298">
        <v>0</v>
      </c>
      <c r="Q222" s="298">
        <f>1688.12+747.88</f>
        <v>2436</v>
      </c>
      <c r="R222" s="298">
        <f t="shared" si="12"/>
        <v>2436</v>
      </c>
      <c r="S222" s="298">
        <v>2436</v>
      </c>
      <c r="T222" s="298">
        <v>2436</v>
      </c>
      <c r="U222" s="298">
        <v>2436</v>
      </c>
      <c r="V222" s="298">
        <v>2234.0013183042443</v>
      </c>
    </row>
    <row r="223" spans="1:23" s="299" customFormat="1" ht="15" customHeight="1" x14ac:dyDescent="0.25">
      <c r="A223" s="295" t="s">
        <v>587</v>
      </c>
      <c r="B223" s="295">
        <v>2</v>
      </c>
      <c r="C223" s="295">
        <v>2</v>
      </c>
      <c r="D223" s="295" t="s">
        <v>579</v>
      </c>
      <c r="E223" s="295" t="s">
        <v>580</v>
      </c>
      <c r="F223" s="295">
        <v>448</v>
      </c>
      <c r="G223" s="295" t="s">
        <v>25</v>
      </c>
      <c r="H223" s="295">
        <v>1</v>
      </c>
      <c r="I223" s="296">
        <v>34401</v>
      </c>
      <c r="J223" s="295">
        <v>1</v>
      </c>
      <c r="K223" s="295">
        <v>19</v>
      </c>
      <c r="L223" s="295">
        <v>1</v>
      </c>
      <c r="M223" s="295">
        <v>1</v>
      </c>
      <c r="N223" s="295" t="s">
        <v>581</v>
      </c>
      <c r="O223" s="297">
        <v>13</v>
      </c>
      <c r="P223" s="298">
        <v>83682</v>
      </c>
      <c r="Q223" s="298">
        <v>0</v>
      </c>
      <c r="R223" s="298">
        <f t="shared" si="12"/>
        <v>83682</v>
      </c>
      <c r="S223" s="298">
        <v>104858.606</v>
      </c>
      <c r="T223" s="298">
        <v>104858.606</v>
      </c>
      <c r="U223" s="298">
        <v>104858.606</v>
      </c>
      <c r="V223" s="298">
        <v>104858.606</v>
      </c>
    </row>
    <row r="224" spans="1:23" s="299" customFormat="1" ht="15" customHeight="1" x14ac:dyDescent="0.25">
      <c r="A224" s="295" t="s">
        <v>587</v>
      </c>
      <c r="B224" s="295">
        <v>2</v>
      </c>
      <c r="C224" s="295">
        <v>2</v>
      </c>
      <c r="D224" s="295" t="s">
        <v>579</v>
      </c>
      <c r="E224" s="295" t="s">
        <v>580</v>
      </c>
      <c r="F224" s="295">
        <v>448</v>
      </c>
      <c r="G224" s="295" t="s">
        <v>25</v>
      </c>
      <c r="H224" s="295">
        <v>1</v>
      </c>
      <c r="I224" s="296">
        <v>35302</v>
      </c>
      <c r="J224" s="295">
        <v>1</v>
      </c>
      <c r="K224" s="295">
        <v>19</v>
      </c>
      <c r="L224" s="295">
        <v>1</v>
      </c>
      <c r="M224" s="295">
        <v>1</v>
      </c>
      <c r="N224" s="295" t="s">
        <v>581</v>
      </c>
      <c r="O224" s="297">
        <v>13</v>
      </c>
      <c r="P224" s="298">
        <v>0</v>
      </c>
      <c r="Q224" s="298">
        <f>10000-290.03-7839.97</f>
        <v>1869.9999999999991</v>
      </c>
      <c r="R224" s="298">
        <f t="shared" si="12"/>
        <v>1869.9999999999991</v>
      </c>
      <c r="S224" s="298">
        <v>1870.0011999999999</v>
      </c>
      <c r="T224" s="298">
        <v>1870.0011999999999</v>
      </c>
      <c r="U224" s="298">
        <v>1870.0011999999999</v>
      </c>
      <c r="V224" s="298">
        <v>1870.0011999999999</v>
      </c>
    </row>
    <row r="225" spans="1:22" s="299" customFormat="1" ht="15" customHeight="1" x14ac:dyDescent="0.25">
      <c r="A225" s="295" t="s">
        <v>587</v>
      </c>
      <c r="B225" s="295">
        <v>2</v>
      </c>
      <c r="C225" s="295">
        <v>2</v>
      </c>
      <c r="D225" s="295" t="s">
        <v>579</v>
      </c>
      <c r="E225" s="295" t="s">
        <v>580</v>
      </c>
      <c r="F225" s="295">
        <v>448</v>
      </c>
      <c r="G225" s="295" t="s">
        <v>25</v>
      </c>
      <c r="H225" s="295">
        <v>1</v>
      </c>
      <c r="I225" s="296">
        <v>35501</v>
      </c>
      <c r="J225" s="295">
        <v>1</v>
      </c>
      <c r="K225" s="295">
        <v>19</v>
      </c>
      <c r="L225" s="295">
        <v>1</v>
      </c>
      <c r="M225" s="295">
        <v>1</v>
      </c>
      <c r="N225" s="295" t="s">
        <v>581</v>
      </c>
      <c r="O225" s="297">
        <v>13</v>
      </c>
      <c r="P225" s="298">
        <v>38291</v>
      </c>
      <c r="Q225" s="298">
        <f>-6705-9067.87-11928.73-1558.82</f>
        <v>-29260.42</v>
      </c>
      <c r="R225" s="298">
        <f t="shared" si="12"/>
        <v>9030.5800000000017</v>
      </c>
      <c r="S225" s="298">
        <v>9030.58</v>
      </c>
      <c r="T225" s="298">
        <v>9030.58</v>
      </c>
      <c r="U225" s="298">
        <v>9030.58</v>
      </c>
      <c r="V225" s="298">
        <v>8760.135744784151</v>
      </c>
    </row>
    <row r="226" spans="1:22" s="299" customFormat="1" ht="15" customHeight="1" x14ac:dyDescent="0.25">
      <c r="A226" s="295" t="s">
        <v>587</v>
      </c>
      <c r="B226" s="295">
        <v>2</v>
      </c>
      <c r="C226" s="295">
        <v>2</v>
      </c>
      <c r="D226" s="295" t="s">
        <v>579</v>
      </c>
      <c r="E226" s="295" t="s">
        <v>580</v>
      </c>
      <c r="F226" s="295">
        <v>448</v>
      </c>
      <c r="G226" s="295" t="s">
        <v>25</v>
      </c>
      <c r="H226" s="295">
        <v>1</v>
      </c>
      <c r="I226" s="296">
        <v>37101</v>
      </c>
      <c r="J226" s="295">
        <v>1</v>
      </c>
      <c r="K226" s="295">
        <v>19</v>
      </c>
      <c r="L226" s="295">
        <v>1</v>
      </c>
      <c r="M226" s="295">
        <v>1</v>
      </c>
      <c r="N226" s="295" t="s">
        <v>581</v>
      </c>
      <c r="O226" s="295">
        <v>13</v>
      </c>
      <c r="P226" s="298">
        <v>50000</v>
      </c>
      <c r="Q226" s="298">
        <f>66661.73+44946.94</f>
        <v>111608.67</v>
      </c>
      <c r="R226" s="298">
        <f t="shared" si="12"/>
        <v>161608.66999999998</v>
      </c>
      <c r="S226" s="298">
        <v>161608.66905595656</v>
      </c>
      <c r="T226" s="298">
        <v>161608.66905595656</v>
      </c>
      <c r="U226" s="298">
        <v>161608.66905595656</v>
      </c>
      <c r="V226" s="298">
        <v>116745.82866119947</v>
      </c>
    </row>
    <row r="227" spans="1:22" s="299" customFormat="1" ht="15" customHeight="1" x14ac:dyDescent="0.25">
      <c r="A227" s="295" t="s">
        <v>587</v>
      </c>
      <c r="B227" s="295">
        <v>2</v>
      </c>
      <c r="C227" s="295">
        <v>2</v>
      </c>
      <c r="D227" s="295" t="s">
        <v>579</v>
      </c>
      <c r="E227" s="295" t="s">
        <v>580</v>
      </c>
      <c r="F227" s="295">
        <v>448</v>
      </c>
      <c r="G227" s="295" t="s">
        <v>25</v>
      </c>
      <c r="H227" s="295">
        <v>1</v>
      </c>
      <c r="I227" s="296">
        <v>37201</v>
      </c>
      <c r="J227" s="295">
        <v>1</v>
      </c>
      <c r="K227" s="295">
        <v>19</v>
      </c>
      <c r="L227" s="295">
        <v>1</v>
      </c>
      <c r="M227" s="295">
        <v>1</v>
      </c>
      <c r="N227" s="295" t="s">
        <v>581</v>
      </c>
      <c r="O227" s="297">
        <v>13</v>
      </c>
      <c r="P227" s="298">
        <v>6000</v>
      </c>
      <c r="Q227" s="298">
        <f>3858+2043.33+197.42+197.42+197.42</f>
        <v>6493.59</v>
      </c>
      <c r="R227" s="298">
        <f t="shared" si="12"/>
        <v>12493.59</v>
      </c>
      <c r="S227" s="298">
        <v>12493.459200000001</v>
      </c>
      <c r="T227" s="298">
        <v>12493.459200000001</v>
      </c>
      <c r="U227" s="298">
        <v>12493.459200000001</v>
      </c>
      <c r="V227" s="298">
        <v>12493.459200000001</v>
      </c>
    </row>
    <row r="228" spans="1:22" s="299" customFormat="1" ht="15" customHeight="1" x14ac:dyDescent="0.25">
      <c r="A228" s="295" t="s">
        <v>587</v>
      </c>
      <c r="B228" s="295">
        <v>2</v>
      </c>
      <c r="C228" s="295">
        <v>2</v>
      </c>
      <c r="D228" s="295" t="s">
        <v>579</v>
      </c>
      <c r="E228" s="295" t="s">
        <v>580</v>
      </c>
      <c r="F228" s="295">
        <v>448</v>
      </c>
      <c r="G228" s="295" t="s">
        <v>25</v>
      </c>
      <c r="H228" s="295">
        <v>1</v>
      </c>
      <c r="I228" s="296">
        <v>37501</v>
      </c>
      <c r="J228" s="295">
        <v>1</v>
      </c>
      <c r="K228" s="295">
        <v>19</v>
      </c>
      <c r="L228" s="295">
        <v>1</v>
      </c>
      <c r="M228" s="295">
        <v>1</v>
      </c>
      <c r="N228" s="295" t="s">
        <v>581</v>
      </c>
      <c r="O228" s="295">
        <v>13</v>
      </c>
      <c r="P228" s="298">
        <v>154239</v>
      </c>
      <c r="Q228" s="298">
        <v>0</v>
      </c>
      <c r="R228" s="298">
        <f t="shared" si="12"/>
        <v>154239</v>
      </c>
      <c r="S228" s="298">
        <v>119184.43</v>
      </c>
      <c r="T228" s="298">
        <v>119184.43</v>
      </c>
      <c r="U228" s="298">
        <v>119184.43</v>
      </c>
      <c r="V228" s="298">
        <v>119184.43</v>
      </c>
    </row>
    <row r="229" spans="1:22" s="299" customFormat="1" ht="15" customHeight="1" x14ac:dyDescent="0.25">
      <c r="A229" s="295" t="s">
        <v>587</v>
      </c>
      <c r="B229" s="295">
        <v>2</v>
      </c>
      <c r="C229" s="295">
        <v>2</v>
      </c>
      <c r="D229" s="295" t="s">
        <v>579</v>
      </c>
      <c r="E229" s="295" t="s">
        <v>580</v>
      </c>
      <c r="F229" s="295">
        <v>448</v>
      </c>
      <c r="G229" s="295" t="s">
        <v>25</v>
      </c>
      <c r="H229" s="295">
        <v>1</v>
      </c>
      <c r="I229" s="296">
        <v>37502</v>
      </c>
      <c r="J229" s="295">
        <v>1</v>
      </c>
      <c r="K229" s="295">
        <v>19</v>
      </c>
      <c r="L229" s="295">
        <v>1</v>
      </c>
      <c r="M229" s="295">
        <v>1</v>
      </c>
      <c r="N229" s="295" t="s">
        <v>581</v>
      </c>
      <c r="O229" s="297">
        <v>13</v>
      </c>
      <c r="P229" s="298">
        <v>139953</v>
      </c>
      <c r="Q229" s="298">
        <v>-2118.69</v>
      </c>
      <c r="R229" s="298">
        <f t="shared" si="12"/>
        <v>137834.31</v>
      </c>
      <c r="S229" s="298">
        <v>129100</v>
      </c>
      <c r="T229" s="298">
        <v>129100</v>
      </c>
      <c r="U229" s="298">
        <v>129100</v>
      </c>
      <c r="V229" s="298">
        <v>129100</v>
      </c>
    </row>
    <row r="230" spans="1:22" s="299" customFormat="1" ht="15" customHeight="1" x14ac:dyDescent="0.25">
      <c r="A230" s="295" t="s">
        <v>587</v>
      </c>
      <c r="B230" s="295">
        <v>2</v>
      </c>
      <c r="C230" s="295">
        <v>2</v>
      </c>
      <c r="D230" s="295" t="s">
        <v>579</v>
      </c>
      <c r="E230" s="295" t="s">
        <v>580</v>
      </c>
      <c r="F230" s="295">
        <v>448</v>
      </c>
      <c r="G230" s="295" t="s">
        <v>25</v>
      </c>
      <c r="H230" s="295">
        <v>1</v>
      </c>
      <c r="I230" s="296">
        <v>37601</v>
      </c>
      <c r="J230" s="295">
        <v>1</v>
      </c>
      <c r="K230" s="295">
        <v>19</v>
      </c>
      <c r="L230" s="295">
        <v>1</v>
      </c>
      <c r="M230" s="295">
        <v>1</v>
      </c>
      <c r="N230" s="295" t="s">
        <v>581</v>
      </c>
      <c r="O230" s="295">
        <v>13</v>
      </c>
      <c r="P230" s="298">
        <v>24196</v>
      </c>
      <c r="Q230" s="298">
        <v>0</v>
      </c>
      <c r="R230" s="298">
        <f t="shared" si="12"/>
        <v>24196</v>
      </c>
      <c r="S230" s="298">
        <v>20170</v>
      </c>
      <c r="T230" s="298">
        <v>20170</v>
      </c>
      <c r="U230" s="298">
        <v>20170</v>
      </c>
      <c r="V230" s="298">
        <v>20170</v>
      </c>
    </row>
    <row r="231" spans="1:22" s="299" customFormat="1" ht="15" customHeight="1" x14ac:dyDescent="0.25">
      <c r="A231" s="295" t="s">
        <v>587</v>
      </c>
      <c r="B231" s="295">
        <v>2</v>
      </c>
      <c r="C231" s="295">
        <v>2</v>
      </c>
      <c r="D231" s="295" t="s">
        <v>579</v>
      </c>
      <c r="E231" s="295" t="s">
        <v>580</v>
      </c>
      <c r="F231" s="295">
        <v>448</v>
      </c>
      <c r="G231" s="295" t="s">
        <v>25</v>
      </c>
      <c r="H231" s="295">
        <v>1</v>
      </c>
      <c r="I231" s="296">
        <v>39201</v>
      </c>
      <c r="J231" s="295">
        <v>1</v>
      </c>
      <c r="K231" s="295">
        <v>19</v>
      </c>
      <c r="L231" s="295">
        <v>1</v>
      </c>
      <c r="M231" s="295">
        <v>1</v>
      </c>
      <c r="N231" s="295" t="s">
        <v>581</v>
      </c>
      <c r="O231" s="297">
        <v>13</v>
      </c>
      <c r="P231" s="298">
        <v>0</v>
      </c>
      <c r="Q231" s="298">
        <f>14724+14724</f>
        <v>29448</v>
      </c>
      <c r="R231" s="298">
        <f t="shared" si="12"/>
        <v>29448</v>
      </c>
      <c r="S231" s="298">
        <v>325919</v>
      </c>
      <c r="T231" s="298">
        <v>325919</v>
      </c>
      <c r="U231" s="298">
        <v>325919</v>
      </c>
      <c r="V231" s="298">
        <v>278424.10482799675</v>
      </c>
    </row>
    <row r="232" spans="1:22" s="299" customFormat="1" ht="15" customHeight="1" x14ac:dyDescent="0.25">
      <c r="A232" s="295" t="s">
        <v>587</v>
      </c>
      <c r="B232" s="295">
        <v>2</v>
      </c>
      <c r="C232" s="295">
        <v>2</v>
      </c>
      <c r="D232" s="295" t="s">
        <v>579</v>
      </c>
      <c r="E232" s="295" t="s">
        <v>580</v>
      </c>
      <c r="F232" s="295">
        <v>448</v>
      </c>
      <c r="G232" s="295" t="s">
        <v>25</v>
      </c>
      <c r="H232" s="295">
        <v>1</v>
      </c>
      <c r="I232" s="296">
        <v>37901</v>
      </c>
      <c r="J232" s="295">
        <v>1</v>
      </c>
      <c r="K232" s="295">
        <v>19</v>
      </c>
      <c r="L232" s="295">
        <v>1</v>
      </c>
      <c r="M232" s="295">
        <v>1</v>
      </c>
      <c r="N232" s="295" t="s">
        <v>581</v>
      </c>
      <c r="O232" s="295">
        <v>13</v>
      </c>
      <c r="P232" s="298">
        <v>13792</v>
      </c>
      <c r="Q232" s="298">
        <v>0</v>
      </c>
      <c r="R232" s="298">
        <f t="shared" si="12"/>
        <v>13792</v>
      </c>
      <c r="S232" s="298">
        <v>2347.002</v>
      </c>
      <c r="T232" s="298">
        <v>2807.0116000000003</v>
      </c>
      <c r="U232" s="298">
        <v>2807.0116000000003</v>
      </c>
      <c r="V232" s="298">
        <v>2807.0116000000003</v>
      </c>
    </row>
    <row r="233" spans="1:22" s="299" customFormat="1" ht="15" customHeight="1" x14ac:dyDescent="0.25">
      <c r="A233" s="295" t="s">
        <v>587</v>
      </c>
      <c r="B233" s="295">
        <v>2</v>
      </c>
      <c r="C233" s="295">
        <v>2</v>
      </c>
      <c r="D233" s="295" t="s">
        <v>579</v>
      </c>
      <c r="E233" s="295" t="s">
        <v>580</v>
      </c>
      <c r="F233" s="295">
        <v>448</v>
      </c>
      <c r="G233" s="295" t="s">
        <v>25</v>
      </c>
      <c r="H233" s="295">
        <v>1</v>
      </c>
      <c r="I233" s="296">
        <v>38101</v>
      </c>
      <c r="J233" s="295">
        <v>1</v>
      </c>
      <c r="K233" s="295">
        <v>19</v>
      </c>
      <c r="L233" s="295">
        <v>1</v>
      </c>
      <c r="M233" s="295">
        <v>1</v>
      </c>
      <c r="N233" s="295" t="s">
        <v>581</v>
      </c>
      <c r="O233" s="297">
        <v>13</v>
      </c>
      <c r="P233" s="298"/>
      <c r="Q233" s="298">
        <v>319.01</v>
      </c>
      <c r="R233" s="298">
        <f t="shared" si="12"/>
        <v>319.01</v>
      </c>
      <c r="S233" s="298">
        <v>319</v>
      </c>
      <c r="T233" s="298">
        <v>319</v>
      </c>
      <c r="U233" s="298">
        <v>319</v>
      </c>
      <c r="V233" s="298">
        <v>319</v>
      </c>
    </row>
    <row r="234" spans="1:22" s="299" customFormat="1" ht="15" customHeight="1" x14ac:dyDescent="0.25">
      <c r="A234" s="295" t="s">
        <v>587</v>
      </c>
      <c r="B234" s="295">
        <v>2</v>
      </c>
      <c r="C234" s="295">
        <v>2</v>
      </c>
      <c r="D234" s="295" t="s">
        <v>579</v>
      </c>
      <c r="E234" s="295" t="s">
        <v>580</v>
      </c>
      <c r="F234" s="295">
        <v>448</v>
      </c>
      <c r="G234" s="295" t="s">
        <v>25</v>
      </c>
      <c r="H234" s="295">
        <v>1</v>
      </c>
      <c r="I234" s="296">
        <v>38301</v>
      </c>
      <c r="J234" s="295">
        <v>1</v>
      </c>
      <c r="K234" s="295">
        <v>19</v>
      </c>
      <c r="L234" s="295">
        <v>1</v>
      </c>
      <c r="M234" s="295">
        <v>1</v>
      </c>
      <c r="N234" s="295" t="s">
        <v>581</v>
      </c>
      <c r="O234" s="295">
        <v>13</v>
      </c>
      <c r="P234" s="298">
        <v>0</v>
      </c>
      <c r="Q234" s="298">
        <f>3430.12+2915.88</f>
        <v>6346</v>
      </c>
      <c r="R234" s="298">
        <f t="shared" si="12"/>
        <v>6346</v>
      </c>
      <c r="S234" s="298">
        <v>6345.9991928553445</v>
      </c>
      <c r="T234" s="298">
        <v>6345.9991928553445</v>
      </c>
      <c r="U234" s="298">
        <v>6345.9991928553445</v>
      </c>
      <c r="V234" s="298">
        <v>6345.9991928553445</v>
      </c>
    </row>
    <row r="235" spans="1:22" s="299" customFormat="1" ht="15" customHeight="1" x14ac:dyDescent="0.25">
      <c r="A235" s="295" t="s">
        <v>587</v>
      </c>
      <c r="B235" s="295">
        <v>2</v>
      </c>
      <c r="C235" s="295">
        <v>2</v>
      </c>
      <c r="D235" s="295" t="s">
        <v>579</v>
      </c>
      <c r="E235" s="295" t="s">
        <v>580</v>
      </c>
      <c r="F235" s="295">
        <v>448</v>
      </c>
      <c r="G235" s="295" t="s">
        <v>25</v>
      </c>
      <c r="H235" s="295">
        <v>1</v>
      </c>
      <c r="I235" s="296">
        <v>29101</v>
      </c>
      <c r="J235" s="295">
        <v>1</v>
      </c>
      <c r="K235" s="295">
        <v>19</v>
      </c>
      <c r="L235" s="295">
        <v>1</v>
      </c>
      <c r="M235" s="295">
        <v>1</v>
      </c>
      <c r="N235" s="295" t="s">
        <v>581</v>
      </c>
      <c r="O235" s="295">
        <v>13</v>
      </c>
      <c r="P235" s="298">
        <v>0</v>
      </c>
      <c r="Q235" s="298">
        <v>0</v>
      </c>
      <c r="R235" s="298">
        <v>0</v>
      </c>
      <c r="S235" s="298">
        <v>10789.98</v>
      </c>
      <c r="T235" s="298">
        <v>10789.98</v>
      </c>
      <c r="U235" s="298">
        <v>10789.98</v>
      </c>
      <c r="V235" s="298">
        <v>10789.98</v>
      </c>
    </row>
    <row r="236" spans="1:22" s="299" customFormat="1" ht="15" customHeight="1" x14ac:dyDescent="0.25">
      <c r="A236" s="295" t="s">
        <v>587</v>
      </c>
      <c r="B236" s="295">
        <v>2</v>
      </c>
      <c r="C236" s="295">
        <v>2</v>
      </c>
      <c r="D236" s="295" t="s">
        <v>579</v>
      </c>
      <c r="E236" s="295" t="s">
        <v>580</v>
      </c>
      <c r="F236" s="295">
        <v>448</v>
      </c>
      <c r="G236" s="295" t="s">
        <v>25</v>
      </c>
      <c r="H236" s="295">
        <v>1</v>
      </c>
      <c r="I236" s="296">
        <v>51501</v>
      </c>
      <c r="J236" s="295">
        <v>1</v>
      </c>
      <c r="K236" s="295">
        <v>19</v>
      </c>
      <c r="L236" s="295">
        <v>1</v>
      </c>
      <c r="M236" s="295">
        <v>1</v>
      </c>
      <c r="N236" s="295" t="s">
        <v>581</v>
      </c>
      <c r="O236" s="295">
        <v>13</v>
      </c>
      <c r="P236" s="298"/>
      <c r="Q236" s="298">
        <v>194880</v>
      </c>
      <c r="R236" s="298">
        <f>P236+Q236</f>
        <v>194880</v>
      </c>
      <c r="S236" s="298">
        <v>194880</v>
      </c>
      <c r="T236" s="298">
        <v>194880</v>
      </c>
      <c r="U236" s="298">
        <v>194880</v>
      </c>
      <c r="V236" s="298">
        <v>194880</v>
      </c>
    </row>
    <row r="237" spans="1:22" s="299" customFormat="1" ht="15" customHeight="1" x14ac:dyDescent="0.25">
      <c r="A237" s="295" t="s">
        <v>587</v>
      </c>
      <c r="B237" s="295">
        <v>2</v>
      </c>
      <c r="C237" s="295">
        <v>2</v>
      </c>
      <c r="D237" s="295" t="s">
        <v>579</v>
      </c>
      <c r="E237" s="295" t="s">
        <v>580</v>
      </c>
      <c r="F237" s="295">
        <v>448</v>
      </c>
      <c r="G237" s="295" t="s">
        <v>25</v>
      </c>
      <c r="H237" s="295">
        <v>1</v>
      </c>
      <c r="I237" s="296">
        <v>51901</v>
      </c>
      <c r="J237" s="295">
        <v>1</v>
      </c>
      <c r="K237" s="295">
        <v>19</v>
      </c>
      <c r="L237" s="295">
        <v>1</v>
      </c>
      <c r="M237" s="295">
        <v>1</v>
      </c>
      <c r="N237" s="295" t="s">
        <v>581</v>
      </c>
      <c r="O237" s="295">
        <v>13</v>
      </c>
      <c r="P237" s="298"/>
      <c r="Q237" s="298">
        <v>2703860.24</v>
      </c>
      <c r="R237" s="298">
        <f>P237+Q237</f>
        <v>2703860.24</v>
      </c>
      <c r="S237" s="298">
        <v>1050507.6000000001</v>
      </c>
      <c r="T237" s="298">
        <v>1050507.6000000001</v>
      </c>
      <c r="U237" s="298">
        <v>1050507.6000000001</v>
      </c>
      <c r="V237" s="298">
        <v>0</v>
      </c>
    </row>
    <row r="238" spans="1:22" s="299" customFormat="1" ht="15" customHeight="1" x14ac:dyDescent="0.25">
      <c r="A238" s="295" t="s">
        <v>587</v>
      </c>
      <c r="B238" s="295">
        <v>2</v>
      </c>
      <c r="C238" s="295">
        <v>2</v>
      </c>
      <c r="D238" s="295" t="s">
        <v>579</v>
      </c>
      <c r="E238" s="295" t="s">
        <v>580</v>
      </c>
      <c r="F238" s="295">
        <v>448</v>
      </c>
      <c r="G238" s="295" t="s">
        <v>25</v>
      </c>
      <c r="H238" s="295">
        <v>1</v>
      </c>
      <c r="I238" s="296">
        <v>56401</v>
      </c>
      <c r="J238" s="295">
        <v>1</v>
      </c>
      <c r="K238" s="295">
        <v>19</v>
      </c>
      <c r="L238" s="295">
        <v>1</v>
      </c>
      <c r="M238" s="295">
        <v>1</v>
      </c>
      <c r="N238" s="295" t="s">
        <v>581</v>
      </c>
      <c r="O238" s="295">
        <v>13</v>
      </c>
      <c r="P238" s="298">
        <v>0</v>
      </c>
      <c r="Q238" s="298">
        <v>42950.154999999999</v>
      </c>
      <c r="R238" s="298">
        <f>P238+Q238</f>
        <v>42950.154999999999</v>
      </c>
      <c r="S238" s="298">
        <v>42950.16</v>
      </c>
      <c r="T238" s="298">
        <v>42950.16</v>
      </c>
      <c r="U238" s="298">
        <v>42950.16</v>
      </c>
      <c r="V238" s="298">
        <v>0</v>
      </c>
    </row>
    <row r="239" spans="1:22" s="299" customFormat="1" ht="15" customHeight="1" x14ac:dyDescent="0.25">
      <c r="A239" s="295" t="s">
        <v>587</v>
      </c>
      <c r="B239" s="295">
        <v>2</v>
      </c>
      <c r="C239" s="295">
        <v>2</v>
      </c>
      <c r="D239" s="295" t="s">
        <v>579</v>
      </c>
      <c r="E239" s="295" t="s">
        <v>580</v>
      </c>
      <c r="F239" s="295">
        <v>448</v>
      </c>
      <c r="G239" s="295" t="s">
        <v>25</v>
      </c>
      <c r="H239" s="295">
        <v>1</v>
      </c>
      <c r="I239" s="296">
        <v>61305</v>
      </c>
      <c r="J239" s="295">
        <v>1</v>
      </c>
      <c r="K239" s="295">
        <v>19</v>
      </c>
      <c r="L239" s="295">
        <v>1</v>
      </c>
      <c r="M239" s="295">
        <v>1</v>
      </c>
      <c r="N239" s="295" t="s">
        <v>581</v>
      </c>
      <c r="O239" s="295">
        <v>13</v>
      </c>
      <c r="P239" s="298"/>
      <c r="Q239" s="298">
        <v>119587.05</v>
      </c>
      <c r="R239" s="298">
        <f>P239+Q239</f>
        <v>119587.05</v>
      </c>
      <c r="S239" s="298">
        <v>119587.05</v>
      </c>
      <c r="T239" s="298">
        <v>119587.05</v>
      </c>
      <c r="U239" s="298">
        <v>119587.05</v>
      </c>
      <c r="V239" s="298">
        <v>119587.05</v>
      </c>
    </row>
    <row r="240" spans="1:22" s="299" customFormat="1" ht="15" customHeight="1" x14ac:dyDescent="0.25">
      <c r="A240" s="295" t="s">
        <v>587</v>
      </c>
      <c r="B240" s="295">
        <v>2</v>
      </c>
      <c r="C240" s="295">
        <v>2</v>
      </c>
      <c r="D240" s="295" t="s">
        <v>579</v>
      </c>
      <c r="E240" s="295" t="s">
        <v>580</v>
      </c>
      <c r="F240" s="295">
        <v>125</v>
      </c>
      <c r="G240" s="295" t="s">
        <v>25</v>
      </c>
      <c r="H240" s="295">
        <v>1</v>
      </c>
      <c r="I240" s="296">
        <v>61406</v>
      </c>
      <c r="J240" s="295">
        <v>1</v>
      </c>
      <c r="K240" s="295">
        <v>19</v>
      </c>
      <c r="L240" s="295">
        <v>1</v>
      </c>
      <c r="M240" s="295">
        <v>1</v>
      </c>
      <c r="N240" s="295" t="s">
        <v>581</v>
      </c>
      <c r="O240" s="295">
        <v>13</v>
      </c>
      <c r="P240" s="298">
        <f>3741609.28-0.12</f>
        <v>3741609.1599999997</v>
      </c>
      <c r="Q240" s="298">
        <f>5109200-1165942.72</f>
        <v>3943257.2800000003</v>
      </c>
      <c r="R240" s="298">
        <f>Q240+P240</f>
        <v>7684866.4399999995</v>
      </c>
      <c r="S240" s="298">
        <v>1539281.54</v>
      </c>
      <c r="T240" s="298">
        <v>1539281.57</v>
      </c>
      <c r="U240" s="298">
        <v>1539281.57</v>
      </c>
      <c r="V240" s="298">
        <v>1539281.57</v>
      </c>
    </row>
    <row r="241" spans="1:22" s="299" customFormat="1" ht="15" customHeight="1" x14ac:dyDescent="0.25">
      <c r="A241" s="295" t="s">
        <v>587</v>
      </c>
      <c r="B241" s="295">
        <v>2</v>
      </c>
      <c r="C241" s="295">
        <v>2</v>
      </c>
      <c r="D241" s="295" t="s">
        <v>579</v>
      </c>
      <c r="E241" s="295" t="s">
        <v>580</v>
      </c>
      <c r="F241" s="295">
        <v>125</v>
      </c>
      <c r="G241" s="295" t="s">
        <v>25</v>
      </c>
      <c r="H241" s="295">
        <v>1</v>
      </c>
      <c r="I241" s="296">
        <v>61406</v>
      </c>
      <c r="J241" s="295">
        <v>1</v>
      </c>
      <c r="K241" s="295">
        <v>19</v>
      </c>
      <c r="L241" s="295">
        <v>2</v>
      </c>
      <c r="M241" s="295">
        <v>5</v>
      </c>
      <c r="N241" s="295" t="s">
        <v>585</v>
      </c>
      <c r="O241" s="295">
        <v>13</v>
      </c>
      <c r="P241" s="298"/>
      <c r="Q241" s="298">
        <f>5227435-800000</f>
        <v>4427435</v>
      </c>
      <c r="R241" s="298">
        <f t="shared" ref="R241:R271" si="13">P241+Q241</f>
        <v>4427435</v>
      </c>
      <c r="S241" s="298">
        <v>1420683.14</v>
      </c>
      <c r="T241" s="298">
        <v>1420683.17</v>
      </c>
      <c r="U241" s="298">
        <v>1420683.17</v>
      </c>
      <c r="V241" s="298">
        <v>1420683.17</v>
      </c>
    </row>
    <row r="242" spans="1:22" s="299" customFormat="1" ht="15" customHeight="1" x14ac:dyDescent="0.25">
      <c r="A242" s="295" t="s">
        <v>587</v>
      </c>
      <c r="B242" s="295">
        <v>2</v>
      </c>
      <c r="C242" s="295">
        <v>2</v>
      </c>
      <c r="D242" s="295" t="s">
        <v>579</v>
      </c>
      <c r="E242" s="295" t="s">
        <v>580</v>
      </c>
      <c r="F242" s="295">
        <v>448</v>
      </c>
      <c r="G242" s="295" t="s">
        <v>25</v>
      </c>
      <c r="H242" s="295">
        <v>1</v>
      </c>
      <c r="I242" s="296">
        <v>61408</v>
      </c>
      <c r="J242" s="295">
        <v>1</v>
      </c>
      <c r="K242" s="295">
        <v>19</v>
      </c>
      <c r="L242" s="295">
        <v>1</v>
      </c>
      <c r="M242" s="295">
        <v>1</v>
      </c>
      <c r="N242" s="295" t="s">
        <v>581</v>
      </c>
      <c r="O242" s="295">
        <v>13</v>
      </c>
      <c r="P242" s="298"/>
      <c r="Q242" s="298">
        <v>1042054.09</v>
      </c>
      <c r="R242" s="298">
        <f t="shared" si="13"/>
        <v>1042054.09</v>
      </c>
      <c r="S242" s="298">
        <v>1042054</v>
      </c>
      <c r="T242" s="298">
        <v>1042054</v>
      </c>
      <c r="U242" s="298">
        <v>1042054</v>
      </c>
      <c r="V242" s="298">
        <v>1042054</v>
      </c>
    </row>
    <row r="243" spans="1:22" s="299" customFormat="1" ht="15" customHeight="1" x14ac:dyDescent="0.25">
      <c r="A243" s="295" t="s">
        <v>587</v>
      </c>
      <c r="B243" s="295">
        <v>2</v>
      </c>
      <c r="C243" s="295">
        <v>2</v>
      </c>
      <c r="D243" s="295" t="s">
        <v>579</v>
      </c>
      <c r="E243" s="295" t="s">
        <v>580</v>
      </c>
      <c r="F243" s="295">
        <v>448</v>
      </c>
      <c r="G243" s="295" t="s">
        <v>25</v>
      </c>
      <c r="H243" s="295">
        <v>1</v>
      </c>
      <c r="I243" s="296">
        <v>61408</v>
      </c>
      <c r="J243" s="295">
        <v>1</v>
      </c>
      <c r="K243" s="295">
        <v>19</v>
      </c>
      <c r="L243" s="295">
        <v>1</v>
      </c>
      <c r="M243" s="295">
        <v>1</v>
      </c>
      <c r="N243" s="295" t="s">
        <v>581</v>
      </c>
      <c r="O243" s="295">
        <v>13</v>
      </c>
      <c r="P243" s="298"/>
      <c r="Q243" s="298">
        <v>937100.7</v>
      </c>
      <c r="R243" s="298">
        <f t="shared" si="13"/>
        <v>937100.7</v>
      </c>
      <c r="S243" s="298">
        <v>905709.92</v>
      </c>
      <c r="T243" s="298">
        <v>902382.92</v>
      </c>
      <c r="U243" s="298">
        <v>902382.92</v>
      </c>
      <c r="V243" s="298">
        <v>902382.92</v>
      </c>
    </row>
    <row r="244" spans="1:22" s="299" customFormat="1" ht="15" customHeight="1" x14ac:dyDescent="0.25">
      <c r="A244" s="295" t="s">
        <v>587</v>
      </c>
      <c r="B244" s="295">
        <v>2</v>
      </c>
      <c r="C244" s="295">
        <v>2</v>
      </c>
      <c r="D244" s="295" t="s">
        <v>579</v>
      </c>
      <c r="E244" s="295" t="s">
        <v>580</v>
      </c>
      <c r="F244" s="295">
        <v>448</v>
      </c>
      <c r="G244" s="295" t="s">
        <v>25</v>
      </c>
      <c r="H244" s="295">
        <v>1</v>
      </c>
      <c r="I244" s="296">
        <v>61408</v>
      </c>
      <c r="J244" s="295">
        <v>1</v>
      </c>
      <c r="K244" s="295">
        <v>19</v>
      </c>
      <c r="L244" s="295">
        <v>1</v>
      </c>
      <c r="M244" s="295">
        <v>1</v>
      </c>
      <c r="N244" s="295" t="s">
        <v>581</v>
      </c>
      <c r="O244" s="295">
        <v>13</v>
      </c>
      <c r="P244" s="298"/>
      <c r="Q244" s="298">
        <v>3631342.09</v>
      </c>
      <c r="R244" s="298">
        <f t="shared" si="13"/>
        <v>3631342.09</v>
      </c>
      <c r="S244" s="298">
        <v>3112971.42</v>
      </c>
      <c r="T244" s="298">
        <v>3177931.45</v>
      </c>
      <c r="U244" s="298">
        <v>3177931.45</v>
      </c>
      <c r="V244" s="298">
        <v>3177931.45</v>
      </c>
    </row>
    <row r="245" spans="1:22" s="299" customFormat="1" ht="15" customHeight="1" x14ac:dyDescent="0.25">
      <c r="A245" s="295" t="s">
        <v>587</v>
      </c>
      <c r="B245" s="295">
        <v>2</v>
      </c>
      <c r="C245" s="295">
        <v>2</v>
      </c>
      <c r="D245" s="295" t="s">
        <v>579</v>
      </c>
      <c r="E245" s="295" t="s">
        <v>580</v>
      </c>
      <c r="F245" s="295">
        <v>448</v>
      </c>
      <c r="G245" s="295" t="s">
        <v>25</v>
      </c>
      <c r="H245" s="295">
        <v>1</v>
      </c>
      <c r="I245" s="296">
        <v>61408</v>
      </c>
      <c r="J245" s="295">
        <v>1</v>
      </c>
      <c r="K245" s="295">
        <v>19</v>
      </c>
      <c r="L245" s="295">
        <v>1</v>
      </c>
      <c r="M245" s="295">
        <v>1</v>
      </c>
      <c r="N245" s="295" t="s">
        <v>581</v>
      </c>
      <c r="O245" s="295">
        <v>13</v>
      </c>
      <c r="P245" s="298">
        <f>43363054-0.37</f>
        <v>43363053.630000003</v>
      </c>
      <c r="Q245" s="298">
        <f>19407103.96-38237544.15</f>
        <v>-18830440.189999998</v>
      </c>
      <c r="R245" s="298">
        <f t="shared" si="13"/>
        <v>24532613.440000005</v>
      </c>
      <c r="S245" s="298">
        <v>19396862.350000001</v>
      </c>
      <c r="T245" s="298">
        <v>18898751.379999999</v>
      </c>
      <c r="U245" s="298">
        <v>18898751.379999999</v>
      </c>
      <c r="V245" s="298">
        <v>18898751.379999999</v>
      </c>
    </row>
    <row r="246" spans="1:22" s="299" customFormat="1" ht="15" customHeight="1" x14ac:dyDescent="0.25">
      <c r="A246" s="295" t="s">
        <v>587</v>
      </c>
      <c r="B246" s="295">
        <v>2</v>
      </c>
      <c r="C246" s="295">
        <v>2</v>
      </c>
      <c r="D246" s="295" t="s">
        <v>579</v>
      </c>
      <c r="E246" s="295" t="s">
        <v>580</v>
      </c>
      <c r="F246" s="295">
        <v>125</v>
      </c>
      <c r="G246" s="295" t="s">
        <v>25</v>
      </c>
      <c r="H246" s="295">
        <v>1</v>
      </c>
      <c r="I246" s="296">
        <v>61408</v>
      </c>
      <c r="J246" s="295">
        <v>1</v>
      </c>
      <c r="K246" s="295">
        <v>19</v>
      </c>
      <c r="L246" s="295">
        <v>1</v>
      </c>
      <c r="M246" s="295">
        <v>1</v>
      </c>
      <c r="N246" s="295" t="s">
        <v>581</v>
      </c>
      <c r="O246" s="295">
        <v>13</v>
      </c>
      <c r="P246" s="298"/>
      <c r="Q246" s="298">
        <v>9968857.8499999996</v>
      </c>
      <c r="R246" s="298">
        <f t="shared" si="13"/>
        <v>9968857.8499999996</v>
      </c>
      <c r="S246" s="298">
        <v>5475647.0300000003</v>
      </c>
      <c r="T246" s="298">
        <v>5475647.3200000003</v>
      </c>
      <c r="U246" s="298">
        <v>5475647.3200000003</v>
      </c>
      <c r="V246" s="298">
        <v>5475647.3200000003</v>
      </c>
    </row>
    <row r="247" spans="1:22" s="299" customFormat="1" ht="15" customHeight="1" x14ac:dyDescent="0.25">
      <c r="A247" s="295" t="s">
        <v>587</v>
      </c>
      <c r="B247" s="295">
        <v>2</v>
      </c>
      <c r="C247" s="295">
        <v>2</v>
      </c>
      <c r="D247" s="295" t="s">
        <v>579</v>
      </c>
      <c r="E247" s="295" t="s">
        <v>580</v>
      </c>
      <c r="F247" s="295">
        <v>448</v>
      </c>
      <c r="G247" s="295" t="s">
        <v>25</v>
      </c>
      <c r="H247" s="295">
        <v>1</v>
      </c>
      <c r="I247" s="296">
        <v>61408</v>
      </c>
      <c r="J247" s="295">
        <v>1</v>
      </c>
      <c r="K247" s="295">
        <v>19</v>
      </c>
      <c r="L247" s="295">
        <v>2</v>
      </c>
      <c r="M247" s="295">
        <v>5</v>
      </c>
      <c r="N247" s="295" t="s">
        <v>588</v>
      </c>
      <c r="O247" s="295">
        <v>13</v>
      </c>
      <c r="P247" s="298">
        <v>1200000</v>
      </c>
      <c r="Q247" s="298">
        <v>981733.12</v>
      </c>
      <c r="R247" s="298">
        <f t="shared" si="13"/>
        <v>2181733.12</v>
      </c>
      <c r="S247" s="298">
        <v>950658.1</v>
      </c>
      <c r="T247" s="298">
        <v>936109.15</v>
      </c>
      <c r="U247" s="298">
        <v>936109.15</v>
      </c>
      <c r="V247" s="298">
        <v>936109.15</v>
      </c>
    </row>
    <row r="248" spans="1:22" s="299" customFormat="1" ht="15" customHeight="1" x14ac:dyDescent="0.25">
      <c r="A248" s="295" t="s">
        <v>587</v>
      </c>
      <c r="B248" s="295">
        <v>2</v>
      </c>
      <c r="C248" s="295">
        <v>2</v>
      </c>
      <c r="D248" s="295" t="s">
        <v>579</v>
      </c>
      <c r="E248" s="295" t="s">
        <v>580</v>
      </c>
      <c r="F248" s="295">
        <v>448</v>
      </c>
      <c r="G248" s="295" t="s">
        <v>25</v>
      </c>
      <c r="H248" s="295">
        <v>1</v>
      </c>
      <c r="I248" s="296">
        <v>61408</v>
      </c>
      <c r="J248" s="295">
        <v>1</v>
      </c>
      <c r="K248" s="295">
        <v>19</v>
      </c>
      <c r="L248" s="295">
        <v>2</v>
      </c>
      <c r="M248" s="295">
        <v>5</v>
      </c>
      <c r="N248" s="295" t="s">
        <v>589</v>
      </c>
      <c r="O248" s="295">
        <v>13</v>
      </c>
      <c r="P248" s="298">
        <v>36600000</v>
      </c>
      <c r="Q248" s="298">
        <f>-1419161.9-17840577.84</f>
        <v>-19259739.739999998</v>
      </c>
      <c r="R248" s="298">
        <f t="shared" si="13"/>
        <v>17340260.260000002</v>
      </c>
      <c r="S248" s="298">
        <v>4769897.1500000004</v>
      </c>
      <c r="T248" s="298">
        <v>4766897.12</v>
      </c>
      <c r="U248" s="298">
        <v>4766897.12</v>
      </c>
      <c r="V248" s="298">
        <v>4766897.12</v>
      </c>
    </row>
    <row r="249" spans="1:22" s="299" customFormat="1" ht="15" customHeight="1" x14ac:dyDescent="0.25">
      <c r="A249" s="295" t="s">
        <v>587</v>
      </c>
      <c r="B249" s="295">
        <v>2</v>
      </c>
      <c r="C249" s="295">
        <v>2</v>
      </c>
      <c r="D249" s="295" t="s">
        <v>579</v>
      </c>
      <c r="E249" s="295" t="s">
        <v>580</v>
      </c>
      <c r="F249" s="295">
        <v>448</v>
      </c>
      <c r="G249" s="295" t="s">
        <v>25</v>
      </c>
      <c r="H249" s="295">
        <v>1</v>
      </c>
      <c r="I249" s="296">
        <v>61408</v>
      </c>
      <c r="J249" s="295">
        <v>1</v>
      </c>
      <c r="K249" s="295">
        <v>19</v>
      </c>
      <c r="L249" s="295">
        <v>2</v>
      </c>
      <c r="M249" s="295">
        <v>5</v>
      </c>
      <c r="N249" s="295" t="s">
        <v>585</v>
      </c>
      <c r="O249" s="295">
        <v>13</v>
      </c>
      <c r="P249" s="298">
        <v>28500000</v>
      </c>
      <c r="Q249" s="298">
        <v>13580752.460000001</v>
      </c>
      <c r="R249" s="298">
        <f t="shared" si="13"/>
        <v>42080752.460000001</v>
      </c>
      <c r="S249" s="298">
        <v>19396862.329999998</v>
      </c>
      <c r="T249" s="298">
        <v>19167172.73</v>
      </c>
      <c r="U249" s="298">
        <v>19167172.73</v>
      </c>
      <c r="V249" s="298">
        <v>19167172.73</v>
      </c>
    </row>
    <row r="250" spans="1:22" s="299" customFormat="1" ht="15" customHeight="1" x14ac:dyDescent="0.25">
      <c r="A250" s="295" t="s">
        <v>587</v>
      </c>
      <c r="B250" s="295">
        <v>2</v>
      </c>
      <c r="C250" s="295">
        <v>2</v>
      </c>
      <c r="D250" s="295" t="s">
        <v>579</v>
      </c>
      <c r="E250" s="295" t="s">
        <v>580</v>
      </c>
      <c r="F250" s="295">
        <v>448</v>
      </c>
      <c r="G250" s="295" t="s">
        <v>25</v>
      </c>
      <c r="H250" s="295">
        <v>1</v>
      </c>
      <c r="I250" s="296">
        <v>61408</v>
      </c>
      <c r="J250" s="295">
        <v>1</v>
      </c>
      <c r="K250" s="295">
        <v>19</v>
      </c>
      <c r="L250" s="295">
        <v>2</v>
      </c>
      <c r="M250" s="295">
        <v>5</v>
      </c>
      <c r="N250" s="295" t="s">
        <v>590</v>
      </c>
      <c r="O250" s="295">
        <v>13</v>
      </c>
      <c r="P250" s="298"/>
      <c r="Q250" s="298">
        <v>55790025</v>
      </c>
      <c r="R250" s="298">
        <f t="shared" si="13"/>
        <v>55790025</v>
      </c>
      <c r="S250" s="298">
        <v>50779836.479999997</v>
      </c>
      <c r="T250" s="298">
        <v>43530693.200000003</v>
      </c>
      <c r="U250" s="298">
        <v>43530693.200000003</v>
      </c>
      <c r="V250" s="298">
        <v>43530693.189999998</v>
      </c>
    </row>
    <row r="251" spans="1:22" s="299" customFormat="1" ht="15" customHeight="1" x14ac:dyDescent="0.25">
      <c r="A251" s="295" t="s">
        <v>587</v>
      </c>
      <c r="B251" s="295">
        <v>2</v>
      </c>
      <c r="C251" s="295">
        <v>2</v>
      </c>
      <c r="D251" s="295" t="s">
        <v>579</v>
      </c>
      <c r="E251" s="295" t="s">
        <v>580</v>
      </c>
      <c r="F251" s="295">
        <v>448</v>
      </c>
      <c r="G251" s="295" t="s">
        <v>25</v>
      </c>
      <c r="H251" s="295">
        <v>1</v>
      </c>
      <c r="I251" s="296">
        <v>61408</v>
      </c>
      <c r="J251" s="295">
        <v>1</v>
      </c>
      <c r="K251" s="295">
        <v>19</v>
      </c>
      <c r="L251" s="295">
        <v>2</v>
      </c>
      <c r="M251" s="295">
        <v>5</v>
      </c>
      <c r="N251" s="295" t="s">
        <v>591</v>
      </c>
      <c r="O251" s="295">
        <v>13</v>
      </c>
      <c r="P251" s="298"/>
      <c r="Q251" s="298">
        <v>15236107.68</v>
      </c>
      <c r="R251" s="298">
        <f t="shared" si="13"/>
        <v>15236107.68</v>
      </c>
      <c r="S251" s="298">
        <v>5475647.0800000001</v>
      </c>
      <c r="T251" s="298">
        <v>5475646.7999999998</v>
      </c>
      <c r="U251" s="298">
        <v>5475646.7999999998</v>
      </c>
      <c r="V251" s="298">
        <v>5475646.7999999998</v>
      </c>
    </row>
    <row r="252" spans="1:22" s="299" customFormat="1" ht="15" customHeight="1" x14ac:dyDescent="0.25">
      <c r="A252" s="295" t="s">
        <v>587</v>
      </c>
      <c r="B252" s="295">
        <v>2</v>
      </c>
      <c r="C252" s="295">
        <v>2</v>
      </c>
      <c r="D252" s="295" t="s">
        <v>579</v>
      </c>
      <c r="E252" s="295" t="s">
        <v>580</v>
      </c>
      <c r="F252" s="295">
        <v>448</v>
      </c>
      <c r="G252" s="295" t="s">
        <v>25</v>
      </c>
      <c r="H252" s="295">
        <v>1</v>
      </c>
      <c r="I252" s="296">
        <v>61408</v>
      </c>
      <c r="J252" s="295">
        <v>1</v>
      </c>
      <c r="K252" s="295">
        <v>19</v>
      </c>
      <c r="L252" s="295">
        <v>2</v>
      </c>
      <c r="M252" s="295">
        <v>5</v>
      </c>
      <c r="N252" s="295" t="s">
        <v>592</v>
      </c>
      <c r="O252" s="295">
        <v>13</v>
      </c>
      <c r="P252" s="298"/>
      <c r="Q252" s="298">
        <v>10249222.9</v>
      </c>
      <c r="R252" s="298">
        <f t="shared" si="13"/>
        <v>10249222.9</v>
      </c>
      <c r="S252" s="298">
        <v>9879433.9499999993</v>
      </c>
      <c r="T252" s="298">
        <v>8450165.0600000005</v>
      </c>
      <c r="U252" s="298">
        <v>8450165.0600000005</v>
      </c>
      <c r="V252" s="298">
        <v>8450165.0600000005</v>
      </c>
    </row>
    <row r="253" spans="1:22" s="299" customFormat="1" ht="15" customHeight="1" x14ac:dyDescent="0.25">
      <c r="A253" s="295" t="s">
        <v>587</v>
      </c>
      <c r="B253" s="295">
        <v>2</v>
      </c>
      <c r="C253" s="295">
        <v>2</v>
      </c>
      <c r="D253" s="295" t="s">
        <v>579</v>
      </c>
      <c r="E253" s="295" t="s">
        <v>580</v>
      </c>
      <c r="F253" s="295">
        <v>448</v>
      </c>
      <c r="G253" s="295" t="s">
        <v>25</v>
      </c>
      <c r="H253" s="295">
        <v>1</v>
      </c>
      <c r="I253" s="296">
        <v>61409</v>
      </c>
      <c r="J253" s="295">
        <v>1</v>
      </c>
      <c r="K253" s="295">
        <v>19</v>
      </c>
      <c r="L253" s="295">
        <v>1</v>
      </c>
      <c r="M253" s="295">
        <v>1</v>
      </c>
      <c r="N253" s="295" t="s">
        <v>581</v>
      </c>
      <c r="O253" s="295">
        <v>13</v>
      </c>
      <c r="P253" s="298"/>
      <c r="Q253" s="298">
        <f>5692780.25-78632.08</f>
        <v>5614148.1699999999</v>
      </c>
      <c r="R253" s="298">
        <f t="shared" si="13"/>
        <v>5614148.1699999999</v>
      </c>
      <c r="S253" s="298">
        <v>5417072.8600000003</v>
      </c>
      <c r="T253" s="298">
        <v>5417072.8600000003</v>
      </c>
      <c r="U253" s="298">
        <v>5417072.8600000003</v>
      </c>
      <c r="V253" s="298">
        <v>5417072.8600000003</v>
      </c>
    </row>
    <row r="254" spans="1:22" s="299" customFormat="1" ht="15" customHeight="1" x14ac:dyDescent="0.25">
      <c r="A254" s="295" t="s">
        <v>587</v>
      </c>
      <c r="B254" s="295">
        <v>2</v>
      </c>
      <c r="C254" s="295">
        <v>2</v>
      </c>
      <c r="D254" s="295" t="s">
        <v>579</v>
      </c>
      <c r="E254" s="295" t="s">
        <v>580</v>
      </c>
      <c r="F254" s="295">
        <v>448</v>
      </c>
      <c r="G254" s="295" t="s">
        <v>25</v>
      </c>
      <c r="H254" s="295">
        <v>1</v>
      </c>
      <c r="I254" s="296">
        <v>61409</v>
      </c>
      <c r="J254" s="295">
        <v>1</v>
      </c>
      <c r="K254" s="295">
        <v>19</v>
      </c>
      <c r="L254" s="295">
        <v>1</v>
      </c>
      <c r="M254" s="295">
        <v>1</v>
      </c>
      <c r="N254" s="295" t="s">
        <v>581</v>
      </c>
      <c r="O254" s="295">
        <v>13</v>
      </c>
      <c r="P254" s="298">
        <v>1032132.2818003914</v>
      </c>
      <c r="Q254" s="298">
        <f>14537629.97-1350906.07</f>
        <v>13186723.9</v>
      </c>
      <c r="R254" s="298">
        <f t="shared" si="13"/>
        <v>14218856.181800392</v>
      </c>
      <c r="S254" s="298">
        <v>14218856.18</v>
      </c>
      <c r="T254" s="298">
        <v>13425707.92</v>
      </c>
      <c r="U254" s="298">
        <v>13425707.92</v>
      </c>
      <c r="V254" s="298">
        <v>13425707.92</v>
      </c>
    </row>
    <row r="255" spans="1:22" s="299" customFormat="1" ht="15" customHeight="1" x14ac:dyDescent="0.25">
      <c r="A255" s="295" t="s">
        <v>587</v>
      </c>
      <c r="B255" s="295">
        <v>2</v>
      </c>
      <c r="C255" s="295">
        <v>2</v>
      </c>
      <c r="D255" s="295" t="s">
        <v>579</v>
      </c>
      <c r="E255" s="295" t="s">
        <v>580</v>
      </c>
      <c r="F255" s="295">
        <v>448</v>
      </c>
      <c r="G255" s="295" t="s">
        <v>25</v>
      </c>
      <c r="H255" s="295">
        <v>1</v>
      </c>
      <c r="I255" s="296">
        <v>61409</v>
      </c>
      <c r="J255" s="295">
        <v>1</v>
      </c>
      <c r="K255" s="295">
        <v>19</v>
      </c>
      <c r="L255" s="295">
        <v>1</v>
      </c>
      <c r="M255" s="295">
        <v>1</v>
      </c>
      <c r="N255" s="295" t="s">
        <v>583</v>
      </c>
      <c r="O255" s="295">
        <v>13</v>
      </c>
      <c r="P255" s="298"/>
      <c r="Q255" s="298">
        <v>4031142.15</v>
      </c>
      <c r="R255" s="298">
        <f t="shared" si="13"/>
        <v>4031142.15</v>
      </c>
      <c r="S255" s="298">
        <v>2220783.87</v>
      </c>
      <c r="T255" s="298">
        <v>2220783.86</v>
      </c>
      <c r="U255" s="298">
        <v>2220783.86</v>
      </c>
      <c r="V255" s="298">
        <v>2220783.86</v>
      </c>
    </row>
    <row r="256" spans="1:22" s="299" customFormat="1" ht="15" customHeight="1" x14ac:dyDescent="0.25">
      <c r="A256" s="295" t="s">
        <v>587</v>
      </c>
      <c r="B256" s="295">
        <v>2</v>
      </c>
      <c r="C256" s="295">
        <v>2</v>
      </c>
      <c r="D256" s="295" t="s">
        <v>579</v>
      </c>
      <c r="E256" s="295" t="s">
        <v>580</v>
      </c>
      <c r="F256" s="295">
        <v>448</v>
      </c>
      <c r="G256" s="295" t="s">
        <v>25</v>
      </c>
      <c r="H256" s="295">
        <v>1</v>
      </c>
      <c r="I256" s="296">
        <v>61409</v>
      </c>
      <c r="J256" s="295">
        <v>1</v>
      </c>
      <c r="K256" s="295">
        <v>19</v>
      </c>
      <c r="L256" s="295">
        <v>1</v>
      </c>
      <c r="M256" s="295">
        <v>1</v>
      </c>
      <c r="N256" s="295" t="s">
        <v>581</v>
      </c>
      <c r="O256" s="295">
        <v>13</v>
      </c>
      <c r="P256" s="298"/>
      <c r="Q256" s="298">
        <f>1639458.05-200000-100000</f>
        <v>1339458.05</v>
      </c>
      <c r="R256" s="298">
        <f t="shared" si="13"/>
        <v>1339458.05</v>
      </c>
      <c r="S256" s="298">
        <v>1259309.44</v>
      </c>
      <c r="T256" s="298">
        <v>1259309.45</v>
      </c>
      <c r="U256" s="298">
        <v>1259309.45</v>
      </c>
      <c r="V256" s="298">
        <v>1259309.45</v>
      </c>
    </row>
    <row r="257" spans="1:24" s="299" customFormat="1" ht="15" customHeight="1" x14ac:dyDescent="0.25">
      <c r="A257" s="295" t="s">
        <v>587</v>
      </c>
      <c r="B257" s="295">
        <v>2</v>
      </c>
      <c r="C257" s="295">
        <v>2</v>
      </c>
      <c r="D257" s="295" t="s">
        <v>579</v>
      </c>
      <c r="E257" s="295" t="s">
        <v>580</v>
      </c>
      <c r="F257" s="295">
        <v>448</v>
      </c>
      <c r="G257" s="295" t="s">
        <v>25</v>
      </c>
      <c r="H257" s="295">
        <v>1</v>
      </c>
      <c r="I257" s="296">
        <v>61409</v>
      </c>
      <c r="J257" s="295">
        <v>1</v>
      </c>
      <c r="K257" s="295">
        <v>19</v>
      </c>
      <c r="L257" s="295">
        <v>2</v>
      </c>
      <c r="M257" s="295">
        <v>5</v>
      </c>
      <c r="N257" s="295" t="s">
        <v>589</v>
      </c>
      <c r="O257" s="295">
        <v>13</v>
      </c>
      <c r="P257" s="298">
        <v>0</v>
      </c>
      <c r="Q257" s="298">
        <v>8125609.29</v>
      </c>
      <c r="R257" s="298">
        <f t="shared" si="13"/>
        <v>8125609.29</v>
      </c>
      <c r="S257" s="298">
        <v>8125609.29</v>
      </c>
      <c r="T257" s="298">
        <v>8125609.29</v>
      </c>
      <c r="U257" s="298">
        <v>8125609.29</v>
      </c>
      <c r="V257" s="298">
        <v>8125609.29</v>
      </c>
    </row>
    <row r="258" spans="1:24" s="299" customFormat="1" ht="15" customHeight="1" x14ac:dyDescent="0.25">
      <c r="A258" s="295" t="s">
        <v>587</v>
      </c>
      <c r="B258" s="295">
        <v>2</v>
      </c>
      <c r="C258" s="295">
        <v>2</v>
      </c>
      <c r="D258" s="295" t="s">
        <v>579</v>
      </c>
      <c r="E258" s="295" t="s">
        <v>580</v>
      </c>
      <c r="F258" s="295">
        <v>448</v>
      </c>
      <c r="G258" s="295" t="s">
        <v>25</v>
      </c>
      <c r="H258" s="295">
        <v>1</v>
      </c>
      <c r="I258" s="296">
        <v>61409</v>
      </c>
      <c r="J258" s="295">
        <v>1</v>
      </c>
      <c r="K258" s="295">
        <v>19</v>
      </c>
      <c r="L258" s="295">
        <v>2</v>
      </c>
      <c r="M258" s="295">
        <v>5</v>
      </c>
      <c r="N258" s="295" t="s">
        <v>585</v>
      </c>
      <c r="O258" s="295">
        <v>13</v>
      </c>
      <c r="P258" s="298">
        <v>0</v>
      </c>
      <c r="Q258" s="298">
        <f>14218856.18-4419279.46</f>
        <v>9799576.7199999988</v>
      </c>
      <c r="R258" s="298">
        <f t="shared" si="13"/>
        <v>9799576.7199999988</v>
      </c>
      <c r="S258" s="298">
        <v>14218856.18</v>
      </c>
      <c r="T258" s="298">
        <v>13425707.93</v>
      </c>
      <c r="U258" s="298">
        <v>13425707.93</v>
      </c>
      <c r="V258" s="298">
        <v>13425707.93</v>
      </c>
    </row>
    <row r="259" spans="1:24" s="299" customFormat="1" ht="15" customHeight="1" x14ac:dyDescent="0.25">
      <c r="A259" s="295" t="s">
        <v>587</v>
      </c>
      <c r="B259" s="295">
        <v>2</v>
      </c>
      <c r="C259" s="295">
        <v>2</v>
      </c>
      <c r="D259" s="295" t="s">
        <v>579</v>
      </c>
      <c r="E259" s="295" t="s">
        <v>580</v>
      </c>
      <c r="F259" s="295">
        <v>448</v>
      </c>
      <c r="G259" s="295" t="s">
        <v>25</v>
      </c>
      <c r="H259" s="295">
        <v>1</v>
      </c>
      <c r="I259" s="296">
        <v>61409</v>
      </c>
      <c r="J259" s="295">
        <v>1</v>
      </c>
      <c r="K259" s="295">
        <v>19</v>
      </c>
      <c r="L259" s="295">
        <v>2</v>
      </c>
      <c r="M259" s="295">
        <v>5</v>
      </c>
      <c r="N259" s="295" t="s">
        <v>591</v>
      </c>
      <c r="O259" s="295">
        <v>13</v>
      </c>
      <c r="P259" s="298">
        <v>0</v>
      </c>
      <c r="Q259" s="298">
        <v>2220783.89</v>
      </c>
      <c r="R259" s="298">
        <f t="shared" si="13"/>
        <v>2220783.89</v>
      </c>
      <c r="S259" s="298">
        <v>2220783.9</v>
      </c>
      <c r="T259" s="298">
        <v>2220783.9</v>
      </c>
      <c r="U259" s="298">
        <v>2220783.9</v>
      </c>
      <c r="V259" s="298">
        <v>2220783.9</v>
      </c>
    </row>
    <row r="260" spans="1:24" s="299" customFormat="1" ht="15" customHeight="1" x14ac:dyDescent="0.25">
      <c r="A260" s="295" t="s">
        <v>587</v>
      </c>
      <c r="B260" s="295">
        <v>2</v>
      </c>
      <c r="C260" s="295">
        <v>2</v>
      </c>
      <c r="D260" s="295" t="s">
        <v>579</v>
      </c>
      <c r="E260" s="295" t="s">
        <v>580</v>
      </c>
      <c r="F260" s="295">
        <v>448</v>
      </c>
      <c r="G260" s="295" t="s">
        <v>25</v>
      </c>
      <c r="H260" s="295">
        <v>1</v>
      </c>
      <c r="I260" s="296">
        <v>61409</v>
      </c>
      <c r="J260" s="295">
        <v>1</v>
      </c>
      <c r="K260" s="295">
        <v>19</v>
      </c>
      <c r="L260" s="295">
        <v>2</v>
      </c>
      <c r="M260" s="295">
        <v>5</v>
      </c>
      <c r="N260" s="295" t="s">
        <v>593</v>
      </c>
      <c r="O260" s="295">
        <v>13</v>
      </c>
      <c r="P260" s="298">
        <v>0</v>
      </c>
      <c r="Q260" s="298">
        <f>1639458.05-380148.61</f>
        <v>1259309.44</v>
      </c>
      <c r="R260" s="298">
        <f t="shared" si="13"/>
        <v>1259309.44</v>
      </c>
      <c r="S260" s="298">
        <v>1259309.44</v>
      </c>
      <c r="T260" s="298">
        <v>1259309.44</v>
      </c>
      <c r="U260" s="298">
        <v>1259309.44</v>
      </c>
      <c r="V260" s="298">
        <v>1259309.44</v>
      </c>
    </row>
    <row r="261" spans="1:24" s="299" customFormat="1" ht="15" customHeight="1" x14ac:dyDescent="0.25">
      <c r="A261" s="295" t="s">
        <v>587</v>
      </c>
      <c r="B261" s="295">
        <v>2</v>
      </c>
      <c r="C261" s="295">
        <v>2</v>
      </c>
      <c r="D261" s="295" t="s">
        <v>579</v>
      </c>
      <c r="E261" s="295" t="s">
        <v>580</v>
      </c>
      <c r="F261" s="295">
        <v>448</v>
      </c>
      <c r="G261" s="295" t="s">
        <v>25</v>
      </c>
      <c r="H261" s="295">
        <v>1</v>
      </c>
      <c r="I261" s="296">
        <v>61409</v>
      </c>
      <c r="J261" s="295">
        <v>1</v>
      </c>
      <c r="K261" s="295">
        <v>19</v>
      </c>
      <c r="L261" s="295">
        <v>2</v>
      </c>
      <c r="M261" s="295">
        <v>5</v>
      </c>
      <c r="N261" s="295" t="s">
        <v>594</v>
      </c>
      <c r="O261" s="295">
        <v>13</v>
      </c>
      <c r="P261" s="298">
        <v>0</v>
      </c>
      <c r="Q261" s="298">
        <f>45784645.29-13159280.45</f>
        <v>32625364.84</v>
      </c>
      <c r="R261" s="298">
        <f t="shared" si="13"/>
        <v>32625364.84</v>
      </c>
      <c r="S261" s="298">
        <v>32625364.84</v>
      </c>
      <c r="T261" s="298">
        <v>0</v>
      </c>
      <c r="U261" s="298">
        <v>0</v>
      </c>
      <c r="V261" s="298">
        <v>0</v>
      </c>
    </row>
    <row r="262" spans="1:24" s="299" customFormat="1" ht="15" customHeight="1" x14ac:dyDescent="0.25">
      <c r="A262" s="295" t="s">
        <v>587</v>
      </c>
      <c r="B262" s="295">
        <v>2</v>
      </c>
      <c r="C262" s="295">
        <v>2</v>
      </c>
      <c r="D262" s="295" t="s">
        <v>579</v>
      </c>
      <c r="E262" s="295" t="s">
        <v>580</v>
      </c>
      <c r="F262" s="295">
        <v>448</v>
      </c>
      <c r="G262" s="295" t="s">
        <v>25</v>
      </c>
      <c r="H262" s="295">
        <v>1</v>
      </c>
      <c r="I262" s="296">
        <v>61424</v>
      </c>
      <c r="J262" s="295">
        <v>1</v>
      </c>
      <c r="K262" s="295">
        <v>19</v>
      </c>
      <c r="L262" s="295">
        <v>2</v>
      </c>
      <c r="M262" s="295">
        <v>5</v>
      </c>
      <c r="N262" s="295" t="s">
        <v>592</v>
      </c>
      <c r="O262" s="295">
        <v>13</v>
      </c>
      <c r="P262" s="298"/>
      <c r="Q262" s="298">
        <v>179810.92</v>
      </c>
      <c r="R262" s="298">
        <f t="shared" si="13"/>
        <v>179810.92</v>
      </c>
      <c r="S262" s="298">
        <v>179810.92</v>
      </c>
      <c r="T262" s="298">
        <v>72599.649999999994</v>
      </c>
      <c r="U262" s="298">
        <v>72599.649999999994</v>
      </c>
      <c r="V262" s="298">
        <v>72599.649999999994</v>
      </c>
    </row>
    <row r="263" spans="1:24" s="299" customFormat="1" ht="15" customHeight="1" x14ac:dyDescent="0.25">
      <c r="A263" s="295" t="s">
        <v>587</v>
      </c>
      <c r="B263" s="295">
        <v>2</v>
      </c>
      <c r="C263" s="295">
        <v>2</v>
      </c>
      <c r="D263" s="295" t="s">
        <v>579</v>
      </c>
      <c r="E263" s="295" t="s">
        <v>580</v>
      </c>
      <c r="F263" s="295">
        <v>448</v>
      </c>
      <c r="G263" s="295" t="s">
        <v>25</v>
      </c>
      <c r="H263" s="295">
        <v>1</v>
      </c>
      <c r="I263" s="296">
        <v>61424</v>
      </c>
      <c r="J263" s="295">
        <v>1</v>
      </c>
      <c r="K263" s="295">
        <v>19</v>
      </c>
      <c r="L263" s="295">
        <v>2</v>
      </c>
      <c r="M263" s="295">
        <v>5</v>
      </c>
      <c r="N263" s="295" t="s">
        <v>594</v>
      </c>
      <c r="O263" s="295">
        <v>13</v>
      </c>
      <c r="P263" s="298"/>
      <c r="Q263" s="298">
        <v>398127.35</v>
      </c>
      <c r="R263" s="298">
        <f t="shared" si="13"/>
        <v>398127.35</v>
      </c>
      <c r="S263" s="298">
        <v>0</v>
      </c>
      <c r="T263" s="298">
        <v>8728.6299999999992</v>
      </c>
      <c r="U263" s="298">
        <v>8728.6299999999992</v>
      </c>
      <c r="V263" s="298">
        <v>8728.6299999999992</v>
      </c>
    </row>
    <row r="264" spans="1:24" s="299" customFormat="1" ht="15" customHeight="1" x14ac:dyDescent="0.25">
      <c r="A264" s="295" t="s">
        <v>587</v>
      </c>
      <c r="B264" s="295">
        <v>2</v>
      </c>
      <c r="C264" s="295">
        <v>2</v>
      </c>
      <c r="D264" s="295" t="s">
        <v>579</v>
      </c>
      <c r="E264" s="295" t="s">
        <v>580</v>
      </c>
      <c r="F264" s="295">
        <v>448</v>
      </c>
      <c r="G264" s="295" t="s">
        <v>25</v>
      </c>
      <c r="H264" s="295">
        <v>1</v>
      </c>
      <c r="I264" s="296">
        <v>61425</v>
      </c>
      <c r="J264" s="295">
        <v>1</v>
      </c>
      <c r="K264" s="295">
        <v>19</v>
      </c>
      <c r="L264" s="295">
        <v>1</v>
      </c>
      <c r="M264" s="295">
        <v>1</v>
      </c>
      <c r="N264" s="295" t="s">
        <v>581</v>
      </c>
      <c r="O264" s="295">
        <v>13</v>
      </c>
      <c r="P264" s="298"/>
      <c r="Q264" s="298">
        <v>75927.37</v>
      </c>
      <c r="R264" s="298">
        <f t="shared" si="13"/>
        <v>75927.37</v>
      </c>
      <c r="S264" s="298">
        <v>90603.19</v>
      </c>
      <c r="T264" s="298">
        <v>75927.39</v>
      </c>
      <c r="U264" s="298">
        <v>75927.39</v>
      </c>
      <c r="V264" s="298">
        <v>75927.39</v>
      </c>
    </row>
    <row r="265" spans="1:24" s="299" customFormat="1" ht="15" customHeight="1" x14ac:dyDescent="0.25">
      <c r="A265" s="295" t="s">
        <v>587</v>
      </c>
      <c r="B265" s="295">
        <v>2</v>
      </c>
      <c r="C265" s="295">
        <v>2</v>
      </c>
      <c r="D265" s="295" t="s">
        <v>579</v>
      </c>
      <c r="E265" s="295" t="s">
        <v>580</v>
      </c>
      <c r="F265" s="295">
        <v>448</v>
      </c>
      <c r="G265" s="295" t="s">
        <v>25</v>
      </c>
      <c r="H265" s="295">
        <v>1</v>
      </c>
      <c r="I265" s="296">
        <v>61425</v>
      </c>
      <c r="J265" s="295">
        <v>1</v>
      </c>
      <c r="K265" s="295">
        <v>19</v>
      </c>
      <c r="L265" s="295">
        <v>1</v>
      </c>
      <c r="M265" s="295">
        <v>1</v>
      </c>
      <c r="N265" s="295" t="s">
        <v>581</v>
      </c>
      <c r="O265" s="295">
        <v>13</v>
      </c>
      <c r="P265" s="298"/>
      <c r="Q265" s="298">
        <v>36784.199999999997</v>
      </c>
      <c r="R265" s="298">
        <f t="shared" si="13"/>
        <v>36784.199999999997</v>
      </c>
      <c r="S265" s="298">
        <v>246257.47</v>
      </c>
      <c r="T265" s="298">
        <v>36784.199999999997</v>
      </c>
      <c r="U265" s="298">
        <v>36784.199999999997</v>
      </c>
      <c r="V265" s="298">
        <v>36784.199999999997</v>
      </c>
    </row>
    <row r="266" spans="1:24" s="299" customFormat="1" ht="15" customHeight="1" x14ac:dyDescent="0.25">
      <c r="A266" s="295" t="s">
        <v>587</v>
      </c>
      <c r="B266" s="295">
        <v>2</v>
      </c>
      <c r="C266" s="295">
        <v>2</v>
      </c>
      <c r="D266" s="295" t="s">
        <v>579</v>
      </c>
      <c r="E266" s="295" t="s">
        <v>580</v>
      </c>
      <c r="F266" s="295">
        <v>448</v>
      </c>
      <c r="G266" s="295" t="s">
        <v>25</v>
      </c>
      <c r="H266" s="295">
        <v>1</v>
      </c>
      <c r="I266" s="296">
        <v>61425</v>
      </c>
      <c r="J266" s="295">
        <v>1</v>
      </c>
      <c r="K266" s="295">
        <v>19</v>
      </c>
      <c r="L266" s="295">
        <v>1</v>
      </c>
      <c r="M266" s="295">
        <v>1</v>
      </c>
      <c r="N266" s="295" t="s">
        <v>581</v>
      </c>
      <c r="O266" s="295">
        <v>13</v>
      </c>
      <c r="P266" s="298"/>
      <c r="Q266" s="298">
        <v>272322.42</v>
      </c>
      <c r="R266" s="298">
        <f t="shared" si="13"/>
        <v>272322.42</v>
      </c>
      <c r="S266" s="298">
        <v>341927.38</v>
      </c>
      <c r="T266" s="298">
        <v>272322.42</v>
      </c>
      <c r="U266" s="298">
        <v>272322.42</v>
      </c>
      <c r="V266" s="298">
        <v>272322.42</v>
      </c>
    </row>
    <row r="267" spans="1:24" s="299" customFormat="1" ht="15" customHeight="1" x14ac:dyDescent="0.25">
      <c r="A267" s="295" t="s">
        <v>587</v>
      </c>
      <c r="B267" s="295">
        <v>2</v>
      </c>
      <c r="C267" s="295">
        <v>2</v>
      </c>
      <c r="D267" s="295" t="s">
        <v>579</v>
      </c>
      <c r="E267" s="295" t="s">
        <v>580</v>
      </c>
      <c r="F267" s="295">
        <v>448</v>
      </c>
      <c r="G267" s="295" t="s">
        <v>25</v>
      </c>
      <c r="H267" s="295">
        <v>1</v>
      </c>
      <c r="I267" s="296">
        <v>61425</v>
      </c>
      <c r="J267" s="295">
        <v>1</v>
      </c>
      <c r="K267" s="295">
        <v>19</v>
      </c>
      <c r="L267" s="295">
        <v>1</v>
      </c>
      <c r="M267" s="295">
        <v>1</v>
      </c>
      <c r="N267" s="295" t="s">
        <v>581</v>
      </c>
      <c r="O267" s="295">
        <v>13</v>
      </c>
      <c r="P267" s="298"/>
      <c r="Q267" s="298">
        <v>5350</v>
      </c>
      <c r="R267" s="298">
        <f t="shared" si="13"/>
        <v>5350</v>
      </c>
      <c r="S267" s="298">
        <v>21394.58</v>
      </c>
      <c r="T267" s="298">
        <v>5350</v>
      </c>
      <c r="U267" s="298">
        <v>5350</v>
      </c>
      <c r="V267" s="298">
        <v>5350</v>
      </c>
    </row>
    <row r="268" spans="1:24" s="299" customFormat="1" ht="15" customHeight="1" x14ac:dyDescent="0.25">
      <c r="A268" s="295" t="s">
        <v>587</v>
      </c>
      <c r="B268" s="295">
        <v>2</v>
      </c>
      <c r="C268" s="295">
        <v>2</v>
      </c>
      <c r="D268" s="295" t="s">
        <v>579</v>
      </c>
      <c r="E268" s="295" t="s">
        <v>580</v>
      </c>
      <c r="F268" s="295">
        <v>448</v>
      </c>
      <c r="G268" s="295" t="s">
        <v>25</v>
      </c>
      <c r="H268" s="295">
        <v>1</v>
      </c>
      <c r="I268" s="296">
        <v>61425</v>
      </c>
      <c r="J268" s="295">
        <v>1</v>
      </c>
      <c r="K268" s="295">
        <v>19</v>
      </c>
      <c r="L268" s="295">
        <v>2</v>
      </c>
      <c r="M268" s="295">
        <v>5</v>
      </c>
      <c r="N268" s="295" t="s">
        <v>588</v>
      </c>
      <c r="O268" s="295">
        <v>13</v>
      </c>
      <c r="P268" s="298">
        <v>0</v>
      </c>
      <c r="Q268" s="298">
        <v>63304.88</v>
      </c>
      <c r="R268" s="298">
        <f t="shared" si="13"/>
        <v>63304.88</v>
      </c>
      <c r="S268" s="298">
        <v>62989.2</v>
      </c>
      <c r="T268" s="298">
        <v>59850.98</v>
      </c>
      <c r="U268" s="298">
        <v>59850.98</v>
      </c>
      <c r="V268" s="298">
        <v>59850.98</v>
      </c>
    </row>
    <row r="269" spans="1:24" s="299" customFormat="1" ht="15" customHeight="1" x14ac:dyDescent="0.25">
      <c r="A269" s="295" t="s">
        <v>587</v>
      </c>
      <c r="B269" s="295">
        <v>2</v>
      </c>
      <c r="C269" s="295">
        <v>2</v>
      </c>
      <c r="D269" s="295" t="s">
        <v>579</v>
      </c>
      <c r="E269" s="295" t="s">
        <v>580</v>
      </c>
      <c r="F269" s="295">
        <v>448</v>
      </c>
      <c r="G269" s="295" t="s">
        <v>25</v>
      </c>
      <c r="H269" s="295">
        <v>1</v>
      </c>
      <c r="I269" s="296">
        <v>61425</v>
      </c>
      <c r="J269" s="295">
        <v>1</v>
      </c>
      <c r="K269" s="295">
        <v>19</v>
      </c>
      <c r="L269" s="295">
        <v>2</v>
      </c>
      <c r="M269" s="295">
        <v>5</v>
      </c>
      <c r="N269" s="295" t="s">
        <v>589</v>
      </c>
      <c r="O269" s="295">
        <v>13</v>
      </c>
      <c r="P269" s="298">
        <v>0</v>
      </c>
      <c r="Q269" s="298">
        <f>3333423.48-411548.31</f>
        <v>2921875.17</v>
      </c>
      <c r="R269" s="298">
        <f t="shared" si="13"/>
        <v>2921875.17</v>
      </c>
      <c r="S269" s="298">
        <v>289874.96999999997</v>
      </c>
      <c r="T269" s="298">
        <v>64441.41</v>
      </c>
      <c r="U269" s="298">
        <v>64441.41</v>
      </c>
      <c r="V269" s="298">
        <v>64441.41</v>
      </c>
    </row>
    <row r="270" spans="1:24" s="299" customFormat="1" ht="15" customHeight="1" x14ac:dyDescent="0.25">
      <c r="A270" s="295" t="s">
        <v>587</v>
      </c>
      <c r="B270" s="295">
        <v>2</v>
      </c>
      <c r="C270" s="295">
        <v>2</v>
      </c>
      <c r="D270" s="295" t="s">
        <v>579</v>
      </c>
      <c r="E270" s="295" t="s">
        <v>580</v>
      </c>
      <c r="F270" s="295">
        <v>448</v>
      </c>
      <c r="G270" s="295" t="s">
        <v>25</v>
      </c>
      <c r="H270" s="295">
        <v>1</v>
      </c>
      <c r="I270" s="296">
        <v>61425</v>
      </c>
      <c r="J270" s="295">
        <v>1</v>
      </c>
      <c r="K270" s="295">
        <v>19</v>
      </c>
      <c r="L270" s="295">
        <v>2</v>
      </c>
      <c r="M270" s="295">
        <v>5</v>
      </c>
      <c r="N270" s="295" t="s">
        <v>585</v>
      </c>
      <c r="O270" s="295">
        <v>13</v>
      </c>
      <c r="P270" s="298">
        <v>0</v>
      </c>
      <c r="Q270" s="298">
        <v>406887.38</v>
      </c>
      <c r="R270" s="298">
        <f t="shared" si="13"/>
        <v>406887.38</v>
      </c>
      <c r="S270" s="298">
        <v>341927.38</v>
      </c>
      <c r="T270" s="298">
        <v>269296.05</v>
      </c>
      <c r="U270" s="298">
        <v>269296.05</v>
      </c>
      <c r="V270" s="298">
        <v>269296.05</v>
      </c>
    </row>
    <row r="271" spans="1:24" s="299" customFormat="1" ht="15" customHeight="1" x14ac:dyDescent="0.25">
      <c r="A271" s="295" t="s">
        <v>587</v>
      </c>
      <c r="B271" s="295">
        <v>2</v>
      </c>
      <c r="C271" s="295">
        <v>2</v>
      </c>
      <c r="D271" s="295" t="s">
        <v>579</v>
      </c>
      <c r="E271" s="295" t="s">
        <v>580</v>
      </c>
      <c r="F271" s="295">
        <v>448</v>
      </c>
      <c r="G271" s="295" t="s">
        <v>25</v>
      </c>
      <c r="H271" s="295">
        <v>1</v>
      </c>
      <c r="I271" s="296">
        <v>61425</v>
      </c>
      <c r="J271" s="295">
        <v>1</v>
      </c>
      <c r="K271" s="295">
        <v>19</v>
      </c>
      <c r="L271" s="295">
        <v>2</v>
      </c>
      <c r="M271" s="295">
        <v>5</v>
      </c>
      <c r="N271" s="295" t="s">
        <v>593</v>
      </c>
      <c r="O271" s="295">
        <v>13</v>
      </c>
      <c r="P271" s="298">
        <v>0</v>
      </c>
      <c r="Q271" s="298">
        <v>21394.58</v>
      </c>
      <c r="R271" s="298">
        <f t="shared" si="13"/>
        <v>21394.58</v>
      </c>
      <c r="S271" s="298">
        <v>21394.58</v>
      </c>
      <c r="T271" s="298">
        <v>3838.97</v>
      </c>
      <c r="U271" s="298">
        <v>3838.97</v>
      </c>
      <c r="V271" s="298">
        <v>3838.97</v>
      </c>
    </row>
    <row r="272" spans="1:24" s="299" customFormat="1" ht="15" customHeight="1" x14ac:dyDescent="0.25">
      <c r="A272" s="295" t="s">
        <v>595</v>
      </c>
      <c r="B272" s="295">
        <v>2</v>
      </c>
      <c r="C272" s="295">
        <v>2</v>
      </c>
      <c r="D272" s="295" t="s">
        <v>579</v>
      </c>
      <c r="E272" s="295" t="s">
        <v>580</v>
      </c>
      <c r="F272" s="295">
        <v>273</v>
      </c>
      <c r="G272" s="295" t="s">
        <v>25</v>
      </c>
      <c r="H272" s="295">
        <v>1</v>
      </c>
      <c r="I272" s="296">
        <v>11301</v>
      </c>
      <c r="J272" s="295">
        <v>1</v>
      </c>
      <c r="K272" s="295">
        <v>19</v>
      </c>
      <c r="L272" s="295">
        <v>1</v>
      </c>
      <c r="M272" s="295">
        <v>1</v>
      </c>
      <c r="N272" s="295" t="s">
        <v>581</v>
      </c>
      <c r="O272" s="297">
        <v>13</v>
      </c>
      <c r="P272" s="298">
        <v>415616</v>
      </c>
      <c r="Q272" s="298">
        <v>0</v>
      </c>
      <c r="R272" s="298">
        <f t="shared" si="12"/>
        <v>415616</v>
      </c>
      <c r="S272" s="298">
        <f>Q272+R272</f>
        <v>415616</v>
      </c>
      <c r="T272" s="298">
        <v>427970.6166666667</v>
      </c>
      <c r="U272" s="298">
        <v>427970.6166666667</v>
      </c>
      <c r="V272" s="298">
        <v>427970.6166666667</v>
      </c>
      <c r="X272" s="301"/>
    </row>
    <row r="273" spans="1:27" s="299" customFormat="1" ht="15" customHeight="1" x14ac:dyDescent="0.25">
      <c r="A273" s="295" t="s">
        <v>595</v>
      </c>
      <c r="B273" s="295">
        <v>2</v>
      </c>
      <c r="C273" s="295">
        <v>2</v>
      </c>
      <c r="D273" s="295" t="s">
        <v>579</v>
      </c>
      <c r="E273" s="295" t="s">
        <v>580</v>
      </c>
      <c r="F273" s="295">
        <v>273</v>
      </c>
      <c r="G273" s="295" t="s">
        <v>25</v>
      </c>
      <c r="H273" s="295">
        <v>1</v>
      </c>
      <c r="I273" s="296">
        <v>11304</v>
      </c>
      <c r="J273" s="295">
        <v>1</v>
      </c>
      <c r="K273" s="295">
        <v>19</v>
      </c>
      <c r="L273" s="295">
        <v>1</v>
      </c>
      <c r="M273" s="295">
        <v>1</v>
      </c>
      <c r="N273" s="295" t="s">
        <v>581</v>
      </c>
      <c r="O273" s="295">
        <v>13</v>
      </c>
      <c r="P273" s="298">
        <v>322290.2</v>
      </c>
      <c r="Q273" s="298">
        <v>-322290.2</v>
      </c>
      <c r="R273" s="298">
        <f t="shared" si="12"/>
        <v>0</v>
      </c>
      <c r="S273" s="298">
        <v>0</v>
      </c>
      <c r="T273" s="298">
        <v>0</v>
      </c>
      <c r="U273" s="298">
        <v>0</v>
      </c>
      <c r="V273" s="298">
        <v>0</v>
      </c>
    </row>
    <row r="274" spans="1:27" s="299" customFormat="1" ht="15" customHeight="1" x14ac:dyDescent="0.25">
      <c r="A274" s="295" t="s">
        <v>595</v>
      </c>
      <c r="B274" s="295">
        <v>2</v>
      </c>
      <c r="C274" s="295">
        <v>2</v>
      </c>
      <c r="D274" s="295" t="s">
        <v>579</v>
      </c>
      <c r="E274" s="295" t="s">
        <v>580</v>
      </c>
      <c r="F274" s="295">
        <v>273</v>
      </c>
      <c r="G274" s="295" t="s">
        <v>25</v>
      </c>
      <c r="H274" s="295">
        <v>1</v>
      </c>
      <c r="I274" s="296">
        <v>11306</v>
      </c>
      <c r="J274" s="295">
        <v>1</v>
      </c>
      <c r="K274" s="295">
        <v>19</v>
      </c>
      <c r="L274" s="295">
        <v>1</v>
      </c>
      <c r="M274" s="295">
        <v>1</v>
      </c>
      <c r="N274" s="295" t="s">
        <v>581</v>
      </c>
      <c r="O274" s="297">
        <v>13</v>
      </c>
      <c r="P274" s="298">
        <v>107880</v>
      </c>
      <c r="Q274" s="298">
        <f>240897.570971913-20770</f>
        <v>220127.570971913</v>
      </c>
      <c r="R274" s="298">
        <f t="shared" si="12"/>
        <v>328007.570971913</v>
      </c>
      <c r="S274" s="300">
        <v>328006.82781770983</v>
      </c>
      <c r="T274" s="298">
        <v>351228.20968934376</v>
      </c>
      <c r="U274" s="298">
        <v>315983.52866099234</v>
      </c>
      <c r="V274" s="298">
        <v>315983.52866099234</v>
      </c>
      <c r="X274" s="301"/>
      <c r="Y274" s="301"/>
      <c r="AA274" s="301"/>
    </row>
    <row r="275" spans="1:27" s="299" customFormat="1" ht="15" customHeight="1" x14ac:dyDescent="0.25">
      <c r="A275" s="295" t="s">
        <v>595</v>
      </c>
      <c r="B275" s="295">
        <v>2</v>
      </c>
      <c r="C275" s="295">
        <v>2</v>
      </c>
      <c r="D275" s="295" t="s">
        <v>579</v>
      </c>
      <c r="E275" s="295" t="s">
        <v>580</v>
      </c>
      <c r="F275" s="295">
        <v>273</v>
      </c>
      <c r="G275" s="295" t="s">
        <v>25</v>
      </c>
      <c r="H275" s="295">
        <v>1</v>
      </c>
      <c r="I275" s="296">
        <v>11307</v>
      </c>
      <c r="J275" s="295">
        <v>1</v>
      </c>
      <c r="K275" s="295">
        <v>19</v>
      </c>
      <c r="L275" s="295">
        <v>1</v>
      </c>
      <c r="M275" s="295">
        <v>1</v>
      </c>
      <c r="N275" s="295" t="s">
        <v>581</v>
      </c>
      <c r="O275" s="295">
        <v>13</v>
      </c>
      <c r="P275" s="298">
        <f>96363.32+0.04</f>
        <v>96363.36</v>
      </c>
      <c r="Q275" s="298">
        <v>11516.7</v>
      </c>
      <c r="R275" s="298">
        <f t="shared" si="12"/>
        <v>107880.06</v>
      </c>
      <c r="S275" s="300">
        <f>101670.001961611+6210.02</f>
        <v>107880.021961611</v>
      </c>
      <c r="T275" s="298">
        <v>77165.686074128796</v>
      </c>
      <c r="U275" s="298">
        <v>77165.686074128796</v>
      </c>
      <c r="V275" s="298">
        <v>77165.686074128796</v>
      </c>
      <c r="X275" s="301"/>
    </row>
    <row r="276" spans="1:27" s="299" customFormat="1" ht="15" customHeight="1" x14ac:dyDescent="0.25">
      <c r="A276" s="295" t="s">
        <v>595</v>
      </c>
      <c r="B276" s="295">
        <v>2</v>
      </c>
      <c r="C276" s="295">
        <v>2</v>
      </c>
      <c r="D276" s="295" t="s">
        <v>579</v>
      </c>
      <c r="E276" s="295" t="s">
        <v>580</v>
      </c>
      <c r="F276" s="295">
        <v>273</v>
      </c>
      <c r="G276" s="295" t="s">
        <v>25</v>
      </c>
      <c r="H276" s="295">
        <v>1</v>
      </c>
      <c r="I276" s="296">
        <v>11310</v>
      </c>
      <c r="J276" s="295">
        <v>1</v>
      </c>
      <c r="K276" s="295">
        <v>19</v>
      </c>
      <c r="L276" s="295">
        <v>1</v>
      </c>
      <c r="M276" s="295">
        <v>1</v>
      </c>
      <c r="N276" s="295" t="s">
        <v>581</v>
      </c>
      <c r="O276" s="297">
        <v>13</v>
      </c>
      <c r="P276" s="298">
        <v>0</v>
      </c>
      <c r="Q276" s="298">
        <v>96363.276799999992</v>
      </c>
      <c r="R276" s="298">
        <f t="shared" si="12"/>
        <v>96363.276799999992</v>
      </c>
      <c r="S276" s="298">
        <f>90876.4296143565+5486.85</f>
        <v>96363.279614356506</v>
      </c>
      <c r="T276" s="298">
        <v>72052.05</v>
      </c>
      <c r="U276" s="298">
        <v>72052.05</v>
      </c>
      <c r="V276" s="298">
        <v>72052.05</v>
      </c>
      <c r="X276" s="301"/>
    </row>
    <row r="277" spans="1:27" s="299" customFormat="1" ht="15" customHeight="1" x14ac:dyDescent="0.25">
      <c r="A277" s="295" t="s">
        <v>595</v>
      </c>
      <c r="B277" s="295">
        <v>2</v>
      </c>
      <c r="C277" s="295">
        <v>2</v>
      </c>
      <c r="D277" s="295" t="s">
        <v>579</v>
      </c>
      <c r="E277" s="295" t="s">
        <v>580</v>
      </c>
      <c r="F277" s="295">
        <v>273</v>
      </c>
      <c r="G277" s="295" t="s">
        <v>25</v>
      </c>
      <c r="H277" s="295">
        <v>1</v>
      </c>
      <c r="I277" s="296">
        <v>12101</v>
      </c>
      <c r="J277" s="295">
        <v>1</v>
      </c>
      <c r="K277" s="295">
        <v>19</v>
      </c>
      <c r="L277" s="295">
        <v>1</v>
      </c>
      <c r="M277" s="295">
        <v>1</v>
      </c>
      <c r="N277" s="295" t="s">
        <v>581</v>
      </c>
      <c r="O277" s="295">
        <v>13</v>
      </c>
      <c r="P277" s="298">
        <v>37536</v>
      </c>
      <c r="Q277" s="298">
        <v>-37536</v>
      </c>
      <c r="R277" s="298">
        <f t="shared" si="12"/>
        <v>0</v>
      </c>
      <c r="S277" s="298">
        <v>0</v>
      </c>
      <c r="T277" s="298">
        <v>0</v>
      </c>
      <c r="U277" s="298">
        <v>0</v>
      </c>
      <c r="V277" s="298">
        <v>0</v>
      </c>
    </row>
    <row r="278" spans="1:27" s="299" customFormat="1" ht="15" customHeight="1" x14ac:dyDescent="0.25">
      <c r="A278" s="295" t="s">
        <v>595</v>
      </c>
      <c r="B278" s="295">
        <v>2</v>
      </c>
      <c r="C278" s="295">
        <v>2</v>
      </c>
      <c r="D278" s="295" t="s">
        <v>579</v>
      </c>
      <c r="E278" s="295" t="s">
        <v>580</v>
      </c>
      <c r="F278" s="295">
        <v>273</v>
      </c>
      <c r="G278" s="295" t="s">
        <v>25</v>
      </c>
      <c r="H278" s="295">
        <v>1</v>
      </c>
      <c r="I278" s="296">
        <v>13101</v>
      </c>
      <c r="J278" s="295">
        <v>1</v>
      </c>
      <c r="K278" s="295">
        <v>19</v>
      </c>
      <c r="L278" s="295">
        <v>1</v>
      </c>
      <c r="M278" s="295">
        <v>1</v>
      </c>
      <c r="N278" s="295" t="s">
        <v>581</v>
      </c>
      <c r="O278" s="297">
        <v>13</v>
      </c>
      <c r="P278" s="298">
        <v>6674.4</v>
      </c>
      <c r="Q278" s="298">
        <v>30861.832000000006</v>
      </c>
      <c r="R278" s="298">
        <f t="shared" si="12"/>
        <v>37536.232000000004</v>
      </c>
      <c r="S278" s="298">
        <f>40044.3285354443-2508.1</f>
        <v>37536.228535444301</v>
      </c>
      <c r="T278" s="298">
        <v>40167.822189519997</v>
      </c>
      <c r="U278" s="298">
        <v>40167.822189519997</v>
      </c>
      <c r="V278" s="298">
        <v>40167.822189519997</v>
      </c>
      <c r="X278" s="301"/>
    </row>
    <row r="279" spans="1:27" s="299" customFormat="1" ht="15" customHeight="1" x14ac:dyDescent="0.25">
      <c r="A279" s="295" t="s">
        <v>595</v>
      </c>
      <c r="B279" s="295">
        <v>2</v>
      </c>
      <c r="C279" s="295">
        <v>2</v>
      </c>
      <c r="D279" s="295" t="s">
        <v>579</v>
      </c>
      <c r="E279" s="295" t="s">
        <v>580</v>
      </c>
      <c r="F279" s="295">
        <v>273</v>
      </c>
      <c r="G279" s="295" t="s">
        <v>25</v>
      </c>
      <c r="H279" s="295">
        <v>1</v>
      </c>
      <c r="I279" s="296">
        <v>13201</v>
      </c>
      <c r="J279" s="295">
        <v>1</v>
      </c>
      <c r="K279" s="295">
        <v>19</v>
      </c>
      <c r="L279" s="295">
        <v>1</v>
      </c>
      <c r="M279" s="295">
        <v>1</v>
      </c>
      <c r="N279" s="295" t="s">
        <v>581</v>
      </c>
      <c r="O279" s="295">
        <v>13</v>
      </c>
      <c r="P279" s="298">
        <v>13348.47</v>
      </c>
      <c r="Q279" s="298">
        <v>-6674.199999999998</v>
      </c>
      <c r="R279" s="298">
        <f t="shared" si="12"/>
        <v>6674.2700000000013</v>
      </c>
      <c r="S279" s="298">
        <f>6879.01181745391-204.74</f>
        <v>6674.2718174539104</v>
      </c>
      <c r="T279" s="298">
        <v>6417.5</v>
      </c>
      <c r="U279" s="298">
        <v>6417.5</v>
      </c>
      <c r="V279" s="298">
        <v>6417.5</v>
      </c>
    </row>
    <row r="280" spans="1:27" s="299" customFormat="1" ht="15" customHeight="1" x14ac:dyDescent="0.25">
      <c r="A280" s="295" t="s">
        <v>595</v>
      </c>
      <c r="B280" s="295">
        <v>2</v>
      </c>
      <c r="C280" s="295">
        <v>2</v>
      </c>
      <c r="D280" s="295" t="s">
        <v>579</v>
      </c>
      <c r="E280" s="295" t="s">
        <v>580</v>
      </c>
      <c r="F280" s="295">
        <v>273</v>
      </c>
      <c r="G280" s="295" t="s">
        <v>25</v>
      </c>
      <c r="H280" s="295">
        <v>1</v>
      </c>
      <c r="I280" s="296">
        <v>13202</v>
      </c>
      <c r="J280" s="295">
        <v>1</v>
      </c>
      <c r="K280" s="295">
        <v>19</v>
      </c>
      <c r="L280" s="295">
        <v>1</v>
      </c>
      <c r="M280" s="295">
        <v>1</v>
      </c>
      <c r="N280" s="295" t="s">
        <v>581</v>
      </c>
      <c r="O280" s="297">
        <v>13</v>
      </c>
      <c r="P280" s="298">
        <v>0</v>
      </c>
      <c r="Q280" s="298">
        <v>13348.400000000003</v>
      </c>
      <c r="R280" s="298">
        <f t="shared" ref="R280:R285" si="14">P280+Q280</f>
        <v>13348.400000000003</v>
      </c>
      <c r="S280" s="298">
        <f>13758.0236349078-409.62</f>
        <v>13348.4036349078</v>
      </c>
      <c r="T280" s="298">
        <v>13348.4</v>
      </c>
      <c r="U280" s="298">
        <v>13348.4</v>
      </c>
      <c r="V280" s="298">
        <v>13348.4</v>
      </c>
    </row>
    <row r="281" spans="1:27" s="299" customFormat="1" ht="15" customHeight="1" x14ac:dyDescent="0.25">
      <c r="A281" s="295" t="s">
        <v>595</v>
      </c>
      <c r="B281" s="295">
        <v>2</v>
      </c>
      <c r="C281" s="295">
        <v>2</v>
      </c>
      <c r="D281" s="295" t="s">
        <v>579</v>
      </c>
      <c r="E281" s="295" t="s">
        <v>580</v>
      </c>
      <c r="F281" s="295">
        <v>273</v>
      </c>
      <c r="G281" s="295" t="s">
        <v>25</v>
      </c>
      <c r="H281" s="295">
        <v>1</v>
      </c>
      <c r="I281" s="296">
        <v>14106</v>
      </c>
      <c r="J281" s="295">
        <v>1</v>
      </c>
      <c r="K281" s="295">
        <v>19</v>
      </c>
      <c r="L281" s="295">
        <v>1</v>
      </c>
      <c r="M281" s="295">
        <v>1</v>
      </c>
      <c r="N281" s="295" t="s">
        <v>581</v>
      </c>
      <c r="O281" s="295">
        <v>13</v>
      </c>
      <c r="P281" s="298">
        <v>235531</v>
      </c>
      <c r="Q281" s="298">
        <v>0</v>
      </c>
      <c r="R281" s="298">
        <f t="shared" si="14"/>
        <v>235531</v>
      </c>
      <c r="S281" s="298">
        <v>235531</v>
      </c>
      <c r="T281" s="298">
        <v>229781.43795591805</v>
      </c>
      <c r="U281" s="298">
        <v>229781.43795591805</v>
      </c>
      <c r="V281" s="298">
        <v>229781.43795591805</v>
      </c>
      <c r="X281" s="301"/>
    </row>
    <row r="282" spans="1:27" s="299" customFormat="1" ht="15" customHeight="1" x14ac:dyDescent="0.25">
      <c r="A282" s="295" t="s">
        <v>595</v>
      </c>
      <c r="B282" s="295">
        <v>2</v>
      </c>
      <c r="C282" s="295">
        <v>2</v>
      </c>
      <c r="D282" s="295" t="s">
        <v>579</v>
      </c>
      <c r="E282" s="295" t="s">
        <v>580</v>
      </c>
      <c r="F282" s="295">
        <v>273</v>
      </c>
      <c r="G282" s="295" t="s">
        <v>25</v>
      </c>
      <c r="H282" s="295">
        <v>1</v>
      </c>
      <c r="I282" s="296">
        <v>14109</v>
      </c>
      <c r="J282" s="295">
        <v>1</v>
      </c>
      <c r="K282" s="295">
        <v>19</v>
      </c>
      <c r="L282" s="295">
        <v>1</v>
      </c>
      <c r="M282" s="295">
        <v>1</v>
      </c>
      <c r="N282" s="295" t="s">
        <v>581</v>
      </c>
      <c r="O282" s="297">
        <v>13</v>
      </c>
      <c r="P282" s="298">
        <v>561246.12</v>
      </c>
      <c r="Q282" s="298">
        <v>0</v>
      </c>
      <c r="R282" s="298">
        <f t="shared" si="14"/>
        <v>561246.12</v>
      </c>
      <c r="S282" s="298">
        <v>561670.23043147393</v>
      </c>
      <c r="T282" s="298">
        <v>561670.23043147393</v>
      </c>
      <c r="U282" s="298">
        <v>561670.23043147393</v>
      </c>
      <c r="V282" s="298">
        <v>548386.26964585576</v>
      </c>
      <c r="X282" s="301"/>
    </row>
    <row r="283" spans="1:27" s="299" customFormat="1" ht="15" customHeight="1" x14ac:dyDescent="0.25">
      <c r="A283" s="295" t="s">
        <v>595</v>
      </c>
      <c r="B283" s="295">
        <v>2</v>
      </c>
      <c r="C283" s="295">
        <v>2</v>
      </c>
      <c r="D283" s="295" t="s">
        <v>579</v>
      </c>
      <c r="E283" s="295" t="s">
        <v>580</v>
      </c>
      <c r="F283" s="295">
        <v>273</v>
      </c>
      <c r="G283" s="295" t="s">
        <v>25</v>
      </c>
      <c r="H283" s="295">
        <v>1</v>
      </c>
      <c r="I283" s="296">
        <v>14402</v>
      </c>
      <c r="J283" s="295">
        <v>1</v>
      </c>
      <c r="K283" s="295">
        <v>19</v>
      </c>
      <c r="L283" s="295">
        <v>1</v>
      </c>
      <c r="M283" s="295">
        <v>1</v>
      </c>
      <c r="N283" s="295" t="s">
        <v>581</v>
      </c>
      <c r="O283" s="295">
        <v>13</v>
      </c>
      <c r="P283" s="298">
        <v>1144</v>
      </c>
      <c r="Q283" s="298">
        <v>0</v>
      </c>
      <c r="R283" s="298">
        <f t="shared" si="14"/>
        <v>1144</v>
      </c>
      <c r="S283" s="298">
        <v>1144</v>
      </c>
      <c r="T283" s="298">
        <v>1140.3333333333333</v>
      </c>
      <c r="U283" s="298">
        <v>1140.3333333333333</v>
      </c>
      <c r="V283" s="298">
        <v>1140.3333333333333</v>
      </c>
      <c r="X283" s="301"/>
    </row>
    <row r="284" spans="1:27" s="299" customFormat="1" ht="15" customHeight="1" x14ac:dyDescent="0.25">
      <c r="A284" s="295" t="s">
        <v>595</v>
      </c>
      <c r="B284" s="295">
        <v>2</v>
      </c>
      <c r="C284" s="295">
        <v>2</v>
      </c>
      <c r="D284" s="295" t="s">
        <v>579</v>
      </c>
      <c r="E284" s="295" t="s">
        <v>580</v>
      </c>
      <c r="F284" s="295">
        <v>273</v>
      </c>
      <c r="G284" s="295" t="s">
        <v>25</v>
      </c>
      <c r="H284" s="295">
        <v>1</v>
      </c>
      <c r="I284" s="296">
        <v>14406</v>
      </c>
      <c r="J284" s="295">
        <v>1</v>
      </c>
      <c r="K284" s="295">
        <v>19</v>
      </c>
      <c r="L284" s="295">
        <v>1</v>
      </c>
      <c r="M284" s="295">
        <v>1</v>
      </c>
      <c r="N284" s="295" t="s">
        <v>581</v>
      </c>
      <c r="O284" s="297">
        <v>13</v>
      </c>
      <c r="P284" s="298">
        <v>162</v>
      </c>
      <c r="Q284" s="298">
        <v>0</v>
      </c>
      <c r="R284" s="298">
        <f t="shared" si="14"/>
        <v>162</v>
      </c>
      <c r="S284" s="298">
        <v>162</v>
      </c>
      <c r="T284" s="298">
        <v>162</v>
      </c>
      <c r="U284" s="298">
        <v>162</v>
      </c>
      <c r="V284" s="298">
        <v>162</v>
      </c>
      <c r="X284" s="301"/>
    </row>
    <row r="285" spans="1:27" s="299" customFormat="1" ht="15" customHeight="1" x14ac:dyDescent="0.25">
      <c r="A285" s="295" t="s">
        <v>595</v>
      </c>
      <c r="B285" s="295">
        <v>2</v>
      </c>
      <c r="C285" s="295">
        <v>2</v>
      </c>
      <c r="D285" s="295" t="s">
        <v>579</v>
      </c>
      <c r="E285" s="295" t="s">
        <v>580</v>
      </c>
      <c r="F285" s="295">
        <v>273</v>
      </c>
      <c r="G285" s="295" t="s">
        <v>25</v>
      </c>
      <c r="H285" s="295">
        <v>1</v>
      </c>
      <c r="I285" s="296">
        <v>15101</v>
      </c>
      <c r="J285" s="295">
        <v>1</v>
      </c>
      <c r="K285" s="295">
        <v>19</v>
      </c>
      <c r="L285" s="295">
        <v>1</v>
      </c>
      <c r="M285" s="295">
        <v>1</v>
      </c>
      <c r="N285" s="295" t="s">
        <v>581</v>
      </c>
      <c r="O285" s="297">
        <v>13</v>
      </c>
      <c r="P285" s="298">
        <v>2673</v>
      </c>
      <c r="Q285" s="298">
        <v>0</v>
      </c>
      <c r="R285" s="298">
        <f t="shared" si="14"/>
        <v>2673</v>
      </c>
      <c r="S285" s="298">
        <v>2673</v>
      </c>
      <c r="T285" s="298">
        <v>2654</v>
      </c>
      <c r="U285" s="298">
        <v>2654</v>
      </c>
      <c r="V285" s="298">
        <v>2654</v>
      </c>
      <c r="X285" s="301"/>
    </row>
    <row r="286" spans="1:27" s="299" customFormat="1" ht="15" customHeight="1" x14ac:dyDescent="0.25">
      <c r="A286" s="295" t="s">
        <v>595</v>
      </c>
      <c r="B286" s="295">
        <v>2</v>
      </c>
      <c r="C286" s="295">
        <v>2</v>
      </c>
      <c r="D286" s="295" t="s">
        <v>579</v>
      </c>
      <c r="E286" s="295" t="s">
        <v>580</v>
      </c>
      <c r="F286" s="295">
        <v>273</v>
      </c>
      <c r="G286" s="295" t="s">
        <v>25</v>
      </c>
      <c r="H286" s="295">
        <v>1</v>
      </c>
      <c r="I286" s="296">
        <v>15202</v>
      </c>
      <c r="J286" s="295">
        <v>1</v>
      </c>
      <c r="K286" s="295">
        <v>19</v>
      </c>
      <c r="L286" s="295">
        <v>1</v>
      </c>
      <c r="M286" s="295">
        <v>1</v>
      </c>
      <c r="N286" s="295" t="s">
        <v>581</v>
      </c>
      <c r="O286" s="297">
        <v>13</v>
      </c>
      <c r="P286" s="298"/>
      <c r="Q286" s="298"/>
      <c r="R286" s="298"/>
      <c r="S286" s="298"/>
      <c r="T286" s="298">
        <v>0</v>
      </c>
      <c r="U286" s="298"/>
      <c r="V286" s="298"/>
    </row>
    <row r="287" spans="1:27" s="299" customFormat="1" ht="15" customHeight="1" x14ac:dyDescent="0.25">
      <c r="A287" s="295" t="s">
        <v>595</v>
      </c>
      <c r="B287" s="295">
        <v>2</v>
      </c>
      <c r="C287" s="295">
        <v>2</v>
      </c>
      <c r="D287" s="295" t="s">
        <v>579</v>
      </c>
      <c r="E287" s="295" t="s">
        <v>580</v>
      </c>
      <c r="F287" s="295">
        <v>273</v>
      </c>
      <c r="G287" s="295" t="s">
        <v>25</v>
      </c>
      <c r="H287" s="295">
        <v>1</v>
      </c>
      <c r="I287" s="296">
        <v>15901</v>
      </c>
      <c r="J287" s="295">
        <v>1</v>
      </c>
      <c r="K287" s="295">
        <v>19</v>
      </c>
      <c r="L287" s="295">
        <v>1</v>
      </c>
      <c r="M287" s="295">
        <v>1</v>
      </c>
      <c r="N287" s="295" t="s">
        <v>581</v>
      </c>
      <c r="O287" s="297">
        <v>13</v>
      </c>
      <c r="P287" s="298">
        <v>488201.5</v>
      </c>
      <c r="Q287" s="298">
        <v>-10000</v>
      </c>
      <c r="R287" s="298">
        <f t="shared" ref="R287:R293" si="15">P287+Q287</f>
        <v>478201.5</v>
      </c>
      <c r="S287" s="298">
        <v>478201.5</v>
      </c>
      <c r="T287" s="298">
        <v>602412.92333333322</v>
      </c>
      <c r="U287" s="298">
        <v>602412.92333333322</v>
      </c>
      <c r="V287" s="298">
        <v>602412.92333333322</v>
      </c>
      <c r="X287" s="301"/>
    </row>
    <row r="288" spans="1:27" s="299" customFormat="1" ht="15" customHeight="1" x14ac:dyDescent="0.25">
      <c r="A288" s="295" t="s">
        <v>595</v>
      </c>
      <c r="B288" s="295">
        <v>2</v>
      </c>
      <c r="C288" s="295">
        <v>2</v>
      </c>
      <c r="D288" s="295" t="s">
        <v>579</v>
      </c>
      <c r="E288" s="295" t="s">
        <v>580</v>
      </c>
      <c r="F288" s="295">
        <v>273</v>
      </c>
      <c r="G288" s="295" t="s">
        <v>25</v>
      </c>
      <c r="H288" s="295">
        <v>1</v>
      </c>
      <c r="I288" s="296">
        <v>17102</v>
      </c>
      <c r="J288" s="295">
        <v>1</v>
      </c>
      <c r="K288" s="295">
        <v>19</v>
      </c>
      <c r="L288" s="295">
        <v>1</v>
      </c>
      <c r="M288" s="295">
        <v>1</v>
      </c>
      <c r="N288" s="295" t="s">
        <v>581</v>
      </c>
      <c r="O288" s="295">
        <v>13</v>
      </c>
      <c r="P288" s="298">
        <v>4400</v>
      </c>
      <c r="Q288" s="298">
        <v>1300</v>
      </c>
      <c r="R288" s="298">
        <f t="shared" si="15"/>
        <v>5700</v>
      </c>
      <c r="S288" s="298">
        <v>5700</v>
      </c>
      <c r="T288" s="298">
        <v>8600</v>
      </c>
      <c r="U288" s="298">
        <v>8600</v>
      </c>
      <c r="V288" s="298">
        <v>8600</v>
      </c>
      <c r="X288" s="301"/>
    </row>
    <row r="289" spans="1:24" s="299" customFormat="1" ht="15" customHeight="1" x14ac:dyDescent="0.25">
      <c r="A289" s="295" t="s">
        <v>595</v>
      </c>
      <c r="B289" s="295">
        <v>2</v>
      </c>
      <c r="C289" s="295">
        <v>2</v>
      </c>
      <c r="D289" s="295" t="s">
        <v>579</v>
      </c>
      <c r="E289" s="295" t="s">
        <v>580</v>
      </c>
      <c r="F289" s="295">
        <v>273</v>
      </c>
      <c r="G289" s="295" t="s">
        <v>25</v>
      </c>
      <c r="H289" s="295">
        <v>1</v>
      </c>
      <c r="I289" s="296">
        <v>21101</v>
      </c>
      <c r="J289" s="295">
        <v>1</v>
      </c>
      <c r="K289" s="295">
        <v>19</v>
      </c>
      <c r="L289" s="295">
        <v>1</v>
      </c>
      <c r="M289" s="295">
        <v>1</v>
      </c>
      <c r="N289" s="295" t="s">
        <v>581</v>
      </c>
      <c r="O289" s="297">
        <v>13</v>
      </c>
      <c r="P289" s="298">
        <v>4451.28</v>
      </c>
      <c r="Q289" s="298">
        <f>-1500+1108.98</f>
        <v>-391.02</v>
      </c>
      <c r="R289" s="298">
        <f t="shared" si="15"/>
        <v>4060.2599999999998</v>
      </c>
      <c r="S289" s="298">
        <v>4060.26</v>
      </c>
      <c r="T289" s="298">
        <v>4060.26</v>
      </c>
      <c r="U289" s="298">
        <v>4060.26</v>
      </c>
      <c r="V289" s="298">
        <v>4025.8954557429029</v>
      </c>
      <c r="W289" s="302"/>
      <c r="X289" s="301"/>
    </row>
    <row r="290" spans="1:24" s="299" customFormat="1" ht="15" customHeight="1" x14ac:dyDescent="0.25">
      <c r="A290" s="295" t="s">
        <v>595</v>
      </c>
      <c r="B290" s="295">
        <v>2</v>
      </c>
      <c r="C290" s="295">
        <v>2</v>
      </c>
      <c r="D290" s="295" t="s">
        <v>579</v>
      </c>
      <c r="E290" s="295" t="s">
        <v>580</v>
      </c>
      <c r="F290" s="295">
        <v>273</v>
      </c>
      <c r="G290" s="295" t="s">
        <v>25</v>
      </c>
      <c r="H290" s="295">
        <v>1</v>
      </c>
      <c r="I290" s="296">
        <v>21201</v>
      </c>
      <c r="J290" s="295">
        <v>1</v>
      </c>
      <c r="K290" s="295">
        <v>19</v>
      </c>
      <c r="L290" s="295">
        <v>1</v>
      </c>
      <c r="M290" s="295">
        <v>1</v>
      </c>
      <c r="N290" s="295" t="s">
        <v>581</v>
      </c>
      <c r="O290" s="295">
        <v>13</v>
      </c>
      <c r="P290" s="298">
        <v>379</v>
      </c>
      <c r="Q290" s="298">
        <f>562+336.3</f>
        <v>898.3</v>
      </c>
      <c r="R290" s="298">
        <f t="shared" si="15"/>
        <v>1277.3</v>
      </c>
      <c r="S290" s="298">
        <v>1277.296</v>
      </c>
      <c r="T290" s="298">
        <v>1277.296</v>
      </c>
      <c r="U290" s="298">
        <v>1277.296</v>
      </c>
      <c r="V290" s="298">
        <v>1050.2393495373331</v>
      </c>
      <c r="W290" s="302"/>
      <c r="X290" s="301"/>
    </row>
    <row r="291" spans="1:24" s="299" customFormat="1" ht="15" customHeight="1" x14ac:dyDescent="0.25">
      <c r="A291" s="295" t="s">
        <v>595</v>
      </c>
      <c r="B291" s="295">
        <v>2</v>
      </c>
      <c r="C291" s="295">
        <v>2</v>
      </c>
      <c r="D291" s="295" t="s">
        <v>579</v>
      </c>
      <c r="E291" s="295" t="s">
        <v>580</v>
      </c>
      <c r="F291" s="295">
        <v>273</v>
      </c>
      <c r="G291" s="295" t="s">
        <v>25</v>
      </c>
      <c r="H291" s="295">
        <v>1</v>
      </c>
      <c r="I291" s="296">
        <v>21401</v>
      </c>
      <c r="J291" s="295">
        <v>1</v>
      </c>
      <c r="K291" s="295">
        <v>19</v>
      </c>
      <c r="L291" s="295">
        <v>1</v>
      </c>
      <c r="M291" s="295">
        <v>1</v>
      </c>
      <c r="N291" s="295" t="s">
        <v>581</v>
      </c>
      <c r="O291" s="297">
        <v>13</v>
      </c>
      <c r="P291" s="298">
        <v>4661</v>
      </c>
      <c r="Q291" s="298">
        <v>179.41</v>
      </c>
      <c r="R291" s="298">
        <f t="shared" si="15"/>
        <v>4840.41</v>
      </c>
      <c r="S291" s="298">
        <v>4974.2131999999992</v>
      </c>
      <c r="T291" s="298">
        <v>4974.2131999999992</v>
      </c>
      <c r="U291" s="298">
        <v>4974.2131999999992</v>
      </c>
      <c r="V291" s="298">
        <v>5052.3810282041622</v>
      </c>
      <c r="W291" s="302"/>
      <c r="X291" s="301"/>
    </row>
    <row r="292" spans="1:24" s="299" customFormat="1" ht="15" customHeight="1" x14ac:dyDescent="0.25">
      <c r="A292" s="295" t="s">
        <v>595</v>
      </c>
      <c r="B292" s="295">
        <v>2</v>
      </c>
      <c r="C292" s="295">
        <v>2</v>
      </c>
      <c r="D292" s="295" t="s">
        <v>579</v>
      </c>
      <c r="E292" s="295" t="s">
        <v>580</v>
      </c>
      <c r="F292" s="295">
        <v>273</v>
      </c>
      <c r="G292" s="295" t="s">
        <v>25</v>
      </c>
      <c r="H292" s="295">
        <v>1</v>
      </c>
      <c r="I292" s="296">
        <v>21801</v>
      </c>
      <c r="J292" s="295">
        <v>1</v>
      </c>
      <c r="K292" s="295">
        <v>19</v>
      </c>
      <c r="L292" s="295">
        <v>1</v>
      </c>
      <c r="M292" s="295">
        <v>1</v>
      </c>
      <c r="N292" s="295" t="s">
        <v>581</v>
      </c>
      <c r="O292" s="295">
        <v>13</v>
      </c>
      <c r="P292" s="298">
        <v>3420.04</v>
      </c>
      <c r="Q292" s="298">
        <v>-391.37</v>
      </c>
      <c r="R292" s="298">
        <f t="shared" si="15"/>
        <v>3028.67</v>
      </c>
      <c r="S292" s="298">
        <v>3028.6666666666665</v>
      </c>
      <c r="T292" s="298">
        <v>3028.6666666666665</v>
      </c>
      <c r="U292" s="298">
        <v>3028.6666666666665</v>
      </c>
      <c r="V292" s="298">
        <v>3028.6666666666665</v>
      </c>
      <c r="W292" s="302"/>
      <c r="X292" s="301"/>
    </row>
    <row r="293" spans="1:24" s="299" customFormat="1" ht="15" customHeight="1" x14ac:dyDescent="0.25">
      <c r="A293" s="295" t="s">
        <v>595</v>
      </c>
      <c r="B293" s="295">
        <v>2</v>
      </c>
      <c r="C293" s="295">
        <v>2</v>
      </c>
      <c r="D293" s="295" t="s">
        <v>579</v>
      </c>
      <c r="E293" s="295" t="s">
        <v>580</v>
      </c>
      <c r="F293" s="295">
        <v>273</v>
      </c>
      <c r="G293" s="295" t="s">
        <v>25</v>
      </c>
      <c r="H293" s="295">
        <v>1</v>
      </c>
      <c r="I293" s="296">
        <v>22101</v>
      </c>
      <c r="J293" s="295">
        <v>1</v>
      </c>
      <c r="K293" s="295">
        <v>19</v>
      </c>
      <c r="L293" s="295">
        <v>1</v>
      </c>
      <c r="M293" s="295">
        <v>1</v>
      </c>
      <c r="N293" s="295" t="s">
        <v>581</v>
      </c>
      <c r="O293" s="297">
        <v>13</v>
      </c>
      <c r="P293" s="298">
        <v>744.3</v>
      </c>
      <c r="Q293" s="298">
        <f>827.1+778.15</f>
        <v>1605.25</v>
      </c>
      <c r="R293" s="298">
        <f t="shared" si="15"/>
        <v>2349.5500000000002</v>
      </c>
      <c r="S293" s="298">
        <v>2349.5451776265404</v>
      </c>
      <c r="T293" s="298">
        <v>2349.5451776265404</v>
      </c>
      <c r="U293" s="298">
        <v>2349.5451776265404</v>
      </c>
      <c r="V293" s="298">
        <v>2349.5451776265404</v>
      </c>
      <c r="W293" s="302"/>
      <c r="X293" s="301"/>
    </row>
    <row r="294" spans="1:24" s="299" customFormat="1" ht="15" customHeight="1" x14ac:dyDescent="0.25">
      <c r="A294" s="295" t="s">
        <v>595</v>
      </c>
      <c r="B294" s="295">
        <v>2</v>
      </c>
      <c r="C294" s="295">
        <v>2</v>
      </c>
      <c r="D294" s="295" t="s">
        <v>579</v>
      </c>
      <c r="E294" s="295" t="s">
        <v>580</v>
      </c>
      <c r="F294" s="295">
        <v>273</v>
      </c>
      <c r="G294" s="295" t="s">
        <v>25</v>
      </c>
      <c r="H294" s="295">
        <v>1</v>
      </c>
      <c r="I294" s="296">
        <v>24901</v>
      </c>
      <c r="J294" s="295">
        <v>1</v>
      </c>
      <c r="K294" s="295">
        <v>19</v>
      </c>
      <c r="L294" s="295">
        <v>1</v>
      </c>
      <c r="M294" s="295">
        <v>1</v>
      </c>
      <c r="N294" s="295" t="s">
        <v>581</v>
      </c>
      <c r="O294" s="295">
        <v>13</v>
      </c>
      <c r="P294" s="298"/>
      <c r="Q294" s="298">
        <v>116</v>
      </c>
      <c r="R294" s="298">
        <f>P294+Q294</f>
        <v>116</v>
      </c>
      <c r="S294" s="298">
        <v>116</v>
      </c>
      <c r="T294" s="298">
        <v>116</v>
      </c>
      <c r="U294" s="298">
        <v>116</v>
      </c>
      <c r="V294" s="298">
        <v>116</v>
      </c>
      <c r="W294" s="302"/>
      <c r="X294" s="301"/>
    </row>
    <row r="295" spans="1:24" s="299" customFormat="1" ht="15" customHeight="1" x14ac:dyDescent="0.25">
      <c r="A295" s="295" t="s">
        <v>595</v>
      </c>
      <c r="B295" s="295">
        <v>2</v>
      </c>
      <c r="C295" s="295">
        <v>2</v>
      </c>
      <c r="D295" s="295" t="s">
        <v>579</v>
      </c>
      <c r="E295" s="295" t="s">
        <v>580</v>
      </c>
      <c r="F295" s="295">
        <v>273</v>
      </c>
      <c r="G295" s="295" t="s">
        <v>25</v>
      </c>
      <c r="H295" s="295">
        <v>1</v>
      </c>
      <c r="I295" s="296">
        <v>26101</v>
      </c>
      <c r="J295" s="295">
        <v>1</v>
      </c>
      <c r="K295" s="295">
        <v>19</v>
      </c>
      <c r="L295" s="295">
        <v>1</v>
      </c>
      <c r="M295" s="295">
        <v>1</v>
      </c>
      <c r="N295" s="295" t="s">
        <v>581</v>
      </c>
      <c r="O295" s="295">
        <v>13</v>
      </c>
      <c r="P295" s="298">
        <v>63126.6</v>
      </c>
      <c r="Q295" s="298">
        <f>1655.93+7893.37+18607.64</f>
        <v>28156.94</v>
      </c>
      <c r="R295" s="298">
        <f t="shared" ref="R295:R306" si="16">P295+Q295</f>
        <v>91283.54</v>
      </c>
      <c r="S295" s="298">
        <v>91283.543353768633</v>
      </c>
      <c r="T295" s="298">
        <v>91283.543353768633</v>
      </c>
      <c r="U295" s="298">
        <v>91283.543353768633</v>
      </c>
      <c r="V295" s="298">
        <v>84888.215324631761</v>
      </c>
      <c r="W295" s="302"/>
      <c r="X295" s="301"/>
    </row>
    <row r="296" spans="1:24" s="299" customFormat="1" ht="15" customHeight="1" x14ac:dyDescent="0.25">
      <c r="A296" s="295" t="s">
        <v>595</v>
      </c>
      <c r="B296" s="295">
        <v>2</v>
      </c>
      <c r="C296" s="295">
        <v>2</v>
      </c>
      <c r="D296" s="295" t="s">
        <v>579</v>
      </c>
      <c r="E296" s="295" t="s">
        <v>580</v>
      </c>
      <c r="F296" s="295">
        <v>273</v>
      </c>
      <c r="G296" s="295" t="s">
        <v>25</v>
      </c>
      <c r="H296" s="295">
        <v>1</v>
      </c>
      <c r="I296" s="296">
        <v>26102</v>
      </c>
      <c r="J296" s="295">
        <v>1</v>
      </c>
      <c r="K296" s="295">
        <v>19</v>
      </c>
      <c r="L296" s="295">
        <v>1</v>
      </c>
      <c r="M296" s="295">
        <v>1</v>
      </c>
      <c r="N296" s="295" t="s">
        <v>581</v>
      </c>
      <c r="O296" s="297">
        <v>13</v>
      </c>
      <c r="P296" s="298">
        <v>0</v>
      </c>
      <c r="Q296" s="298">
        <v>633.75</v>
      </c>
      <c r="R296" s="298">
        <f t="shared" si="16"/>
        <v>633.75</v>
      </c>
      <c r="S296" s="298">
        <v>855.30666666666673</v>
      </c>
      <c r="T296" s="298">
        <v>855.30666666666673</v>
      </c>
      <c r="U296" s="298">
        <v>855.30666666666673</v>
      </c>
      <c r="V296" s="298">
        <v>778.56347327663264</v>
      </c>
      <c r="W296" s="302"/>
      <c r="X296" s="301"/>
    </row>
    <row r="297" spans="1:24" s="299" customFormat="1" ht="15" customHeight="1" x14ac:dyDescent="0.25">
      <c r="A297" s="295" t="s">
        <v>595</v>
      </c>
      <c r="B297" s="295">
        <v>2</v>
      </c>
      <c r="C297" s="295">
        <v>2</v>
      </c>
      <c r="D297" s="295" t="s">
        <v>579</v>
      </c>
      <c r="E297" s="295" t="s">
        <v>580</v>
      </c>
      <c r="F297" s="295">
        <v>273</v>
      </c>
      <c r="G297" s="295" t="s">
        <v>25</v>
      </c>
      <c r="H297" s="295">
        <v>1</v>
      </c>
      <c r="I297" s="296">
        <v>27201</v>
      </c>
      <c r="J297" s="295">
        <v>1</v>
      </c>
      <c r="K297" s="295">
        <v>19</v>
      </c>
      <c r="L297" s="295">
        <v>1</v>
      </c>
      <c r="M297" s="295">
        <v>1</v>
      </c>
      <c r="N297" s="295" t="s">
        <v>581</v>
      </c>
      <c r="O297" s="295">
        <v>13</v>
      </c>
      <c r="P297" s="298">
        <v>0</v>
      </c>
      <c r="Q297" s="298">
        <v>0</v>
      </c>
      <c r="R297" s="298">
        <f t="shared" si="16"/>
        <v>0</v>
      </c>
      <c r="S297" s="298">
        <f>362.152-92.15</f>
        <v>270.00199999999995</v>
      </c>
      <c r="T297" s="298">
        <f>362.152-92.15</f>
        <v>270.00199999999995</v>
      </c>
      <c r="U297" s="298">
        <f t="shared" ref="U297:V297" si="17">362.152-92.15</f>
        <v>270.00199999999995</v>
      </c>
      <c r="V297" s="298">
        <f t="shared" si="17"/>
        <v>270.00199999999995</v>
      </c>
      <c r="W297" s="302"/>
      <c r="X297" s="301"/>
    </row>
    <row r="298" spans="1:24" s="299" customFormat="1" ht="15" customHeight="1" x14ac:dyDescent="0.25">
      <c r="A298" s="295" t="s">
        <v>595</v>
      </c>
      <c r="B298" s="295">
        <v>2</v>
      </c>
      <c r="C298" s="295">
        <v>2</v>
      </c>
      <c r="D298" s="295" t="s">
        <v>579</v>
      </c>
      <c r="E298" s="295" t="s">
        <v>580</v>
      </c>
      <c r="F298" s="295">
        <v>273</v>
      </c>
      <c r="G298" s="295" t="s">
        <v>25</v>
      </c>
      <c r="H298" s="295">
        <v>1</v>
      </c>
      <c r="I298" s="296">
        <v>29201</v>
      </c>
      <c r="J298" s="295">
        <v>1</v>
      </c>
      <c r="K298" s="295">
        <v>19</v>
      </c>
      <c r="L298" s="295">
        <v>1</v>
      </c>
      <c r="M298" s="295">
        <v>1</v>
      </c>
      <c r="N298" s="295" t="s">
        <v>581</v>
      </c>
      <c r="O298" s="297">
        <v>13</v>
      </c>
      <c r="P298" s="298">
        <v>0</v>
      </c>
      <c r="Q298" s="298">
        <v>189.82</v>
      </c>
      <c r="R298" s="298">
        <f t="shared" si="16"/>
        <v>189.82</v>
      </c>
      <c r="S298" s="298">
        <v>190.00093333333334</v>
      </c>
      <c r="T298" s="298">
        <v>190.00093333333334</v>
      </c>
      <c r="U298" s="298">
        <v>190.00093333333334</v>
      </c>
      <c r="V298" s="298">
        <v>190.00093333333334</v>
      </c>
      <c r="W298" s="302"/>
      <c r="X298" s="301"/>
    </row>
    <row r="299" spans="1:24" s="299" customFormat="1" ht="15" customHeight="1" x14ac:dyDescent="0.25">
      <c r="A299" s="295" t="s">
        <v>595</v>
      </c>
      <c r="B299" s="295">
        <v>2</v>
      </c>
      <c r="C299" s="295">
        <v>2</v>
      </c>
      <c r="D299" s="295" t="s">
        <v>579</v>
      </c>
      <c r="E299" s="295" t="s">
        <v>580</v>
      </c>
      <c r="F299" s="295">
        <v>273</v>
      </c>
      <c r="G299" s="295" t="s">
        <v>25</v>
      </c>
      <c r="H299" s="295">
        <v>1</v>
      </c>
      <c r="I299" s="296">
        <v>29301</v>
      </c>
      <c r="J299" s="295">
        <v>1</v>
      </c>
      <c r="K299" s="295">
        <v>19</v>
      </c>
      <c r="L299" s="295">
        <v>1</v>
      </c>
      <c r="M299" s="295">
        <v>1</v>
      </c>
      <c r="N299" s="295" t="s">
        <v>581</v>
      </c>
      <c r="O299" s="295">
        <v>13</v>
      </c>
      <c r="P299" s="298"/>
      <c r="Q299" s="298">
        <f>1090.52+166.67</f>
        <v>1257.19</v>
      </c>
      <c r="R299" s="298">
        <f t="shared" si="16"/>
        <v>1257.19</v>
      </c>
      <c r="S299" s="298">
        <v>1257.1865333333333</v>
      </c>
      <c r="T299" s="298">
        <v>1257.1865333333333</v>
      </c>
      <c r="U299" s="298">
        <v>1257.1865333333333</v>
      </c>
      <c r="V299" s="298">
        <v>1257.1865333333333</v>
      </c>
      <c r="W299" s="302"/>
      <c r="X299" s="301"/>
    </row>
    <row r="300" spans="1:24" s="299" customFormat="1" ht="15" customHeight="1" x14ac:dyDescent="0.25">
      <c r="A300" s="295" t="s">
        <v>595</v>
      </c>
      <c r="B300" s="295">
        <v>2</v>
      </c>
      <c r="C300" s="295">
        <v>2</v>
      </c>
      <c r="D300" s="295" t="s">
        <v>579</v>
      </c>
      <c r="E300" s="295" t="s">
        <v>580</v>
      </c>
      <c r="F300" s="295">
        <v>273</v>
      </c>
      <c r="G300" s="295" t="s">
        <v>25</v>
      </c>
      <c r="H300" s="295">
        <v>1</v>
      </c>
      <c r="I300" s="296">
        <v>29401</v>
      </c>
      <c r="J300" s="295">
        <v>1</v>
      </c>
      <c r="K300" s="295">
        <v>19</v>
      </c>
      <c r="L300" s="295">
        <v>1</v>
      </c>
      <c r="M300" s="295">
        <v>1</v>
      </c>
      <c r="N300" s="295" t="s">
        <v>581</v>
      </c>
      <c r="O300" s="295">
        <v>13</v>
      </c>
      <c r="P300" s="298">
        <v>0</v>
      </c>
      <c r="Q300" s="298">
        <v>536.75</v>
      </c>
      <c r="R300" s="298">
        <f t="shared" si="16"/>
        <v>536.75</v>
      </c>
      <c r="S300" s="298">
        <v>536.75</v>
      </c>
      <c r="T300" s="298">
        <v>536.75</v>
      </c>
      <c r="U300" s="298">
        <v>536.75</v>
      </c>
      <c r="V300" s="298">
        <v>536.75</v>
      </c>
      <c r="W300" s="302"/>
      <c r="X300" s="301"/>
    </row>
    <row r="301" spans="1:24" s="299" customFormat="1" ht="15" customHeight="1" x14ac:dyDescent="0.25">
      <c r="A301" s="295" t="s">
        <v>595</v>
      </c>
      <c r="B301" s="295">
        <v>2</v>
      </c>
      <c r="C301" s="295">
        <v>2</v>
      </c>
      <c r="D301" s="295" t="s">
        <v>579</v>
      </c>
      <c r="E301" s="295" t="s">
        <v>580</v>
      </c>
      <c r="F301" s="295">
        <v>273</v>
      </c>
      <c r="G301" s="295" t="s">
        <v>25</v>
      </c>
      <c r="H301" s="295">
        <v>1</v>
      </c>
      <c r="I301" s="296">
        <v>29601</v>
      </c>
      <c r="J301" s="295">
        <v>1</v>
      </c>
      <c r="K301" s="295">
        <v>19</v>
      </c>
      <c r="L301" s="295">
        <v>1</v>
      </c>
      <c r="M301" s="295">
        <v>1</v>
      </c>
      <c r="N301" s="295" t="s">
        <v>581</v>
      </c>
      <c r="O301" s="297">
        <v>13</v>
      </c>
      <c r="P301" s="298">
        <v>3333.33</v>
      </c>
      <c r="Q301" s="298">
        <f>21618.88+20346.68</f>
        <v>41965.56</v>
      </c>
      <c r="R301" s="298">
        <f t="shared" si="16"/>
        <v>45298.89</v>
      </c>
      <c r="S301" s="298">
        <v>45298.889333333333</v>
      </c>
      <c r="T301" s="298">
        <v>45298.889333333333</v>
      </c>
      <c r="U301" s="298">
        <v>45298.889333333333</v>
      </c>
      <c r="V301" s="298">
        <v>44832.120439848113</v>
      </c>
      <c r="W301" s="302"/>
      <c r="X301" s="301"/>
    </row>
    <row r="302" spans="1:24" s="299" customFormat="1" ht="15" customHeight="1" x14ac:dyDescent="0.25">
      <c r="A302" s="295" t="s">
        <v>595</v>
      </c>
      <c r="B302" s="295">
        <v>2</v>
      </c>
      <c r="C302" s="295">
        <v>2</v>
      </c>
      <c r="D302" s="295" t="s">
        <v>579</v>
      </c>
      <c r="E302" s="295" t="s">
        <v>580</v>
      </c>
      <c r="F302" s="295">
        <v>273</v>
      </c>
      <c r="G302" s="295" t="s">
        <v>25</v>
      </c>
      <c r="H302" s="295">
        <v>1</v>
      </c>
      <c r="I302" s="296">
        <v>29801</v>
      </c>
      <c r="J302" s="295">
        <v>1</v>
      </c>
      <c r="K302" s="295">
        <v>19</v>
      </c>
      <c r="L302" s="295">
        <v>1</v>
      </c>
      <c r="M302" s="295">
        <v>1</v>
      </c>
      <c r="N302" s="295" t="s">
        <v>581</v>
      </c>
      <c r="O302" s="295">
        <v>13</v>
      </c>
      <c r="P302" s="298">
        <v>103.88</v>
      </c>
      <c r="Q302" s="298">
        <v>3641.12</v>
      </c>
      <c r="R302" s="298">
        <f t="shared" si="16"/>
        <v>3745</v>
      </c>
      <c r="S302" s="298">
        <v>3745.0033333333336</v>
      </c>
      <c r="T302" s="298">
        <v>3745.0033333333336</v>
      </c>
      <c r="U302" s="298">
        <v>3745.0033333333336</v>
      </c>
      <c r="V302" s="298">
        <v>3745.0033333333336</v>
      </c>
      <c r="W302" s="302"/>
      <c r="X302" s="301"/>
    </row>
    <row r="303" spans="1:24" s="299" customFormat="1" ht="15" customHeight="1" x14ac:dyDescent="0.25">
      <c r="A303" s="295" t="s">
        <v>595</v>
      </c>
      <c r="B303" s="295">
        <v>2</v>
      </c>
      <c r="C303" s="295">
        <v>2</v>
      </c>
      <c r="D303" s="295" t="s">
        <v>579</v>
      </c>
      <c r="E303" s="295" t="s">
        <v>580</v>
      </c>
      <c r="F303" s="295">
        <v>273</v>
      </c>
      <c r="G303" s="295" t="s">
        <v>25</v>
      </c>
      <c r="H303" s="295">
        <v>1</v>
      </c>
      <c r="I303" s="296">
        <v>31801</v>
      </c>
      <c r="J303" s="295">
        <v>1</v>
      </c>
      <c r="K303" s="295">
        <v>19</v>
      </c>
      <c r="L303" s="295">
        <v>1</v>
      </c>
      <c r="M303" s="295">
        <v>1</v>
      </c>
      <c r="N303" s="295" t="s">
        <v>581</v>
      </c>
      <c r="O303" s="297">
        <v>13</v>
      </c>
      <c r="P303" s="298">
        <v>479.79</v>
      </c>
      <c r="Q303" s="298">
        <f>864.27+244.46</f>
        <v>1108.73</v>
      </c>
      <c r="R303" s="298">
        <f t="shared" si="16"/>
        <v>1588.52</v>
      </c>
      <c r="S303" s="298">
        <v>1588.5155999999999</v>
      </c>
      <c r="T303" s="298">
        <v>1588.5155999999999</v>
      </c>
      <c r="U303" s="298">
        <v>1588.5155999999999</v>
      </c>
      <c r="V303" s="298">
        <v>1588.5155999999999</v>
      </c>
      <c r="X303" s="301"/>
    </row>
    <row r="304" spans="1:24" s="299" customFormat="1" ht="15" customHeight="1" x14ac:dyDescent="0.25">
      <c r="A304" s="295" t="s">
        <v>595</v>
      </c>
      <c r="B304" s="295">
        <v>2</v>
      </c>
      <c r="C304" s="295">
        <v>2</v>
      </c>
      <c r="D304" s="295" t="s">
        <v>579</v>
      </c>
      <c r="E304" s="295" t="s">
        <v>580</v>
      </c>
      <c r="F304" s="295">
        <v>273</v>
      </c>
      <c r="G304" s="295" t="s">
        <v>25</v>
      </c>
      <c r="H304" s="295">
        <v>1</v>
      </c>
      <c r="I304" s="296">
        <v>33401</v>
      </c>
      <c r="J304" s="295">
        <v>1</v>
      </c>
      <c r="K304" s="295">
        <v>19</v>
      </c>
      <c r="L304" s="295">
        <v>1</v>
      </c>
      <c r="M304" s="295">
        <v>1</v>
      </c>
      <c r="N304" s="295" t="s">
        <v>581</v>
      </c>
      <c r="O304" s="295">
        <v>13</v>
      </c>
      <c r="P304" s="298">
        <v>1615.5</v>
      </c>
      <c r="Q304" s="298">
        <v>-1615.5</v>
      </c>
      <c r="R304" s="298">
        <f t="shared" si="16"/>
        <v>0</v>
      </c>
      <c r="S304" s="298">
        <v>0</v>
      </c>
      <c r="T304" s="298">
        <v>0</v>
      </c>
      <c r="U304" s="298">
        <v>0</v>
      </c>
      <c r="V304" s="298">
        <v>0</v>
      </c>
    </row>
    <row r="305" spans="1:24" s="299" customFormat="1" ht="15" customHeight="1" x14ac:dyDescent="0.25">
      <c r="A305" s="295" t="s">
        <v>595</v>
      </c>
      <c r="B305" s="295">
        <v>2</v>
      </c>
      <c r="C305" s="295">
        <v>2</v>
      </c>
      <c r="D305" s="295" t="s">
        <v>579</v>
      </c>
      <c r="E305" s="295" t="s">
        <v>580</v>
      </c>
      <c r="F305" s="295">
        <v>273</v>
      </c>
      <c r="G305" s="295" t="s">
        <v>25</v>
      </c>
      <c r="H305" s="295">
        <v>1</v>
      </c>
      <c r="I305" s="296">
        <v>33603</v>
      </c>
      <c r="J305" s="295">
        <v>1</v>
      </c>
      <c r="K305" s="295">
        <v>19</v>
      </c>
      <c r="L305" s="295">
        <v>1</v>
      </c>
      <c r="M305" s="295">
        <v>1</v>
      </c>
      <c r="N305" s="295" t="s">
        <v>581</v>
      </c>
      <c r="O305" s="297">
        <v>13</v>
      </c>
      <c r="P305" s="298">
        <v>562.75</v>
      </c>
      <c r="Q305" s="298">
        <v>-562.75</v>
      </c>
      <c r="R305" s="298">
        <f t="shared" si="16"/>
        <v>0</v>
      </c>
      <c r="S305" s="298">
        <v>0</v>
      </c>
      <c r="T305" s="298">
        <v>0</v>
      </c>
      <c r="U305" s="298">
        <v>0</v>
      </c>
      <c r="V305" s="298"/>
    </row>
    <row r="306" spans="1:24" s="299" customFormat="1" ht="15" customHeight="1" x14ac:dyDescent="0.25">
      <c r="A306" s="295" t="s">
        <v>595</v>
      </c>
      <c r="B306" s="295">
        <v>2</v>
      </c>
      <c r="C306" s="295">
        <v>2</v>
      </c>
      <c r="D306" s="295" t="s">
        <v>579</v>
      </c>
      <c r="E306" s="295" t="s">
        <v>580</v>
      </c>
      <c r="F306" s="295">
        <v>273</v>
      </c>
      <c r="G306" s="295" t="s">
        <v>25</v>
      </c>
      <c r="H306" s="295">
        <v>1</v>
      </c>
      <c r="I306" s="296">
        <v>34401</v>
      </c>
      <c r="J306" s="295">
        <v>1</v>
      </c>
      <c r="K306" s="295">
        <v>19</v>
      </c>
      <c r="L306" s="295">
        <v>1</v>
      </c>
      <c r="M306" s="295">
        <v>1</v>
      </c>
      <c r="N306" s="295" t="s">
        <v>581</v>
      </c>
      <c r="O306" s="295">
        <v>13</v>
      </c>
      <c r="P306" s="298">
        <v>21771.31</v>
      </c>
      <c r="Q306" s="298">
        <v>0</v>
      </c>
      <c r="R306" s="298">
        <f t="shared" si="16"/>
        <v>21771.31</v>
      </c>
      <c r="S306" s="298">
        <v>31522.19573333333</v>
      </c>
      <c r="T306" s="298">
        <v>31522.19573333333</v>
      </c>
      <c r="U306" s="298">
        <v>31522.19573333333</v>
      </c>
      <c r="V306" s="298">
        <v>31522.19573333333</v>
      </c>
      <c r="X306" s="301"/>
    </row>
    <row r="307" spans="1:24" s="299" customFormat="1" ht="15" customHeight="1" x14ac:dyDescent="0.25">
      <c r="A307" s="295" t="s">
        <v>595</v>
      </c>
      <c r="B307" s="295">
        <v>2</v>
      </c>
      <c r="C307" s="295">
        <v>2</v>
      </c>
      <c r="D307" s="295" t="s">
        <v>579</v>
      </c>
      <c r="E307" s="295" t="s">
        <v>580</v>
      </c>
      <c r="F307" s="295">
        <v>273</v>
      </c>
      <c r="G307" s="295" t="s">
        <v>25</v>
      </c>
      <c r="H307" s="295">
        <v>1</v>
      </c>
      <c r="I307" s="296">
        <v>35101</v>
      </c>
      <c r="J307" s="295">
        <v>1</v>
      </c>
      <c r="K307" s="295">
        <v>19</v>
      </c>
      <c r="L307" s="295">
        <v>1</v>
      </c>
      <c r="M307" s="295">
        <v>1</v>
      </c>
      <c r="N307" s="295" t="s">
        <v>581</v>
      </c>
      <c r="O307" s="297">
        <v>13</v>
      </c>
      <c r="P307" s="298"/>
      <c r="Q307" s="298">
        <v>36.67</v>
      </c>
      <c r="R307" s="298">
        <f>P307+Q307</f>
        <v>36.67</v>
      </c>
      <c r="S307" s="298">
        <v>36.6676</v>
      </c>
      <c r="T307" s="298">
        <v>36.6676</v>
      </c>
      <c r="U307" s="298">
        <v>36.6676</v>
      </c>
      <c r="V307" s="298">
        <v>36.67</v>
      </c>
      <c r="X307" s="301"/>
    </row>
    <row r="308" spans="1:24" s="299" customFormat="1" ht="15" customHeight="1" x14ac:dyDescent="0.25">
      <c r="A308" s="295" t="s">
        <v>595</v>
      </c>
      <c r="B308" s="295">
        <v>2</v>
      </c>
      <c r="C308" s="295">
        <v>2</v>
      </c>
      <c r="D308" s="295" t="s">
        <v>579</v>
      </c>
      <c r="E308" s="295" t="s">
        <v>580</v>
      </c>
      <c r="F308" s="295">
        <v>273</v>
      </c>
      <c r="G308" s="295" t="s">
        <v>25</v>
      </c>
      <c r="H308" s="295">
        <v>1</v>
      </c>
      <c r="I308" s="296">
        <v>35302</v>
      </c>
      <c r="J308" s="295">
        <v>1</v>
      </c>
      <c r="K308" s="295">
        <v>19</v>
      </c>
      <c r="L308" s="295">
        <v>1</v>
      </c>
      <c r="M308" s="295">
        <v>1</v>
      </c>
      <c r="N308" s="295" t="s">
        <v>581</v>
      </c>
      <c r="O308" s="297">
        <v>13</v>
      </c>
      <c r="P308" s="298">
        <v>2439.34</v>
      </c>
      <c r="Q308" s="298">
        <v>-731.69</v>
      </c>
      <c r="R308" s="298">
        <f>P308+Q308</f>
        <v>1707.65</v>
      </c>
      <c r="S308" s="298">
        <v>0</v>
      </c>
      <c r="T308" s="298">
        <v>0</v>
      </c>
      <c r="U308" s="298">
        <v>0</v>
      </c>
      <c r="V308" s="298">
        <v>0</v>
      </c>
    </row>
    <row r="309" spans="1:24" s="299" customFormat="1" ht="15" customHeight="1" x14ac:dyDescent="0.25">
      <c r="A309" s="295" t="s">
        <v>595</v>
      </c>
      <c r="B309" s="295">
        <v>2</v>
      </c>
      <c r="C309" s="295">
        <v>2</v>
      </c>
      <c r="D309" s="295" t="s">
        <v>579</v>
      </c>
      <c r="E309" s="295" t="s">
        <v>580</v>
      </c>
      <c r="F309" s="295">
        <v>273</v>
      </c>
      <c r="G309" s="295" t="s">
        <v>25</v>
      </c>
      <c r="H309" s="295">
        <v>1</v>
      </c>
      <c r="I309" s="296">
        <v>35501</v>
      </c>
      <c r="J309" s="295">
        <v>1</v>
      </c>
      <c r="K309" s="295">
        <v>19</v>
      </c>
      <c r="L309" s="295">
        <v>1</v>
      </c>
      <c r="M309" s="295">
        <v>1</v>
      </c>
      <c r="N309" s="295" t="s">
        <v>581</v>
      </c>
      <c r="O309" s="295">
        <v>13</v>
      </c>
      <c r="P309" s="298">
        <v>1927.45</v>
      </c>
      <c r="Q309" s="298">
        <f>9000+2387.4+11928.73</f>
        <v>23316.129999999997</v>
      </c>
      <c r="R309" s="298">
        <f>P309+Q309</f>
        <v>25243.579999999998</v>
      </c>
      <c r="S309" s="298">
        <v>25243.5756</v>
      </c>
      <c r="T309" s="298">
        <v>25243.5756</v>
      </c>
      <c r="U309" s="298">
        <v>25243.5756</v>
      </c>
      <c r="V309" s="298">
        <v>24487.590934327698</v>
      </c>
      <c r="X309" s="301"/>
    </row>
    <row r="310" spans="1:24" s="299" customFormat="1" ht="15" customHeight="1" x14ac:dyDescent="0.25">
      <c r="A310" s="295" t="s">
        <v>595</v>
      </c>
      <c r="B310" s="295">
        <v>2</v>
      </c>
      <c r="C310" s="295">
        <v>2</v>
      </c>
      <c r="D310" s="295" t="s">
        <v>579</v>
      </c>
      <c r="E310" s="295" t="s">
        <v>580</v>
      </c>
      <c r="F310" s="295">
        <v>273</v>
      </c>
      <c r="G310" s="295" t="s">
        <v>25</v>
      </c>
      <c r="H310" s="295">
        <v>1</v>
      </c>
      <c r="I310" s="296">
        <v>35701</v>
      </c>
      <c r="J310" s="295">
        <v>1</v>
      </c>
      <c r="K310" s="295">
        <v>19</v>
      </c>
      <c r="L310" s="295">
        <v>1</v>
      </c>
      <c r="M310" s="295">
        <v>1</v>
      </c>
      <c r="N310" s="295" t="s">
        <v>581</v>
      </c>
      <c r="O310" s="297">
        <v>13</v>
      </c>
      <c r="P310" s="298">
        <v>251.24</v>
      </c>
      <c r="Q310" s="298">
        <v>0</v>
      </c>
      <c r="R310" s="298">
        <f>P310+Q310</f>
        <v>251.24</v>
      </c>
      <c r="S310" s="298">
        <v>14117.199999999999</v>
      </c>
      <c r="T310" s="298">
        <v>14117.199999999999</v>
      </c>
      <c r="U310" s="298">
        <v>14117.199999999999</v>
      </c>
      <c r="V310" s="298">
        <v>2956.0411264683717</v>
      </c>
      <c r="X310" s="301"/>
    </row>
    <row r="311" spans="1:24" s="299" customFormat="1" ht="15" customHeight="1" x14ac:dyDescent="0.25">
      <c r="A311" s="295" t="s">
        <v>595</v>
      </c>
      <c r="B311" s="295">
        <v>2</v>
      </c>
      <c r="C311" s="295">
        <v>2</v>
      </c>
      <c r="D311" s="295" t="s">
        <v>579</v>
      </c>
      <c r="E311" s="295" t="s">
        <v>580</v>
      </c>
      <c r="F311" s="295">
        <v>273</v>
      </c>
      <c r="G311" s="295" t="s">
        <v>25</v>
      </c>
      <c r="H311" s="295">
        <v>1</v>
      </c>
      <c r="I311" s="296">
        <v>37101</v>
      </c>
      <c r="J311" s="295">
        <v>1</v>
      </c>
      <c r="K311" s="295">
        <v>19</v>
      </c>
      <c r="L311" s="295">
        <v>1</v>
      </c>
      <c r="M311" s="295">
        <v>1</v>
      </c>
      <c r="N311" s="295" t="s">
        <v>581</v>
      </c>
      <c r="O311" s="295">
        <v>13</v>
      </c>
      <c r="P311" s="298">
        <v>16666.7</v>
      </c>
      <c r="Q311" s="298">
        <v>0</v>
      </c>
      <c r="R311" s="298">
        <f>P311+Q311</f>
        <v>16666.7</v>
      </c>
      <c r="S311" s="298">
        <v>11054.814327386019</v>
      </c>
      <c r="T311" s="298">
        <v>11054.814327386019</v>
      </c>
      <c r="U311" s="298">
        <v>11054.814327386019</v>
      </c>
      <c r="V311" s="298">
        <v>7985.9791364256171</v>
      </c>
      <c r="X311" s="301"/>
    </row>
    <row r="312" spans="1:24" s="299" customFormat="1" ht="15" customHeight="1" x14ac:dyDescent="0.25">
      <c r="A312" s="295" t="s">
        <v>595</v>
      </c>
      <c r="B312" s="295">
        <v>2</v>
      </c>
      <c r="C312" s="295">
        <v>2</v>
      </c>
      <c r="D312" s="295" t="s">
        <v>579</v>
      </c>
      <c r="E312" s="295" t="s">
        <v>580</v>
      </c>
      <c r="F312" s="295">
        <v>273</v>
      </c>
      <c r="G312" s="295" t="s">
        <v>25</v>
      </c>
      <c r="H312" s="295">
        <v>1</v>
      </c>
      <c r="I312" s="296">
        <v>37201</v>
      </c>
      <c r="J312" s="295">
        <v>1</v>
      </c>
      <c r="K312" s="295">
        <v>19</v>
      </c>
      <c r="L312" s="295">
        <v>1</v>
      </c>
      <c r="M312" s="295">
        <v>1</v>
      </c>
      <c r="N312" s="295" t="s">
        <v>581</v>
      </c>
      <c r="O312" s="297">
        <v>13</v>
      </c>
      <c r="P312" s="298">
        <v>932.9</v>
      </c>
      <c r="Q312" s="298">
        <v>-197.42</v>
      </c>
      <c r="R312" s="298">
        <f t="shared" ref="R312:R320" si="18">P312+Q312</f>
        <v>735.48</v>
      </c>
      <c r="S312" s="298">
        <v>735.47866666666653</v>
      </c>
      <c r="T312" s="298">
        <v>735.47866666666653</v>
      </c>
      <c r="U312" s="298">
        <v>735.47866666666653</v>
      </c>
      <c r="V312" s="298">
        <v>735.47866666666653</v>
      </c>
      <c r="X312" s="301"/>
    </row>
    <row r="313" spans="1:24" s="299" customFormat="1" ht="15" customHeight="1" x14ac:dyDescent="0.25">
      <c r="A313" s="295" t="s">
        <v>595</v>
      </c>
      <c r="B313" s="295">
        <v>2</v>
      </c>
      <c r="C313" s="295">
        <v>2</v>
      </c>
      <c r="D313" s="295" t="s">
        <v>579</v>
      </c>
      <c r="E313" s="295" t="s">
        <v>580</v>
      </c>
      <c r="F313" s="295">
        <v>273</v>
      </c>
      <c r="G313" s="295" t="s">
        <v>25</v>
      </c>
      <c r="H313" s="295">
        <v>1</v>
      </c>
      <c r="I313" s="296">
        <v>37501</v>
      </c>
      <c r="J313" s="295">
        <v>1</v>
      </c>
      <c r="K313" s="295">
        <v>19</v>
      </c>
      <c r="L313" s="295">
        <v>1</v>
      </c>
      <c r="M313" s="295">
        <v>1</v>
      </c>
      <c r="N313" s="295" t="s">
        <v>581</v>
      </c>
      <c r="O313" s="295">
        <v>13</v>
      </c>
      <c r="P313" s="298">
        <v>53576.9</v>
      </c>
      <c r="Q313" s="298">
        <v>53536.51</v>
      </c>
      <c r="R313" s="298">
        <f t="shared" si="18"/>
        <v>107113.41</v>
      </c>
      <c r="S313" s="298">
        <v>107113.40802850523</v>
      </c>
      <c r="T313" s="298">
        <v>107113.40802850523</v>
      </c>
      <c r="U313" s="298">
        <v>107113.40802850523</v>
      </c>
      <c r="V313" s="298">
        <v>107113.40802850523</v>
      </c>
      <c r="X313" s="301"/>
    </row>
    <row r="314" spans="1:24" s="299" customFormat="1" ht="15" customHeight="1" x14ac:dyDescent="0.25">
      <c r="A314" s="295" t="s">
        <v>595</v>
      </c>
      <c r="B314" s="295">
        <v>2</v>
      </c>
      <c r="C314" s="295">
        <v>2</v>
      </c>
      <c r="D314" s="295" t="s">
        <v>579</v>
      </c>
      <c r="E314" s="295" t="s">
        <v>580</v>
      </c>
      <c r="F314" s="295">
        <v>273</v>
      </c>
      <c r="G314" s="295" t="s">
        <v>25</v>
      </c>
      <c r="H314" s="295">
        <v>1</v>
      </c>
      <c r="I314" s="296">
        <v>37502</v>
      </c>
      <c r="J314" s="295">
        <v>1</v>
      </c>
      <c r="K314" s="295">
        <v>19</v>
      </c>
      <c r="L314" s="295">
        <v>1</v>
      </c>
      <c r="M314" s="295">
        <v>1</v>
      </c>
      <c r="N314" s="295" t="s">
        <v>581</v>
      </c>
      <c r="O314" s="297">
        <v>13</v>
      </c>
      <c r="P314" s="298">
        <v>34827.800000000003</v>
      </c>
      <c r="Q314" s="298">
        <f>3820.18+2118.69</f>
        <v>5938.87</v>
      </c>
      <c r="R314" s="298">
        <f t="shared" si="18"/>
        <v>40766.670000000006</v>
      </c>
      <c r="S314" s="298">
        <v>40766.666666666664</v>
      </c>
      <c r="T314" s="298">
        <v>40766.666666666664</v>
      </c>
      <c r="U314" s="298">
        <v>40766.666666666664</v>
      </c>
      <c r="V314" s="298">
        <v>40766.666666666664</v>
      </c>
      <c r="X314" s="301"/>
    </row>
    <row r="315" spans="1:24" s="299" customFormat="1" ht="15" customHeight="1" x14ac:dyDescent="0.25">
      <c r="A315" s="295" t="s">
        <v>595</v>
      </c>
      <c r="B315" s="295">
        <v>2</v>
      </c>
      <c r="C315" s="295">
        <v>2</v>
      </c>
      <c r="D315" s="295" t="s">
        <v>579</v>
      </c>
      <c r="E315" s="295" t="s">
        <v>580</v>
      </c>
      <c r="F315" s="295">
        <v>273</v>
      </c>
      <c r="G315" s="295" t="s">
        <v>25</v>
      </c>
      <c r="H315" s="295">
        <v>1</v>
      </c>
      <c r="I315" s="296">
        <v>37601</v>
      </c>
      <c r="J315" s="295">
        <v>1</v>
      </c>
      <c r="K315" s="295">
        <v>19</v>
      </c>
      <c r="L315" s="295">
        <v>1</v>
      </c>
      <c r="M315" s="295">
        <v>1</v>
      </c>
      <c r="N315" s="295" t="s">
        <v>581</v>
      </c>
      <c r="O315" s="295">
        <v>13</v>
      </c>
      <c r="P315" s="298">
        <v>2539.42</v>
      </c>
      <c r="Q315" s="298">
        <v>0</v>
      </c>
      <c r="R315" s="298">
        <f t="shared" si="18"/>
        <v>2539.42</v>
      </c>
      <c r="S315" s="298">
        <v>0</v>
      </c>
      <c r="T315" s="298">
        <v>0</v>
      </c>
      <c r="U315" s="298">
        <v>0</v>
      </c>
      <c r="V315" s="298">
        <v>0</v>
      </c>
    </row>
    <row r="316" spans="1:24" s="299" customFormat="1" ht="15" customHeight="1" x14ac:dyDescent="0.25">
      <c r="A316" s="295" t="s">
        <v>595</v>
      </c>
      <c r="B316" s="295">
        <v>2</v>
      </c>
      <c r="C316" s="295">
        <v>2</v>
      </c>
      <c r="D316" s="295" t="s">
        <v>579</v>
      </c>
      <c r="E316" s="295" t="s">
        <v>580</v>
      </c>
      <c r="F316" s="295">
        <v>273</v>
      </c>
      <c r="G316" s="295" t="s">
        <v>25</v>
      </c>
      <c r="H316" s="295">
        <v>1</v>
      </c>
      <c r="I316" s="296">
        <v>37901</v>
      </c>
      <c r="J316" s="295">
        <v>1</v>
      </c>
      <c r="K316" s="295">
        <v>19</v>
      </c>
      <c r="L316" s="295">
        <v>1</v>
      </c>
      <c r="M316" s="295">
        <v>1</v>
      </c>
      <c r="N316" s="295" t="s">
        <v>581</v>
      </c>
      <c r="O316" s="295">
        <v>13</v>
      </c>
      <c r="P316" s="298">
        <f>2108.36+1.26</f>
        <v>2109.6200000000003</v>
      </c>
      <c r="Q316" s="298">
        <v>0</v>
      </c>
      <c r="R316" s="298">
        <f t="shared" si="18"/>
        <v>2109.6200000000003</v>
      </c>
      <c r="S316" s="298">
        <v>476.3221333333334</v>
      </c>
      <c r="T316" s="298">
        <v>552.99040000000002</v>
      </c>
      <c r="U316" s="298">
        <v>552.99040000000002</v>
      </c>
      <c r="V316" s="298">
        <v>552.99040000000002</v>
      </c>
      <c r="X316" s="301"/>
    </row>
    <row r="317" spans="1:24" s="299" customFormat="1" ht="15" customHeight="1" x14ac:dyDescent="0.25">
      <c r="A317" s="295" t="s">
        <v>595</v>
      </c>
      <c r="B317" s="295">
        <v>2</v>
      </c>
      <c r="C317" s="295">
        <v>2</v>
      </c>
      <c r="D317" s="295" t="s">
        <v>579</v>
      </c>
      <c r="E317" s="295" t="s">
        <v>580</v>
      </c>
      <c r="F317" s="295">
        <v>273</v>
      </c>
      <c r="G317" s="295" t="s">
        <v>25</v>
      </c>
      <c r="H317" s="295">
        <v>1</v>
      </c>
      <c r="I317" s="296">
        <v>38301</v>
      </c>
      <c r="J317" s="295">
        <v>1</v>
      </c>
      <c r="K317" s="295">
        <v>19</v>
      </c>
      <c r="L317" s="295">
        <v>1</v>
      </c>
      <c r="M317" s="295">
        <v>1</v>
      </c>
      <c r="N317" s="295" t="s">
        <v>581</v>
      </c>
      <c r="O317" s="295">
        <v>13</v>
      </c>
      <c r="P317" s="298"/>
      <c r="Q317" s="298">
        <v>971.96</v>
      </c>
      <c r="R317" s="298">
        <f t="shared" si="18"/>
        <v>971.96</v>
      </c>
      <c r="S317" s="298">
        <v>971.95973095178158</v>
      </c>
      <c r="T317" s="298">
        <v>971.95973095178158</v>
      </c>
      <c r="U317" s="298">
        <v>971.95973095178158</v>
      </c>
      <c r="V317" s="298">
        <v>971.95973095178158</v>
      </c>
      <c r="X317" s="301"/>
    </row>
    <row r="318" spans="1:24" s="299" customFormat="1" ht="15" customHeight="1" x14ac:dyDescent="0.25">
      <c r="A318" s="295" t="s">
        <v>595</v>
      </c>
      <c r="B318" s="295">
        <v>2</v>
      </c>
      <c r="C318" s="295">
        <v>2</v>
      </c>
      <c r="D318" s="295" t="s">
        <v>579</v>
      </c>
      <c r="E318" s="295" t="s">
        <v>580</v>
      </c>
      <c r="F318" s="295">
        <v>274</v>
      </c>
      <c r="G318" s="295" t="s">
        <v>25</v>
      </c>
      <c r="H318" s="295">
        <v>1</v>
      </c>
      <c r="I318" s="296">
        <v>38301</v>
      </c>
      <c r="J318" s="295">
        <v>1</v>
      </c>
      <c r="K318" s="295">
        <v>19</v>
      </c>
      <c r="L318" s="295">
        <v>1</v>
      </c>
      <c r="M318" s="295">
        <v>1</v>
      </c>
      <c r="N318" s="295" t="s">
        <v>581</v>
      </c>
      <c r="O318" s="295">
        <v>13</v>
      </c>
      <c r="P318" s="298"/>
      <c r="Q318" s="298">
        <v>971.96</v>
      </c>
      <c r="R318" s="298">
        <f t="shared" si="18"/>
        <v>971.96</v>
      </c>
      <c r="S318" s="298">
        <v>971.95973095178158</v>
      </c>
      <c r="T318" s="298">
        <v>971.95973095178158</v>
      </c>
      <c r="U318" s="298">
        <v>971.95973095178158</v>
      </c>
      <c r="V318" s="298">
        <v>971.95973095178158</v>
      </c>
    </row>
    <row r="319" spans="1:24" s="299" customFormat="1" ht="15" customHeight="1" x14ac:dyDescent="0.25">
      <c r="A319" s="295" t="s">
        <v>595</v>
      </c>
      <c r="B319" s="295">
        <v>2</v>
      </c>
      <c r="C319" s="295">
        <v>2</v>
      </c>
      <c r="D319" s="295" t="s">
        <v>579</v>
      </c>
      <c r="E319" s="295" t="s">
        <v>580</v>
      </c>
      <c r="F319" s="295">
        <v>448</v>
      </c>
      <c r="G319" s="295" t="s">
        <v>25</v>
      </c>
      <c r="H319" s="295">
        <v>1</v>
      </c>
      <c r="I319" s="296">
        <v>38301</v>
      </c>
      <c r="J319" s="295">
        <v>1</v>
      </c>
      <c r="K319" s="295">
        <v>19</v>
      </c>
      <c r="L319" s="295">
        <v>1</v>
      </c>
      <c r="M319" s="295">
        <v>1</v>
      </c>
      <c r="N319" s="295" t="s">
        <v>581</v>
      </c>
      <c r="O319" s="295">
        <v>13</v>
      </c>
      <c r="P319" s="298"/>
      <c r="Q319" s="298">
        <v>971.96</v>
      </c>
      <c r="R319" s="298">
        <f t="shared" si="18"/>
        <v>971.96</v>
      </c>
      <c r="S319" s="298">
        <v>971.95973095178158</v>
      </c>
      <c r="T319" s="298">
        <v>971.95973095178158</v>
      </c>
      <c r="U319" s="298">
        <v>971.95973095178158</v>
      </c>
      <c r="V319" s="298">
        <v>971.95973095178158</v>
      </c>
    </row>
    <row r="320" spans="1:24" s="299" customFormat="1" ht="15" customHeight="1" x14ac:dyDescent="0.25">
      <c r="A320" s="295" t="s">
        <v>595</v>
      </c>
      <c r="B320" s="295">
        <v>2</v>
      </c>
      <c r="C320" s="295">
        <v>2</v>
      </c>
      <c r="D320" s="295" t="s">
        <v>579</v>
      </c>
      <c r="E320" s="295" t="s">
        <v>580</v>
      </c>
      <c r="F320" s="295">
        <v>273</v>
      </c>
      <c r="G320" s="295" t="s">
        <v>25</v>
      </c>
      <c r="H320" s="295">
        <v>1</v>
      </c>
      <c r="I320" s="296">
        <v>39201</v>
      </c>
      <c r="J320" s="295">
        <v>1</v>
      </c>
      <c r="K320" s="295">
        <v>19</v>
      </c>
      <c r="L320" s="295">
        <v>1</v>
      </c>
      <c r="M320" s="295">
        <v>1</v>
      </c>
      <c r="N320" s="295" t="s">
        <v>581</v>
      </c>
      <c r="O320" s="295">
        <v>13</v>
      </c>
      <c r="P320" s="298">
        <v>0</v>
      </c>
      <c r="Q320" s="298">
        <v>871.33</v>
      </c>
      <c r="R320" s="301">
        <f t="shared" si="18"/>
        <v>871.33</v>
      </c>
      <c r="S320" s="298">
        <v>871.33333333333337</v>
      </c>
      <c r="T320" s="298">
        <v>871.33333333333337</v>
      </c>
      <c r="U320" s="298">
        <v>871.33333333333337</v>
      </c>
      <c r="V320" s="298">
        <v>744.35735056909186</v>
      </c>
      <c r="X320" s="301"/>
    </row>
    <row r="321" spans="1:27" s="299" customFormat="1" ht="15" customHeight="1" x14ac:dyDescent="0.25">
      <c r="A321" s="295" t="s">
        <v>595</v>
      </c>
      <c r="B321" s="295">
        <v>2</v>
      </c>
      <c r="C321" s="295">
        <v>2</v>
      </c>
      <c r="D321" s="295" t="s">
        <v>579</v>
      </c>
      <c r="E321" s="295" t="s">
        <v>580</v>
      </c>
      <c r="F321" s="295">
        <v>273</v>
      </c>
      <c r="G321" s="295" t="s">
        <v>25</v>
      </c>
      <c r="H321" s="295">
        <v>1</v>
      </c>
      <c r="I321" s="296">
        <v>39601</v>
      </c>
      <c r="J321" s="295">
        <v>1</v>
      </c>
      <c r="K321" s="295">
        <v>19</v>
      </c>
      <c r="L321" s="295">
        <v>1</v>
      </c>
      <c r="M321" s="295">
        <v>1</v>
      </c>
      <c r="N321" s="295" t="s">
        <v>581</v>
      </c>
      <c r="O321" s="295">
        <v>13</v>
      </c>
      <c r="P321" s="298"/>
      <c r="Q321" s="298"/>
      <c r="R321" s="301"/>
      <c r="S321" s="298">
        <v>385.89333333333337</v>
      </c>
      <c r="T321" s="298">
        <v>385.89333333333337</v>
      </c>
      <c r="U321" s="298">
        <v>385.89333333333337</v>
      </c>
      <c r="V321" s="298">
        <v>385.89333333333337</v>
      </c>
      <c r="X321" s="301"/>
    </row>
    <row r="322" spans="1:27" s="299" customFormat="1" ht="15" customHeight="1" x14ac:dyDescent="0.25">
      <c r="A322" s="295" t="s">
        <v>595</v>
      </c>
      <c r="B322" s="295">
        <v>2</v>
      </c>
      <c r="C322" s="295">
        <v>2</v>
      </c>
      <c r="D322" s="295" t="s">
        <v>579</v>
      </c>
      <c r="E322" s="295" t="s">
        <v>580</v>
      </c>
      <c r="F322" s="295">
        <v>274</v>
      </c>
      <c r="G322" s="295" t="s">
        <v>25</v>
      </c>
      <c r="H322" s="295">
        <v>1</v>
      </c>
      <c r="I322" s="296">
        <v>11301</v>
      </c>
      <c r="J322" s="295">
        <v>1</v>
      </c>
      <c r="K322" s="295">
        <v>19</v>
      </c>
      <c r="L322" s="295">
        <v>1</v>
      </c>
      <c r="M322" s="295">
        <v>1</v>
      </c>
      <c r="N322" s="295" t="s">
        <v>581</v>
      </c>
      <c r="O322" s="295">
        <v>13</v>
      </c>
      <c r="P322" s="298">
        <v>415616</v>
      </c>
      <c r="Q322" s="298">
        <v>0</v>
      </c>
      <c r="R322" s="298">
        <f>P322+Q322</f>
        <v>415616</v>
      </c>
      <c r="S322" s="298">
        <f>Q322+R322</f>
        <v>415616</v>
      </c>
      <c r="T322" s="298">
        <v>427970.6166666667</v>
      </c>
      <c r="U322" s="298">
        <v>427970.6166666667</v>
      </c>
      <c r="V322" s="298">
        <v>427970.6166666667</v>
      </c>
    </row>
    <row r="323" spans="1:27" s="299" customFormat="1" ht="15" customHeight="1" x14ac:dyDescent="0.25">
      <c r="A323" s="295" t="s">
        <v>595</v>
      </c>
      <c r="B323" s="295">
        <v>2</v>
      </c>
      <c r="C323" s="295">
        <v>2</v>
      </c>
      <c r="D323" s="295" t="s">
        <v>579</v>
      </c>
      <c r="E323" s="295" t="s">
        <v>580</v>
      </c>
      <c r="F323" s="295">
        <v>274</v>
      </c>
      <c r="G323" s="295" t="s">
        <v>25</v>
      </c>
      <c r="H323" s="295">
        <v>1</v>
      </c>
      <c r="I323" s="296">
        <v>11304</v>
      </c>
      <c r="J323" s="295">
        <v>1</v>
      </c>
      <c r="K323" s="295">
        <v>19</v>
      </c>
      <c r="L323" s="295">
        <v>1</v>
      </c>
      <c r="M323" s="295">
        <v>1</v>
      </c>
      <c r="N323" s="295" t="s">
        <v>581</v>
      </c>
      <c r="O323" s="297">
        <v>13</v>
      </c>
      <c r="P323" s="298">
        <v>322290.2</v>
      </c>
      <c r="Q323" s="298">
        <v>-322290.2</v>
      </c>
      <c r="R323" s="298">
        <f t="shared" ref="R323:R335" si="19">P323+Q323</f>
        <v>0</v>
      </c>
      <c r="S323" s="298">
        <v>0</v>
      </c>
      <c r="T323" s="298">
        <v>0</v>
      </c>
      <c r="U323" s="298">
        <v>0</v>
      </c>
      <c r="V323" s="298">
        <v>0</v>
      </c>
    </row>
    <row r="324" spans="1:27" s="299" customFormat="1" ht="15" customHeight="1" x14ac:dyDescent="0.25">
      <c r="A324" s="295" t="s">
        <v>595</v>
      </c>
      <c r="B324" s="295">
        <v>2</v>
      </c>
      <c r="C324" s="295">
        <v>2</v>
      </c>
      <c r="D324" s="295" t="s">
        <v>579</v>
      </c>
      <c r="E324" s="295" t="s">
        <v>580</v>
      </c>
      <c r="F324" s="295">
        <v>274</v>
      </c>
      <c r="G324" s="295" t="s">
        <v>25</v>
      </c>
      <c r="H324" s="295">
        <v>1</v>
      </c>
      <c r="I324" s="296">
        <v>11306</v>
      </c>
      <c r="J324" s="295">
        <v>1</v>
      </c>
      <c r="K324" s="295">
        <v>19</v>
      </c>
      <c r="L324" s="295">
        <v>1</v>
      </c>
      <c r="M324" s="295">
        <v>1</v>
      </c>
      <c r="N324" s="295" t="s">
        <v>581</v>
      </c>
      <c r="O324" s="295">
        <v>13</v>
      </c>
      <c r="P324" s="298">
        <v>107880</v>
      </c>
      <c r="Q324" s="298">
        <v>220127.570971913</v>
      </c>
      <c r="R324" s="298">
        <f t="shared" si="19"/>
        <v>328007.570971913</v>
      </c>
      <c r="S324" s="300">
        <v>328006.82781770983</v>
      </c>
      <c r="T324" s="298">
        <v>351228.20968934376</v>
      </c>
      <c r="U324" s="298">
        <v>315983.52866099234</v>
      </c>
      <c r="V324" s="298">
        <v>315983.52866099234</v>
      </c>
      <c r="Y324" s="301"/>
      <c r="AA324" s="301"/>
    </row>
    <row r="325" spans="1:27" s="299" customFormat="1" ht="15" customHeight="1" x14ac:dyDescent="0.25">
      <c r="A325" s="295" t="s">
        <v>595</v>
      </c>
      <c r="B325" s="295">
        <v>2</v>
      </c>
      <c r="C325" s="295">
        <v>2</v>
      </c>
      <c r="D325" s="295" t="s">
        <v>579</v>
      </c>
      <c r="E325" s="295" t="s">
        <v>580</v>
      </c>
      <c r="F325" s="295">
        <v>274</v>
      </c>
      <c r="G325" s="295" t="s">
        <v>25</v>
      </c>
      <c r="H325" s="295">
        <v>1</v>
      </c>
      <c r="I325" s="296">
        <v>11307</v>
      </c>
      <c r="J325" s="295">
        <v>1</v>
      </c>
      <c r="K325" s="295">
        <v>19</v>
      </c>
      <c r="L325" s="295">
        <v>1</v>
      </c>
      <c r="M325" s="295">
        <v>1</v>
      </c>
      <c r="N325" s="295" t="s">
        <v>581</v>
      </c>
      <c r="O325" s="297">
        <v>13</v>
      </c>
      <c r="P325" s="298">
        <v>96363.32</v>
      </c>
      <c r="Q325" s="298">
        <v>11516.7</v>
      </c>
      <c r="R325" s="298">
        <f t="shared" si="19"/>
        <v>107880.02</v>
      </c>
      <c r="S325" s="300">
        <f>101670.001961611+6210.02</f>
        <v>107880.021961611</v>
      </c>
      <c r="T325" s="298">
        <v>77165.686074128796</v>
      </c>
      <c r="U325" s="298">
        <v>77165.686074128796</v>
      </c>
      <c r="V325" s="298">
        <v>77165.686074128796</v>
      </c>
    </row>
    <row r="326" spans="1:27" s="299" customFormat="1" ht="15" customHeight="1" x14ac:dyDescent="0.25">
      <c r="A326" s="295" t="s">
        <v>595</v>
      </c>
      <c r="B326" s="295">
        <v>2</v>
      </c>
      <c r="C326" s="295">
        <v>2</v>
      </c>
      <c r="D326" s="295" t="s">
        <v>579</v>
      </c>
      <c r="E326" s="295" t="s">
        <v>580</v>
      </c>
      <c r="F326" s="295">
        <v>274</v>
      </c>
      <c r="G326" s="295" t="s">
        <v>25</v>
      </c>
      <c r="H326" s="295">
        <v>1</v>
      </c>
      <c r="I326" s="296">
        <v>11310</v>
      </c>
      <c r="J326" s="295">
        <v>1</v>
      </c>
      <c r="K326" s="295">
        <v>19</v>
      </c>
      <c r="L326" s="295">
        <v>1</v>
      </c>
      <c r="M326" s="295">
        <v>1</v>
      </c>
      <c r="N326" s="295" t="s">
        <v>581</v>
      </c>
      <c r="O326" s="295">
        <v>13</v>
      </c>
      <c r="P326" s="298">
        <v>0</v>
      </c>
      <c r="Q326" s="298">
        <v>96363.276799999992</v>
      </c>
      <c r="R326" s="298">
        <f t="shared" si="19"/>
        <v>96363.276799999992</v>
      </c>
      <c r="S326" s="300">
        <f>90876.4296143565+5486.85</f>
        <v>96363.279614356506</v>
      </c>
      <c r="T326" s="298">
        <v>72052.05</v>
      </c>
      <c r="U326" s="298">
        <v>72052.05</v>
      </c>
      <c r="V326" s="298">
        <v>72052.05</v>
      </c>
    </row>
    <row r="327" spans="1:27" s="299" customFormat="1" ht="15" customHeight="1" x14ac:dyDescent="0.25">
      <c r="A327" s="295" t="s">
        <v>595</v>
      </c>
      <c r="B327" s="295">
        <v>2</v>
      </c>
      <c r="C327" s="295">
        <v>2</v>
      </c>
      <c r="D327" s="295" t="s">
        <v>579</v>
      </c>
      <c r="E327" s="295" t="s">
        <v>580</v>
      </c>
      <c r="F327" s="295">
        <v>274</v>
      </c>
      <c r="G327" s="295" t="s">
        <v>25</v>
      </c>
      <c r="H327" s="295">
        <v>1</v>
      </c>
      <c r="I327" s="296">
        <v>12101</v>
      </c>
      <c r="J327" s="295">
        <v>1</v>
      </c>
      <c r="K327" s="295">
        <v>19</v>
      </c>
      <c r="L327" s="295">
        <v>1</v>
      </c>
      <c r="M327" s="295">
        <v>1</v>
      </c>
      <c r="N327" s="295" t="s">
        <v>581</v>
      </c>
      <c r="O327" s="297">
        <v>13</v>
      </c>
      <c r="P327" s="298">
        <v>37536</v>
      </c>
      <c r="Q327" s="298">
        <v>-37536</v>
      </c>
      <c r="R327" s="298">
        <f t="shared" si="19"/>
        <v>0</v>
      </c>
      <c r="S327" s="300">
        <v>0</v>
      </c>
      <c r="T327" s="298">
        <v>0</v>
      </c>
      <c r="U327" s="298">
        <v>0</v>
      </c>
      <c r="V327" s="298">
        <v>0</v>
      </c>
    </row>
    <row r="328" spans="1:27" s="299" customFormat="1" ht="15" customHeight="1" x14ac:dyDescent="0.25">
      <c r="A328" s="295" t="s">
        <v>595</v>
      </c>
      <c r="B328" s="295">
        <v>2</v>
      </c>
      <c r="C328" s="295">
        <v>2</v>
      </c>
      <c r="D328" s="295" t="s">
        <v>579</v>
      </c>
      <c r="E328" s="295" t="s">
        <v>580</v>
      </c>
      <c r="F328" s="295">
        <v>274</v>
      </c>
      <c r="G328" s="295" t="s">
        <v>25</v>
      </c>
      <c r="H328" s="295">
        <v>1</v>
      </c>
      <c r="I328" s="296">
        <v>13101</v>
      </c>
      <c r="J328" s="295">
        <v>1</v>
      </c>
      <c r="K328" s="295">
        <v>19</v>
      </c>
      <c r="L328" s="295">
        <v>1</v>
      </c>
      <c r="M328" s="295">
        <v>1</v>
      </c>
      <c r="N328" s="295" t="s">
        <v>581</v>
      </c>
      <c r="O328" s="295">
        <v>13</v>
      </c>
      <c r="P328" s="298">
        <v>6674.4</v>
      </c>
      <c r="Q328" s="298">
        <v>30861.832000000006</v>
      </c>
      <c r="R328" s="298">
        <f t="shared" si="19"/>
        <v>37536.232000000004</v>
      </c>
      <c r="S328" s="300">
        <f>40044.3285354443-2508.1</f>
        <v>37536.228535444301</v>
      </c>
      <c r="T328" s="298">
        <v>40167.822189519997</v>
      </c>
      <c r="U328" s="298">
        <v>40167.822189519997</v>
      </c>
      <c r="V328" s="298">
        <v>40167.822189519997</v>
      </c>
    </row>
    <row r="329" spans="1:27" s="299" customFormat="1" ht="15" customHeight="1" x14ac:dyDescent="0.25">
      <c r="A329" s="295" t="s">
        <v>595</v>
      </c>
      <c r="B329" s="295">
        <v>2</v>
      </c>
      <c r="C329" s="295">
        <v>2</v>
      </c>
      <c r="D329" s="295" t="s">
        <v>579</v>
      </c>
      <c r="E329" s="295" t="s">
        <v>580</v>
      </c>
      <c r="F329" s="295">
        <v>274</v>
      </c>
      <c r="G329" s="295" t="s">
        <v>25</v>
      </c>
      <c r="H329" s="295">
        <v>1</v>
      </c>
      <c r="I329" s="296">
        <v>13201</v>
      </c>
      <c r="J329" s="295">
        <v>1</v>
      </c>
      <c r="K329" s="295">
        <v>19</v>
      </c>
      <c r="L329" s="295">
        <v>1</v>
      </c>
      <c r="M329" s="295">
        <v>1</v>
      </c>
      <c r="N329" s="295" t="s">
        <v>581</v>
      </c>
      <c r="O329" s="297">
        <v>13</v>
      </c>
      <c r="P329" s="298">
        <v>13348.47</v>
      </c>
      <c r="Q329" s="298">
        <v>-6674.199999999998</v>
      </c>
      <c r="R329" s="298">
        <f t="shared" si="19"/>
        <v>6674.2700000000013</v>
      </c>
      <c r="S329" s="300">
        <f>6879.01181745391-204.74</f>
        <v>6674.2718174539104</v>
      </c>
      <c r="T329" s="298">
        <v>6417.5</v>
      </c>
      <c r="U329" s="298">
        <v>6417.5</v>
      </c>
      <c r="V329" s="298">
        <v>6417.5</v>
      </c>
      <c r="X329" s="301"/>
    </row>
    <row r="330" spans="1:27" s="299" customFormat="1" ht="15" customHeight="1" x14ac:dyDescent="0.25">
      <c r="A330" s="295" t="s">
        <v>595</v>
      </c>
      <c r="B330" s="295">
        <v>2</v>
      </c>
      <c r="C330" s="295">
        <v>2</v>
      </c>
      <c r="D330" s="295" t="s">
        <v>579</v>
      </c>
      <c r="E330" s="295" t="s">
        <v>580</v>
      </c>
      <c r="F330" s="295">
        <v>274</v>
      </c>
      <c r="G330" s="295" t="s">
        <v>25</v>
      </c>
      <c r="H330" s="295">
        <v>1</v>
      </c>
      <c r="I330" s="296">
        <v>13202</v>
      </c>
      <c r="J330" s="295">
        <v>1</v>
      </c>
      <c r="K330" s="295">
        <v>19</v>
      </c>
      <c r="L330" s="295">
        <v>1</v>
      </c>
      <c r="M330" s="295">
        <v>1</v>
      </c>
      <c r="N330" s="295" t="s">
        <v>581</v>
      </c>
      <c r="O330" s="295">
        <v>13</v>
      </c>
      <c r="P330" s="298">
        <v>0</v>
      </c>
      <c r="Q330" s="298">
        <v>13348.400000000003</v>
      </c>
      <c r="R330" s="298">
        <f t="shared" si="19"/>
        <v>13348.400000000003</v>
      </c>
      <c r="S330" s="300">
        <f>13758.0236349078-409.62</f>
        <v>13348.4036349078</v>
      </c>
      <c r="T330" s="298">
        <v>13348.4</v>
      </c>
      <c r="U330" s="298">
        <v>13348.4</v>
      </c>
      <c r="V330" s="298">
        <v>13348.4</v>
      </c>
      <c r="X330" s="301"/>
    </row>
    <row r="331" spans="1:27" s="299" customFormat="1" ht="15" customHeight="1" x14ac:dyDescent="0.25">
      <c r="A331" s="295" t="s">
        <v>595</v>
      </c>
      <c r="B331" s="295">
        <v>2</v>
      </c>
      <c r="C331" s="295">
        <v>2</v>
      </c>
      <c r="D331" s="295" t="s">
        <v>579</v>
      </c>
      <c r="E331" s="295" t="s">
        <v>580</v>
      </c>
      <c r="F331" s="295">
        <v>274</v>
      </c>
      <c r="G331" s="295" t="s">
        <v>25</v>
      </c>
      <c r="H331" s="295">
        <v>1</v>
      </c>
      <c r="I331" s="296">
        <v>14106</v>
      </c>
      <c r="J331" s="295">
        <v>1</v>
      </c>
      <c r="K331" s="295">
        <v>19</v>
      </c>
      <c r="L331" s="295">
        <v>1</v>
      </c>
      <c r="M331" s="295">
        <v>1</v>
      </c>
      <c r="N331" s="295" t="s">
        <v>581</v>
      </c>
      <c r="O331" s="297">
        <v>13</v>
      </c>
      <c r="P331" s="298">
        <v>235531</v>
      </c>
      <c r="Q331" s="298">
        <v>0</v>
      </c>
      <c r="R331" s="298">
        <f t="shared" si="19"/>
        <v>235531</v>
      </c>
      <c r="S331" s="300">
        <v>235531</v>
      </c>
      <c r="T331" s="298">
        <v>229781.43795591805</v>
      </c>
      <c r="U331" s="298">
        <v>229781.43795591805</v>
      </c>
      <c r="V331" s="298">
        <v>229781.43795591805</v>
      </c>
    </row>
    <row r="332" spans="1:27" s="299" customFormat="1" ht="15" customHeight="1" x14ac:dyDescent="0.25">
      <c r="A332" s="295" t="s">
        <v>595</v>
      </c>
      <c r="B332" s="295">
        <v>2</v>
      </c>
      <c r="C332" s="295">
        <v>2</v>
      </c>
      <c r="D332" s="295" t="s">
        <v>579</v>
      </c>
      <c r="E332" s="295" t="s">
        <v>580</v>
      </c>
      <c r="F332" s="295">
        <v>274</v>
      </c>
      <c r="G332" s="295" t="s">
        <v>25</v>
      </c>
      <c r="H332" s="295">
        <v>1</v>
      </c>
      <c r="I332" s="296">
        <v>14109</v>
      </c>
      <c r="J332" s="295">
        <v>1</v>
      </c>
      <c r="K332" s="295">
        <v>19</v>
      </c>
      <c r="L332" s="295">
        <v>1</v>
      </c>
      <c r="M332" s="295">
        <v>1</v>
      </c>
      <c r="N332" s="295" t="s">
        <v>581</v>
      </c>
      <c r="O332" s="295">
        <v>13</v>
      </c>
      <c r="P332" s="298">
        <v>561246.43999999994</v>
      </c>
      <c r="Q332" s="298">
        <v>0</v>
      </c>
      <c r="R332" s="298">
        <f t="shared" si="19"/>
        <v>561246.43999999994</v>
      </c>
      <c r="S332" s="298">
        <v>561670.23043147393</v>
      </c>
      <c r="T332" s="298">
        <v>561670.23043147393</v>
      </c>
      <c r="U332" s="298">
        <v>561670.23043147393</v>
      </c>
      <c r="V332" s="298">
        <v>548386.26964585576</v>
      </c>
    </row>
    <row r="333" spans="1:27" s="299" customFormat="1" ht="15" customHeight="1" x14ac:dyDescent="0.25">
      <c r="A333" s="295" t="s">
        <v>595</v>
      </c>
      <c r="B333" s="295">
        <v>2</v>
      </c>
      <c r="C333" s="295">
        <v>2</v>
      </c>
      <c r="D333" s="295" t="s">
        <v>579</v>
      </c>
      <c r="E333" s="295" t="s">
        <v>580</v>
      </c>
      <c r="F333" s="295">
        <v>274</v>
      </c>
      <c r="G333" s="295" t="s">
        <v>25</v>
      </c>
      <c r="H333" s="295">
        <v>1</v>
      </c>
      <c r="I333" s="296">
        <v>14402</v>
      </c>
      <c r="J333" s="295">
        <v>1</v>
      </c>
      <c r="K333" s="295">
        <v>19</v>
      </c>
      <c r="L333" s="295">
        <v>1</v>
      </c>
      <c r="M333" s="295">
        <v>1</v>
      </c>
      <c r="N333" s="295" t="s">
        <v>581</v>
      </c>
      <c r="O333" s="297">
        <v>13</v>
      </c>
      <c r="P333" s="298">
        <v>1144</v>
      </c>
      <c r="Q333" s="298">
        <v>0</v>
      </c>
      <c r="R333" s="298">
        <f t="shared" si="19"/>
        <v>1144</v>
      </c>
      <c r="S333" s="300">
        <v>1144</v>
      </c>
      <c r="T333" s="298">
        <v>1140.3333333333333</v>
      </c>
      <c r="U333" s="298">
        <v>1140.3333333333333</v>
      </c>
      <c r="V333" s="298">
        <v>1140.3333333333333</v>
      </c>
    </row>
    <row r="334" spans="1:27" s="299" customFormat="1" ht="15" customHeight="1" x14ac:dyDescent="0.25">
      <c r="A334" s="295" t="s">
        <v>595</v>
      </c>
      <c r="B334" s="295">
        <v>2</v>
      </c>
      <c r="C334" s="295">
        <v>2</v>
      </c>
      <c r="D334" s="295" t="s">
        <v>579</v>
      </c>
      <c r="E334" s="295" t="s">
        <v>580</v>
      </c>
      <c r="F334" s="295">
        <v>274</v>
      </c>
      <c r="G334" s="295" t="s">
        <v>25</v>
      </c>
      <c r="H334" s="295">
        <v>1</v>
      </c>
      <c r="I334" s="296">
        <v>14406</v>
      </c>
      <c r="J334" s="295">
        <v>1</v>
      </c>
      <c r="K334" s="295">
        <v>19</v>
      </c>
      <c r="L334" s="295">
        <v>1</v>
      </c>
      <c r="M334" s="295">
        <v>1</v>
      </c>
      <c r="N334" s="295" t="s">
        <v>581</v>
      </c>
      <c r="O334" s="295">
        <v>13</v>
      </c>
      <c r="P334" s="298">
        <v>162</v>
      </c>
      <c r="Q334" s="298">
        <v>0</v>
      </c>
      <c r="R334" s="298">
        <f t="shared" si="19"/>
        <v>162</v>
      </c>
      <c r="S334" s="300">
        <v>162</v>
      </c>
      <c r="T334" s="298">
        <v>162</v>
      </c>
      <c r="U334" s="298">
        <v>162</v>
      </c>
      <c r="V334" s="298">
        <v>162</v>
      </c>
    </row>
    <row r="335" spans="1:27" s="299" customFormat="1" ht="15" customHeight="1" x14ac:dyDescent="0.25">
      <c r="A335" s="295" t="s">
        <v>595</v>
      </c>
      <c r="B335" s="295">
        <v>2</v>
      </c>
      <c r="C335" s="295">
        <v>2</v>
      </c>
      <c r="D335" s="295" t="s">
        <v>579</v>
      </c>
      <c r="E335" s="295" t="s">
        <v>580</v>
      </c>
      <c r="F335" s="295">
        <v>274</v>
      </c>
      <c r="G335" s="295" t="s">
        <v>25</v>
      </c>
      <c r="H335" s="295">
        <v>1</v>
      </c>
      <c r="I335" s="296">
        <v>15101</v>
      </c>
      <c r="J335" s="295">
        <v>1</v>
      </c>
      <c r="K335" s="295">
        <v>19</v>
      </c>
      <c r="L335" s="295">
        <v>1</v>
      </c>
      <c r="M335" s="295">
        <v>1</v>
      </c>
      <c r="N335" s="295" t="s">
        <v>581</v>
      </c>
      <c r="O335" s="295">
        <v>13</v>
      </c>
      <c r="P335" s="298">
        <v>2673</v>
      </c>
      <c r="Q335" s="298">
        <v>0</v>
      </c>
      <c r="R335" s="298">
        <f t="shared" si="19"/>
        <v>2673</v>
      </c>
      <c r="S335" s="300">
        <v>2673</v>
      </c>
      <c r="T335" s="298">
        <v>2654</v>
      </c>
      <c r="U335" s="298">
        <v>2654</v>
      </c>
      <c r="V335" s="298">
        <v>2654</v>
      </c>
    </row>
    <row r="336" spans="1:27" s="299" customFormat="1" ht="15" customHeight="1" x14ac:dyDescent="0.25">
      <c r="A336" s="295" t="s">
        <v>595</v>
      </c>
      <c r="B336" s="295">
        <v>2</v>
      </c>
      <c r="C336" s="295">
        <v>2</v>
      </c>
      <c r="D336" s="295" t="s">
        <v>579</v>
      </c>
      <c r="E336" s="295" t="s">
        <v>580</v>
      </c>
      <c r="F336" s="295">
        <v>274</v>
      </c>
      <c r="G336" s="295" t="s">
        <v>25</v>
      </c>
      <c r="H336" s="295">
        <v>1</v>
      </c>
      <c r="I336" s="296">
        <v>15202</v>
      </c>
      <c r="J336" s="295">
        <v>1</v>
      </c>
      <c r="K336" s="295">
        <v>19</v>
      </c>
      <c r="L336" s="295">
        <v>1</v>
      </c>
      <c r="M336" s="295">
        <v>1</v>
      </c>
      <c r="N336" s="295" t="s">
        <v>581</v>
      </c>
      <c r="O336" s="295">
        <v>13</v>
      </c>
      <c r="P336" s="298"/>
      <c r="Q336" s="298"/>
      <c r="R336" s="298"/>
      <c r="S336" s="300"/>
      <c r="T336" s="298">
        <v>0</v>
      </c>
      <c r="U336" s="298"/>
      <c r="V336" s="298"/>
    </row>
    <row r="337" spans="1:23" s="299" customFormat="1" ht="15" customHeight="1" x14ac:dyDescent="0.25">
      <c r="A337" s="295" t="s">
        <v>595</v>
      </c>
      <c r="B337" s="295">
        <v>2</v>
      </c>
      <c r="C337" s="295">
        <v>2</v>
      </c>
      <c r="D337" s="295" t="s">
        <v>579</v>
      </c>
      <c r="E337" s="295" t="s">
        <v>580</v>
      </c>
      <c r="F337" s="295">
        <v>274</v>
      </c>
      <c r="G337" s="295" t="s">
        <v>25</v>
      </c>
      <c r="H337" s="295">
        <v>1</v>
      </c>
      <c r="I337" s="296">
        <v>15901</v>
      </c>
      <c r="J337" s="295">
        <v>1</v>
      </c>
      <c r="K337" s="295">
        <v>19</v>
      </c>
      <c r="L337" s="295">
        <v>1</v>
      </c>
      <c r="M337" s="295">
        <v>1</v>
      </c>
      <c r="N337" s="295" t="s">
        <v>581</v>
      </c>
      <c r="O337" s="295">
        <v>13</v>
      </c>
      <c r="P337" s="298">
        <v>488201.5</v>
      </c>
      <c r="Q337" s="298">
        <v>-5000</v>
      </c>
      <c r="R337" s="298">
        <f t="shared" ref="R337:R343" si="20">P337+Q337</f>
        <v>483201.5</v>
      </c>
      <c r="S337" s="300">
        <v>483201.5</v>
      </c>
      <c r="T337" s="298">
        <v>602412.92333333322</v>
      </c>
      <c r="U337" s="298">
        <v>602412.92333333322</v>
      </c>
      <c r="V337" s="298">
        <v>602412.92333333322</v>
      </c>
    </row>
    <row r="338" spans="1:23" s="299" customFormat="1" ht="15" customHeight="1" x14ac:dyDescent="0.25">
      <c r="A338" s="295" t="s">
        <v>595</v>
      </c>
      <c r="B338" s="295">
        <v>2</v>
      </c>
      <c r="C338" s="295">
        <v>2</v>
      </c>
      <c r="D338" s="295" t="s">
        <v>579</v>
      </c>
      <c r="E338" s="295" t="s">
        <v>580</v>
      </c>
      <c r="F338" s="295">
        <v>274</v>
      </c>
      <c r="G338" s="295" t="s">
        <v>25</v>
      </c>
      <c r="H338" s="295">
        <v>1</v>
      </c>
      <c r="I338" s="296">
        <v>17102</v>
      </c>
      <c r="J338" s="295">
        <v>1</v>
      </c>
      <c r="K338" s="295">
        <v>19</v>
      </c>
      <c r="L338" s="295">
        <v>1</v>
      </c>
      <c r="M338" s="295">
        <v>1</v>
      </c>
      <c r="N338" s="295" t="s">
        <v>581</v>
      </c>
      <c r="O338" s="297">
        <v>13</v>
      </c>
      <c r="P338" s="298">
        <v>4400</v>
      </c>
      <c r="Q338" s="298">
        <v>1300</v>
      </c>
      <c r="R338" s="298">
        <f t="shared" si="20"/>
        <v>5700</v>
      </c>
      <c r="S338" s="300">
        <v>5700</v>
      </c>
      <c r="T338" s="298">
        <v>8600</v>
      </c>
      <c r="U338" s="298">
        <v>8600</v>
      </c>
      <c r="V338" s="298">
        <v>8600</v>
      </c>
    </row>
    <row r="339" spans="1:23" s="299" customFormat="1" ht="15" customHeight="1" x14ac:dyDescent="0.25">
      <c r="A339" s="295" t="s">
        <v>595</v>
      </c>
      <c r="B339" s="295">
        <v>2</v>
      </c>
      <c r="C339" s="295">
        <v>2</v>
      </c>
      <c r="D339" s="295" t="s">
        <v>579</v>
      </c>
      <c r="E339" s="295" t="s">
        <v>580</v>
      </c>
      <c r="F339" s="295">
        <v>274</v>
      </c>
      <c r="G339" s="295" t="s">
        <v>25</v>
      </c>
      <c r="H339" s="295">
        <v>1</v>
      </c>
      <c r="I339" s="296">
        <v>21101</v>
      </c>
      <c r="J339" s="295">
        <v>1</v>
      </c>
      <c r="K339" s="295">
        <v>19</v>
      </c>
      <c r="L339" s="295">
        <v>1</v>
      </c>
      <c r="M339" s="295">
        <v>1</v>
      </c>
      <c r="N339" s="295" t="s">
        <v>581</v>
      </c>
      <c r="O339" s="295">
        <v>13</v>
      </c>
      <c r="P339" s="298">
        <v>4451.3999999999996</v>
      </c>
      <c r="Q339" s="298">
        <f>-1500+1108.98-0.12</f>
        <v>-391.14</v>
      </c>
      <c r="R339" s="298">
        <f t="shared" si="20"/>
        <v>4060.2599999999998</v>
      </c>
      <c r="S339" s="298">
        <v>4060.26</v>
      </c>
      <c r="T339" s="298">
        <v>4060.26</v>
      </c>
      <c r="U339" s="298">
        <v>4060.26</v>
      </c>
      <c r="V339" s="298">
        <v>4025.8954557429029</v>
      </c>
      <c r="W339" s="302"/>
    </row>
    <row r="340" spans="1:23" s="299" customFormat="1" ht="15" customHeight="1" x14ac:dyDescent="0.25">
      <c r="A340" s="295" t="s">
        <v>595</v>
      </c>
      <c r="B340" s="295">
        <v>2</v>
      </c>
      <c r="C340" s="295">
        <v>2</v>
      </c>
      <c r="D340" s="295" t="s">
        <v>579</v>
      </c>
      <c r="E340" s="295" t="s">
        <v>580</v>
      </c>
      <c r="F340" s="295">
        <v>274</v>
      </c>
      <c r="G340" s="295" t="s">
        <v>25</v>
      </c>
      <c r="H340" s="295">
        <v>1</v>
      </c>
      <c r="I340" s="296">
        <v>21201</v>
      </c>
      <c r="J340" s="295">
        <v>1</v>
      </c>
      <c r="K340" s="295">
        <v>19</v>
      </c>
      <c r="L340" s="295">
        <v>1</v>
      </c>
      <c r="M340" s="295">
        <v>1</v>
      </c>
      <c r="N340" s="295" t="s">
        <v>581</v>
      </c>
      <c r="O340" s="297">
        <v>13</v>
      </c>
      <c r="P340" s="298">
        <v>379</v>
      </c>
      <c r="Q340" s="298">
        <v>898.3</v>
      </c>
      <c r="R340" s="298">
        <f t="shared" si="20"/>
        <v>1277.3</v>
      </c>
      <c r="S340" s="298">
        <v>1277.296</v>
      </c>
      <c r="T340" s="298">
        <v>1277.296</v>
      </c>
      <c r="U340" s="298">
        <v>1277.296</v>
      </c>
      <c r="V340" s="298">
        <v>1050.2393495373331</v>
      </c>
      <c r="W340" s="302"/>
    </row>
    <row r="341" spans="1:23" s="299" customFormat="1" ht="15" customHeight="1" x14ac:dyDescent="0.25">
      <c r="A341" s="295" t="s">
        <v>595</v>
      </c>
      <c r="B341" s="295">
        <v>2</v>
      </c>
      <c r="C341" s="295">
        <v>2</v>
      </c>
      <c r="D341" s="295" t="s">
        <v>579</v>
      </c>
      <c r="E341" s="295" t="s">
        <v>580</v>
      </c>
      <c r="F341" s="295">
        <v>274</v>
      </c>
      <c r="G341" s="295" t="s">
        <v>25</v>
      </c>
      <c r="H341" s="295">
        <v>1</v>
      </c>
      <c r="I341" s="296">
        <v>21401</v>
      </c>
      <c r="J341" s="295">
        <v>1</v>
      </c>
      <c r="K341" s="295">
        <v>19</v>
      </c>
      <c r="L341" s="295">
        <v>1</v>
      </c>
      <c r="M341" s="295">
        <v>1</v>
      </c>
      <c r="N341" s="295" t="s">
        <v>581</v>
      </c>
      <c r="O341" s="295">
        <v>13</v>
      </c>
      <c r="P341" s="298">
        <v>4661</v>
      </c>
      <c r="Q341" s="298">
        <v>179.41</v>
      </c>
      <c r="R341" s="298">
        <f t="shared" si="20"/>
        <v>4840.41</v>
      </c>
      <c r="S341" s="298">
        <v>4974.2131999999992</v>
      </c>
      <c r="T341" s="298">
        <v>4974.2131999999992</v>
      </c>
      <c r="U341" s="298">
        <v>4974.2131999999992</v>
      </c>
      <c r="V341" s="298">
        <v>5052.3810282041622</v>
      </c>
      <c r="W341" s="302"/>
    </row>
    <row r="342" spans="1:23" s="299" customFormat="1" ht="15" customHeight="1" x14ac:dyDescent="0.25">
      <c r="A342" s="295" t="s">
        <v>595</v>
      </c>
      <c r="B342" s="295">
        <v>2</v>
      </c>
      <c r="C342" s="295">
        <v>2</v>
      </c>
      <c r="D342" s="295" t="s">
        <v>579</v>
      </c>
      <c r="E342" s="295" t="s">
        <v>580</v>
      </c>
      <c r="F342" s="295">
        <v>274</v>
      </c>
      <c r="G342" s="295" t="s">
        <v>25</v>
      </c>
      <c r="H342" s="295">
        <v>1</v>
      </c>
      <c r="I342" s="296">
        <v>21801</v>
      </c>
      <c r="J342" s="295">
        <v>1</v>
      </c>
      <c r="K342" s="295">
        <v>19</v>
      </c>
      <c r="L342" s="295">
        <v>1</v>
      </c>
      <c r="M342" s="295">
        <v>1</v>
      </c>
      <c r="N342" s="295" t="s">
        <v>581</v>
      </c>
      <c r="O342" s="297">
        <v>13</v>
      </c>
      <c r="P342" s="298">
        <f>3420.04+0.04</f>
        <v>3420.08</v>
      </c>
      <c r="Q342" s="298">
        <v>-391.41</v>
      </c>
      <c r="R342" s="298">
        <f t="shared" si="20"/>
        <v>3028.67</v>
      </c>
      <c r="S342" s="298">
        <v>3028.6666666666665</v>
      </c>
      <c r="T342" s="298">
        <v>3028.6666666666665</v>
      </c>
      <c r="U342" s="298">
        <v>3028.6666666666665</v>
      </c>
      <c r="V342" s="298">
        <v>3028.6666666666665</v>
      </c>
      <c r="W342" s="302"/>
    </row>
    <row r="343" spans="1:23" s="299" customFormat="1" ht="15" customHeight="1" x14ac:dyDescent="0.25">
      <c r="A343" s="295" t="s">
        <v>595</v>
      </c>
      <c r="B343" s="295">
        <v>2</v>
      </c>
      <c r="C343" s="295">
        <v>2</v>
      </c>
      <c r="D343" s="295" t="s">
        <v>579</v>
      </c>
      <c r="E343" s="295" t="s">
        <v>580</v>
      </c>
      <c r="F343" s="295">
        <v>274</v>
      </c>
      <c r="G343" s="295" t="s">
        <v>25</v>
      </c>
      <c r="H343" s="295">
        <v>1</v>
      </c>
      <c r="I343" s="296">
        <v>22101</v>
      </c>
      <c r="J343" s="295">
        <v>1</v>
      </c>
      <c r="K343" s="295">
        <v>19</v>
      </c>
      <c r="L343" s="295">
        <v>1</v>
      </c>
      <c r="M343" s="295">
        <v>1</v>
      </c>
      <c r="N343" s="295" t="s">
        <v>581</v>
      </c>
      <c r="O343" s="295">
        <v>13</v>
      </c>
      <c r="P343" s="298">
        <v>744.4</v>
      </c>
      <c r="Q343" s="298">
        <f>827.1+778.05</f>
        <v>1605.15</v>
      </c>
      <c r="R343" s="298">
        <f t="shared" si="20"/>
        <v>2349.5500000000002</v>
      </c>
      <c r="S343" s="298">
        <v>2349.5451776265404</v>
      </c>
      <c r="T343" s="298">
        <v>2349.5451776265404</v>
      </c>
      <c r="U343" s="298">
        <v>2349.5451776265404</v>
      </c>
      <c r="V343" s="298">
        <v>2349.5451776265404</v>
      </c>
      <c r="W343" s="302"/>
    </row>
    <row r="344" spans="1:23" s="299" customFormat="1" ht="15" customHeight="1" x14ac:dyDescent="0.25">
      <c r="A344" s="295" t="s">
        <v>595</v>
      </c>
      <c r="B344" s="295">
        <v>2</v>
      </c>
      <c r="C344" s="295">
        <v>2</v>
      </c>
      <c r="D344" s="295" t="s">
        <v>579</v>
      </c>
      <c r="E344" s="295" t="s">
        <v>580</v>
      </c>
      <c r="F344" s="295">
        <v>274</v>
      </c>
      <c r="G344" s="295" t="s">
        <v>25</v>
      </c>
      <c r="H344" s="295">
        <v>1</v>
      </c>
      <c r="I344" s="296">
        <v>24901</v>
      </c>
      <c r="J344" s="295">
        <v>1</v>
      </c>
      <c r="K344" s="295">
        <v>19</v>
      </c>
      <c r="L344" s="295">
        <v>1</v>
      </c>
      <c r="M344" s="295">
        <v>1</v>
      </c>
      <c r="N344" s="295" t="s">
        <v>581</v>
      </c>
      <c r="O344" s="297">
        <v>13</v>
      </c>
      <c r="P344" s="298"/>
      <c r="Q344" s="298">
        <v>116</v>
      </c>
      <c r="R344" s="298">
        <f>P344+Q344</f>
        <v>116</v>
      </c>
      <c r="S344" s="298">
        <v>116</v>
      </c>
      <c r="T344" s="298">
        <v>116</v>
      </c>
      <c r="U344" s="298">
        <v>116</v>
      </c>
      <c r="V344" s="298">
        <v>116</v>
      </c>
      <c r="W344" s="302"/>
    </row>
    <row r="345" spans="1:23" s="299" customFormat="1" ht="15" customHeight="1" x14ac:dyDescent="0.25">
      <c r="A345" s="295" t="s">
        <v>595</v>
      </c>
      <c r="B345" s="295">
        <v>2</v>
      </c>
      <c r="C345" s="295">
        <v>2</v>
      </c>
      <c r="D345" s="295" t="s">
        <v>579</v>
      </c>
      <c r="E345" s="295" t="s">
        <v>580</v>
      </c>
      <c r="F345" s="295">
        <v>274</v>
      </c>
      <c r="G345" s="295" t="s">
        <v>25</v>
      </c>
      <c r="H345" s="295">
        <v>1</v>
      </c>
      <c r="I345" s="296">
        <v>26101</v>
      </c>
      <c r="J345" s="295">
        <v>1</v>
      </c>
      <c r="K345" s="295">
        <v>19</v>
      </c>
      <c r="L345" s="295">
        <v>1</v>
      </c>
      <c r="M345" s="295">
        <v>1</v>
      </c>
      <c r="N345" s="295" t="s">
        <v>581</v>
      </c>
      <c r="O345" s="297">
        <v>13</v>
      </c>
      <c r="P345" s="298">
        <v>63126.6</v>
      </c>
      <c r="Q345" s="298">
        <f>1655.93+26501.01</f>
        <v>28156.94</v>
      </c>
      <c r="R345" s="298">
        <f t="shared" ref="R345:R356" si="21">P345+Q345</f>
        <v>91283.54</v>
      </c>
      <c r="S345" s="298">
        <v>91283.543353768633</v>
      </c>
      <c r="T345" s="298">
        <v>91283.543353768633</v>
      </c>
      <c r="U345" s="298">
        <v>91283.543353768633</v>
      </c>
      <c r="V345" s="298">
        <v>84888.215324631761</v>
      </c>
      <c r="W345" s="302"/>
    </row>
    <row r="346" spans="1:23" s="299" customFormat="1" ht="15" customHeight="1" x14ac:dyDescent="0.25">
      <c r="A346" s="295" t="s">
        <v>595</v>
      </c>
      <c r="B346" s="295">
        <v>2</v>
      </c>
      <c r="C346" s="295">
        <v>2</v>
      </c>
      <c r="D346" s="295" t="s">
        <v>579</v>
      </c>
      <c r="E346" s="295" t="s">
        <v>580</v>
      </c>
      <c r="F346" s="295">
        <v>274</v>
      </c>
      <c r="G346" s="295" t="s">
        <v>25</v>
      </c>
      <c r="H346" s="295">
        <v>1</v>
      </c>
      <c r="I346" s="296">
        <v>26102</v>
      </c>
      <c r="J346" s="295">
        <v>1</v>
      </c>
      <c r="K346" s="295">
        <v>19</v>
      </c>
      <c r="L346" s="295">
        <v>1</v>
      </c>
      <c r="M346" s="295">
        <v>1</v>
      </c>
      <c r="N346" s="295" t="s">
        <v>581</v>
      </c>
      <c r="O346" s="295">
        <v>13</v>
      </c>
      <c r="P346" s="298">
        <v>0</v>
      </c>
      <c r="Q346" s="298">
        <f>499.25+134.5</f>
        <v>633.75</v>
      </c>
      <c r="R346" s="298">
        <f t="shared" si="21"/>
        <v>633.75</v>
      </c>
      <c r="S346" s="298">
        <v>855.30666666666673</v>
      </c>
      <c r="T346" s="298">
        <v>855.30666666666673</v>
      </c>
      <c r="U346" s="298">
        <v>855.30666666666673</v>
      </c>
      <c r="V346" s="298">
        <v>778.56347327663264</v>
      </c>
      <c r="W346" s="302"/>
    </row>
    <row r="347" spans="1:23" s="299" customFormat="1" ht="15" customHeight="1" x14ac:dyDescent="0.25">
      <c r="A347" s="295" t="s">
        <v>595</v>
      </c>
      <c r="B347" s="295">
        <v>2</v>
      </c>
      <c r="C347" s="295">
        <v>2</v>
      </c>
      <c r="D347" s="295" t="s">
        <v>579</v>
      </c>
      <c r="E347" s="295" t="s">
        <v>580</v>
      </c>
      <c r="F347" s="295">
        <v>274</v>
      </c>
      <c r="G347" s="295" t="s">
        <v>25</v>
      </c>
      <c r="H347" s="295">
        <v>1</v>
      </c>
      <c r="I347" s="296">
        <v>27201</v>
      </c>
      <c r="J347" s="295">
        <v>1</v>
      </c>
      <c r="K347" s="295">
        <v>19</v>
      </c>
      <c r="L347" s="295">
        <v>1</v>
      </c>
      <c r="M347" s="295">
        <v>1</v>
      </c>
      <c r="N347" s="295" t="s">
        <v>581</v>
      </c>
      <c r="O347" s="297">
        <v>13</v>
      </c>
      <c r="P347" s="298">
        <v>0</v>
      </c>
      <c r="Q347" s="298">
        <v>0</v>
      </c>
      <c r="R347" s="298">
        <f t="shared" si="21"/>
        <v>0</v>
      </c>
      <c r="S347" s="298">
        <v>270</v>
      </c>
      <c r="T347" s="298">
        <v>270</v>
      </c>
      <c r="U347" s="298">
        <v>270</v>
      </c>
      <c r="V347" s="298">
        <v>270</v>
      </c>
      <c r="W347" s="302"/>
    </row>
    <row r="348" spans="1:23" s="299" customFormat="1" ht="15" customHeight="1" x14ac:dyDescent="0.25">
      <c r="A348" s="295" t="s">
        <v>595</v>
      </c>
      <c r="B348" s="295">
        <v>2</v>
      </c>
      <c r="C348" s="295">
        <v>2</v>
      </c>
      <c r="D348" s="295" t="s">
        <v>579</v>
      </c>
      <c r="E348" s="295" t="s">
        <v>580</v>
      </c>
      <c r="F348" s="295">
        <v>274</v>
      </c>
      <c r="G348" s="295" t="s">
        <v>25</v>
      </c>
      <c r="H348" s="295">
        <v>1</v>
      </c>
      <c r="I348" s="296">
        <v>29201</v>
      </c>
      <c r="J348" s="295">
        <v>1</v>
      </c>
      <c r="K348" s="295">
        <v>19</v>
      </c>
      <c r="L348" s="295">
        <v>1</v>
      </c>
      <c r="M348" s="295">
        <v>1</v>
      </c>
      <c r="N348" s="295" t="s">
        <v>581</v>
      </c>
      <c r="O348" s="295">
        <v>13</v>
      </c>
      <c r="P348" s="298">
        <v>0</v>
      </c>
      <c r="Q348" s="298">
        <v>189.82</v>
      </c>
      <c r="R348" s="298">
        <f t="shared" si="21"/>
        <v>189.82</v>
      </c>
      <c r="S348" s="298">
        <v>190.00093333333334</v>
      </c>
      <c r="T348" s="298">
        <v>190.00093333333334</v>
      </c>
      <c r="U348" s="298">
        <v>190.00093333333299</v>
      </c>
      <c r="V348" s="298">
        <v>190.00093333333299</v>
      </c>
      <c r="W348" s="302"/>
    </row>
    <row r="349" spans="1:23" s="299" customFormat="1" ht="15" customHeight="1" x14ac:dyDescent="0.25">
      <c r="A349" s="295" t="s">
        <v>595</v>
      </c>
      <c r="B349" s="295">
        <v>2</v>
      </c>
      <c r="C349" s="295">
        <v>2</v>
      </c>
      <c r="D349" s="295" t="s">
        <v>579</v>
      </c>
      <c r="E349" s="295" t="s">
        <v>580</v>
      </c>
      <c r="F349" s="295">
        <v>274</v>
      </c>
      <c r="G349" s="295" t="s">
        <v>25</v>
      </c>
      <c r="H349" s="295">
        <v>1</v>
      </c>
      <c r="I349" s="296">
        <v>29301</v>
      </c>
      <c r="J349" s="295">
        <v>1</v>
      </c>
      <c r="K349" s="295">
        <v>19</v>
      </c>
      <c r="L349" s="295">
        <v>1</v>
      </c>
      <c r="M349" s="295">
        <v>1</v>
      </c>
      <c r="N349" s="295" t="s">
        <v>581</v>
      </c>
      <c r="O349" s="297">
        <v>13</v>
      </c>
      <c r="P349" s="298"/>
      <c r="Q349" s="298">
        <f>1090.52+166.67</f>
        <v>1257.19</v>
      </c>
      <c r="R349" s="298">
        <f t="shared" si="21"/>
        <v>1257.19</v>
      </c>
      <c r="S349" s="298">
        <v>1257.1865333333333</v>
      </c>
      <c r="T349" s="298">
        <v>1257.1865333333333</v>
      </c>
      <c r="U349" s="298">
        <v>1257.1865333333333</v>
      </c>
      <c r="V349" s="298">
        <v>1257.1865333333333</v>
      </c>
      <c r="W349" s="302"/>
    </row>
    <row r="350" spans="1:23" s="299" customFormat="1" ht="15" customHeight="1" x14ac:dyDescent="0.25">
      <c r="A350" s="295" t="s">
        <v>595</v>
      </c>
      <c r="B350" s="295">
        <v>2</v>
      </c>
      <c r="C350" s="295">
        <v>2</v>
      </c>
      <c r="D350" s="295" t="s">
        <v>579</v>
      </c>
      <c r="E350" s="295" t="s">
        <v>580</v>
      </c>
      <c r="F350" s="295">
        <v>274</v>
      </c>
      <c r="G350" s="295" t="s">
        <v>25</v>
      </c>
      <c r="H350" s="295">
        <v>1</v>
      </c>
      <c r="I350" s="296">
        <v>29401</v>
      </c>
      <c r="J350" s="295">
        <v>1</v>
      </c>
      <c r="K350" s="295">
        <v>19</v>
      </c>
      <c r="L350" s="295">
        <v>1</v>
      </c>
      <c r="M350" s="295">
        <v>1</v>
      </c>
      <c r="N350" s="295" t="s">
        <v>581</v>
      </c>
      <c r="O350" s="297">
        <v>13</v>
      </c>
      <c r="P350" s="298">
        <v>0</v>
      </c>
      <c r="Q350" s="298">
        <v>536.75</v>
      </c>
      <c r="R350" s="298">
        <f t="shared" si="21"/>
        <v>536.75</v>
      </c>
      <c r="S350" s="298">
        <v>536.75</v>
      </c>
      <c r="T350" s="298">
        <v>536.75</v>
      </c>
      <c r="U350" s="298">
        <v>536.75</v>
      </c>
      <c r="V350" s="298">
        <v>536.75</v>
      </c>
      <c r="W350" s="302"/>
    </row>
    <row r="351" spans="1:23" s="299" customFormat="1" ht="15" customHeight="1" x14ac:dyDescent="0.25">
      <c r="A351" s="295" t="s">
        <v>595</v>
      </c>
      <c r="B351" s="295">
        <v>2</v>
      </c>
      <c r="C351" s="295">
        <v>2</v>
      </c>
      <c r="D351" s="295" t="s">
        <v>579</v>
      </c>
      <c r="E351" s="295" t="s">
        <v>580</v>
      </c>
      <c r="F351" s="295">
        <v>274</v>
      </c>
      <c r="G351" s="295" t="s">
        <v>25</v>
      </c>
      <c r="H351" s="295">
        <v>1</v>
      </c>
      <c r="I351" s="296">
        <v>29601</v>
      </c>
      <c r="J351" s="295">
        <v>1</v>
      </c>
      <c r="K351" s="295">
        <v>19</v>
      </c>
      <c r="L351" s="295">
        <v>1</v>
      </c>
      <c r="M351" s="295">
        <v>1</v>
      </c>
      <c r="N351" s="295" t="s">
        <v>581</v>
      </c>
      <c r="O351" s="295">
        <v>13</v>
      </c>
      <c r="P351" s="298">
        <v>3333.33</v>
      </c>
      <c r="Q351" s="298">
        <f>2000+19618.88+20346.68</f>
        <v>41965.56</v>
      </c>
      <c r="R351" s="298">
        <f t="shared" si="21"/>
        <v>45298.89</v>
      </c>
      <c r="S351" s="298">
        <v>45298.889333333333</v>
      </c>
      <c r="T351" s="298">
        <v>45298.889333333333</v>
      </c>
      <c r="U351" s="298">
        <v>45298.889333333333</v>
      </c>
      <c r="V351" s="298">
        <v>44832.120439848113</v>
      </c>
      <c r="W351" s="302"/>
    </row>
    <row r="352" spans="1:23" s="299" customFormat="1" ht="15" customHeight="1" x14ac:dyDescent="0.25">
      <c r="A352" s="295" t="s">
        <v>595</v>
      </c>
      <c r="B352" s="295">
        <v>2</v>
      </c>
      <c r="C352" s="295">
        <v>2</v>
      </c>
      <c r="D352" s="295" t="s">
        <v>579</v>
      </c>
      <c r="E352" s="295" t="s">
        <v>580</v>
      </c>
      <c r="F352" s="295">
        <v>274</v>
      </c>
      <c r="G352" s="295" t="s">
        <v>25</v>
      </c>
      <c r="H352" s="295">
        <v>1</v>
      </c>
      <c r="I352" s="296">
        <v>29801</v>
      </c>
      <c r="J352" s="295">
        <v>1</v>
      </c>
      <c r="K352" s="295">
        <v>19</v>
      </c>
      <c r="L352" s="295">
        <v>1</v>
      </c>
      <c r="M352" s="295">
        <v>1</v>
      </c>
      <c r="N352" s="295" t="s">
        <v>581</v>
      </c>
      <c r="O352" s="297">
        <v>13</v>
      </c>
      <c r="P352" s="298">
        <v>103.88</v>
      </c>
      <c r="Q352" s="298">
        <v>3641.12</v>
      </c>
      <c r="R352" s="298">
        <f t="shared" si="21"/>
        <v>3745</v>
      </c>
      <c r="S352" s="298">
        <v>3745.0033333333336</v>
      </c>
      <c r="T352" s="298">
        <v>3745.0033333333336</v>
      </c>
      <c r="U352" s="298">
        <v>3745.0033333333336</v>
      </c>
      <c r="V352" s="298">
        <v>3745.0033333333336</v>
      </c>
      <c r="W352" s="302"/>
    </row>
    <row r="353" spans="1:22" s="299" customFormat="1" ht="15" customHeight="1" x14ac:dyDescent="0.25">
      <c r="A353" s="295" t="s">
        <v>595</v>
      </c>
      <c r="B353" s="295">
        <v>2</v>
      </c>
      <c r="C353" s="295">
        <v>2</v>
      </c>
      <c r="D353" s="295" t="s">
        <v>579</v>
      </c>
      <c r="E353" s="295" t="s">
        <v>580</v>
      </c>
      <c r="F353" s="295">
        <v>274</v>
      </c>
      <c r="G353" s="295" t="s">
        <v>25</v>
      </c>
      <c r="H353" s="295">
        <v>1</v>
      </c>
      <c r="I353" s="296">
        <v>31801</v>
      </c>
      <c r="J353" s="295">
        <v>1</v>
      </c>
      <c r="K353" s="295">
        <v>19</v>
      </c>
      <c r="L353" s="295">
        <v>1</v>
      </c>
      <c r="M353" s="295">
        <v>1</v>
      </c>
      <c r="N353" s="295" t="s">
        <v>581</v>
      </c>
      <c r="O353" s="295">
        <v>13</v>
      </c>
      <c r="P353" s="298">
        <v>479.79</v>
      </c>
      <c r="Q353" s="298">
        <f>864.27+244.46</f>
        <v>1108.73</v>
      </c>
      <c r="R353" s="298">
        <f t="shared" si="21"/>
        <v>1588.52</v>
      </c>
      <c r="S353" s="298">
        <v>1588.5155999999999</v>
      </c>
      <c r="T353" s="298">
        <v>1588.5155999999999</v>
      </c>
      <c r="U353" s="298">
        <v>1588.5155999999999</v>
      </c>
      <c r="V353" s="298">
        <v>1588.5155999999999</v>
      </c>
    </row>
    <row r="354" spans="1:22" s="299" customFormat="1" ht="15" customHeight="1" x14ac:dyDescent="0.25">
      <c r="A354" s="295" t="s">
        <v>595</v>
      </c>
      <c r="B354" s="295">
        <v>2</v>
      </c>
      <c r="C354" s="295">
        <v>2</v>
      </c>
      <c r="D354" s="295" t="s">
        <v>579</v>
      </c>
      <c r="E354" s="295" t="s">
        <v>580</v>
      </c>
      <c r="F354" s="295">
        <v>274</v>
      </c>
      <c r="G354" s="295" t="s">
        <v>25</v>
      </c>
      <c r="H354" s="295">
        <v>1</v>
      </c>
      <c r="I354" s="296">
        <v>33401</v>
      </c>
      <c r="J354" s="295">
        <v>1</v>
      </c>
      <c r="K354" s="295">
        <v>19</v>
      </c>
      <c r="L354" s="295">
        <v>1</v>
      </c>
      <c r="M354" s="295">
        <v>1</v>
      </c>
      <c r="N354" s="295" t="s">
        <v>581</v>
      </c>
      <c r="O354" s="297">
        <v>13</v>
      </c>
      <c r="P354" s="298">
        <v>1615.5</v>
      </c>
      <c r="Q354" s="298">
        <f>-224.02-1391.48</f>
        <v>-1615.5</v>
      </c>
      <c r="R354" s="298">
        <f t="shared" si="21"/>
        <v>0</v>
      </c>
      <c r="S354" s="298">
        <v>0</v>
      </c>
      <c r="T354" s="298">
        <v>0</v>
      </c>
      <c r="U354" s="298">
        <v>0</v>
      </c>
      <c r="V354" s="298">
        <v>0</v>
      </c>
    </row>
    <row r="355" spans="1:22" s="299" customFormat="1" ht="15" customHeight="1" x14ac:dyDescent="0.25">
      <c r="A355" s="295" t="s">
        <v>595</v>
      </c>
      <c r="B355" s="295">
        <v>2</v>
      </c>
      <c r="C355" s="295">
        <v>2</v>
      </c>
      <c r="D355" s="295" t="s">
        <v>579</v>
      </c>
      <c r="E355" s="295" t="s">
        <v>580</v>
      </c>
      <c r="F355" s="295">
        <v>274</v>
      </c>
      <c r="G355" s="295" t="s">
        <v>25</v>
      </c>
      <c r="H355" s="295">
        <v>1</v>
      </c>
      <c r="I355" s="296">
        <v>33603</v>
      </c>
      <c r="J355" s="295">
        <v>1</v>
      </c>
      <c r="K355" s="295">
        <v>19</v>
      </c>
      <c r="L355" s="295">
        <v>1</v>
      </c>
      <c r="M355" s="295">
        <v>1</v>
      </c>
      <c r="N355" s="295" t="s">
        <v>581</v>
      </c>
      <c r="O355" s="295">
        <v>13</v>
      </c>
      <c r="P355" s="298">
        <v>562.72</v>
      </c>
      <c r="Q355" s="298">
        <v>-562.72</v>
      </c>
      <c r="R355" s="298">
        <f t="shared" si="21"/>
        <v>0</v>
      </c>
      <c r="S355" s="298">
        <v>0</v>
      </c>
      <c r="T355" s="298">
        <v>0</v>
      </c>
      <c r="U355" s="298">
        <v>0</v>
      </c>
      <c r="V355" s="298"/>
    </row>
    <row r="356" spans="1:22" s="299" customFormat="1" ht="15" customHeight="1" x14ac:dyDescent="0.25">
      <c r="A356" s="295" t="s">
        <v>595</v>
      </c>
      <c r="B356" s="295">
        <v>2</v>
      </c>
      <c r="C356" s="295">
        <v>2</v>
      </c>
      <c r="D356" s="295" t="s">
        <v>579</v>
      </c>
      <c r="E356" s="295" t="s">
        <v>580</v>
      </c>
      <c r="F356" s="295">
        <v>274</v>
      </c>
      <c r="G356" s="295" t="s">
        <v>25</v>
      </c>
      <c r="H356" s="295">
        <v>1</v>
      </c>
      <c r="I356" s="296">
        <v>34401</v>
      </c>
      <c r="J356" s="295">
        <v>1</v>
      </c>
      <c r="K356" s="295">
        <v>19</v>
      </c>
      <c r="L356" s="295">
        <v>1</v>
      </c>
      <c r="M356" s="295">
        <v>1</v>
      </c>
      <c r="N356" s="295" t="s">
        <v>581</v>
      </c>
      <c r="O356" s="297">
        <v>13</v>
      </c>
      <c r="P356" s="298">
        <v>21771.31</v>
      </c>
      <c r="Q356" s="298">
        <v>0</v>
      </c>
      <c r="R356" s="298">
        <f t="shared" si="21"/>
        <v>21771.31</v>
      </c>
      <c r="S356" s="298">
        <v>31522.19573333333</v>
      </c>
      <c r="T356" s="298">
        <v>31522.19573333333</v>
      </c>
      <c r="U356" s="298">
        <v>31522.19573333333</v>
      </c>
      <c r="V356" s="298">
        <v>31522.19573333333</v>
      </c>
    </row>
    <row r="357" spans="1:22" s="299" customFormat="1" ht="15" customHeight="1" x14ac:dyDescent="0.25">
      <c r="A357" s="295" t="s">
        <v>595</v>
      </c>
      <c r="B357" s="295">
        <v>2</v>
      </c>
      <c r="C357" s="295">
        <v>2</v>
      </c>
      <c r="D357" s="295" t="s">
        <v>579</v>
      </c>
      <c r="E357" s="295" t="s">
        <v>580</v>
      </c>
      <c r="F357" s="295">
        <v>274</v>
      </c>
      <c r="G357" s="295" t="s">
        <v>25</v>
      </c>
      <c r="H357" s="295">
        <v>1</v>
      </c>
      <c r="I357" s="296">
        <v>35101</v>
      </c>
      <c r="J357" s="295">
        <v>1</v>
      </c>
      <c r="K357" s="295">
        <v>19</v>
      </c>
      <c r="L357" s="295">
        <v>1</v>
      </c>
      <c r="M357" s="295">
        <v>1</v>
      </c>
      <c r="N357" s="295" t="s">
        <v>581</v>
      </c>
      <c r="O357" s="295">
        <v>13</v>
      </c>
      <c r="P357" s="298"/>
      <c r="Q357" s="298">
        <v>36.67</v>
      </c>
      <c r="R357" s="298">
        <f>P357+Q357</f>
        <v>36.67</v>
      </c>
      <c r="S357" s="298">
        <v>36.6676</v>
      </c>
      <c r="T357" s="298">
        <v>36.6676</v>
      </c>
      <c r="U357" s="298">
        <v>36.6676</v>
      </c>
      <c r="V357" s="298">
        <v>36.67</v>
      </c>
    </row>
    <row r="358" spans="1:22" s="299" customFormat="1" ht="15" customHeight="1" x14ac:dyDescent="0.25">
      <c r="A358" s="295" t="s">
        <v>595</v>
      </c>
      <c r="B358" s="295">
        <v>2</v>
      </c>
      <c r="C358" s="295">
        <v>2</v>
      </c>
      <c r="D358" s="295" t="s">
        <v>579</v>
      </c>
      <c r="E358" s="295" t="s">
        <v>580</v>
      </c>
      <c r="F358" s="295">
        <v>274</v>
      </c>
      <c r="G358" s="295" t="s">
        <v>25</v>
      </c>
      <c r="H358" s="295">
        <v>1</v>
      </c>
      <c r="I358" s="296">
        <v>35302</v>
      </c>
      <c r="J358" s="295">
        <v>1</v>
      </c>
      <c r="K358" s="295">
        <v>19</v>
      </c>
      <c r="L358" s="295">
        <v>1</v>
      </c>
      <c r="M358" s="295">
        <v>1</v>
      </c>
      <c r="N358" s="295" t="s">
        <v>581</v>
      </c>
      <c r="O358" s="295">
        <v>13</v>
      </c>
      <c r="P358" s="298">
        <v>2439.34</v>
      </c>
      <c r="Q358" s="298">
        <v>-2439.34</v>
      </c>
      <c r="R358" s="298">
        <f>P358+Q358</f>
        <v>0</v>
      </c>
      <c r="S358" s="298">
        <v>0</v>
      </c>
      <c r="T358" s="298">
        <v>0</v>
      </c>
      <c r="U358" s="298">
        <v>0</v>
      </c>
      <c r="V358" s="298">
        <v>0</v>
      </c>
    </row>
    <row r="359" spans="1:22" s="299" customFormat="1" ht="15" customHeight="1" x14ac:dyDescent="0.25">
      <c r="A359" s="295" t="s">
        <v>595</v>
      </c>
      <c r="B359" s="295">
        <v>2</v>
      </c>
      <c r="C359" s="295">
        <v>2</v>
      </c>
      <c r="D359" s="295" t="s">
        <v>579</v>
      </c>
      <c r="E359" s="295" t="s">
        <v>580</v>
      </c>
      <c r="F359" s="295">
        <v>274</v>
      </c>
      <c r="G359" s="295" t="s">
        <v>25</v>
      </c>
      <c r="H359" s="295">
        <v>1</v>
      </c>
      <c r="I359" s="296">
        <v>35501</v>
      </c>
      <c r="J359" s="295">
        <v>1</v>
      </c>
      <c r="K359" s="295">
        <v>19</v>
      </c>
      <c r="L359" s="295">
        <v>1</v>
      </c>
      <c r="M359" s="295">
        <v>1</v>
      </c>
      <c r="N359" s="295" t="s">
        <v>581</v>
      </c>
      <c r="O359" s="297">
        <v>13</v>
      </c>
      <c r="P359" s="298">
        <v>1927.45</v>
      </c>
      <c r="Q359" s="298">
        <f>9000+1558.82+12757.31</f>
        <v>23316.129999999997</v>
      </c>
      <c r="R359" s="298">
        <f>P359+Q359</f>
        <v>25243.579999999998</v>
      </c>
      <c r="S359" s="298">
        <v>25243.5756</v>
      </c>
      <c r="T359" s="298">
        <v>25243.5756</v>
      </c>
      <c r="U359" s="298">
        <v>25243.5756</v>
      </c>
      <c r="V359" s="298">
        <v>24487.590934327698</v>
      </c>
    </row>
    <row r="360" spans="1:22" s="299" customFormat="1" ht="15" customHeight="1" x14ac:dyDescent="0.25">
      <c r="A360" s="295" t="s">
        <v>595</v>
      </c>
      <c r="B360" s="295">
        <v>2</v>
      </c>
      <c r="C360" s="295">
        <v>2</v>
      </c>
      <c r="D360" s="295" t="s">
        <v>579</v>
      </c>
      <c r="E360" s="295" t="s">
        <v>580</v>
      </c>
      <c r="F360" s="295">
        <v>274</v>
      </c>
      <c r="G360" s="295" t="s">
        <v>25</v>
      </c>
      <c r="H360" s="295">
        <v>1</v>
      </c>
      <c r="I360" s="296">
        <v>35701</v>
      </c>
      <c r="J360" s="295">
        <v>1</v>
      </c>
      <c r="K360" s="295">
        <v>19</v>
      </c>
      <c r="L360" s="295">
        <v>1</v>
      </c>
      <c r="M360" s="295">
        <v>1</v>
      </c>
      <c r="N360" s="295" t="s">
        <v>581</v>
      </c>
      <c r="O360" s="295">
        <v>13</v>
      </c>
      <c r="P360" s="298">
        <v>251.32</v>
      </c>
      <c r="Q360" s="298">
        <v>0</v>
      </c>
      <c r="R360" s="298">
        <f>P360+Q360</f>
        <v>251.32</v>
      </c>
      <c r="S360" s="298">
        <v>14117.199999999999</v>
      </c>
      <c r="T360" s="298">
        <v>14117.199999999999</v>
      </c>
      <c r="U360" s="298">
        <v>14117.199999999999</v>
      </c>
      <c r="V360" s="298">
        <v>2956.0411264683717</v>
      </c>
    </row>
    <row r="361" spans="1:22" s="299" customFormat="1" ht="15" customHeight="1" x14ac:dyDescent="0.25">
      <c r="A361" s="295" t="s">
        <v>595</v>
      </c>
      <c r="B361" s="295">
        <v>2</v>
      </c>
      <c r="C361" s="295">
        <v>2</v>
      </c>
      <c r="D361" s="295" t="s">
        <v>579</v>
      </c>
      <c r="E361" s="295" t="s">
        <v>580</v>
      </c>
      <c r="F361" s="295">
        <v>274</v>
      </c>
      <c r="G361" s="295" t="s">
        <v>25</v>
      </c>
      <c r="H361" s="295">
        <v>1</v>
      </c>
      <c r="I361" s="296">
        <v>37101</v>
      </c>
      <c r="J361" s="295">
        <v>1</v>
      </c>
      <c r="K361" s="295">
        <v>19</v>
      </c>
      <c r="L361" s="295">
        <v>1</v>
      </c>
      <c r="M361" s="295">
        <v>1</v>
      </c>
      <c r="N361" s="295" t="s">
        <v>581</v>
      </c>
      <c r="O361" s="297">
        <v>13</v>
      </c>
      <c r="P361" s="298">
        <v>16666.689999999999</v>
      </c>
      <c r="Q361" s="298">
        <v>0</v>
      </c>
      <c r="R361" s="298">
        <f>P361+Q361</f>
        <v>16666.689999999999</v>
      </c>
      <c r="S361" s="298">
        <v>11054.814327386019</v>
      </c>
      <c r="T361" s="298">
        <v>11054.814327386019</v>
      </c>
      <c r="U361" s="298">
        <v>11054.814327386019</v>
      </c>
      <c r="V361" s="298">
        <v>7985.9791364256171</v>
      </c>
    </row>
    <row r="362" spans="1:22" s="299" customFormat="1" ht="15" customHeight="1" x14ac:dyDescent="0.25">
      <c r="A362" s="295" t="s">
        <v>595</v>
      </c>
      <c r="B362" s="295">
        <v>2</v>
      </c>
      <c r="C362" s="295">
        <v>2</v>
      </c>
      <c r="D362" s="295" t="s">
        <v>579</v>
      </c>
      <c r="E362" s="295" t="s">
        <v>580</v>
      </c>
      <c r="F362" s="295">
        <v>274</v>
      </c>
      <c r="G362" s="295" t="s">
        <v>25</v>
      </c>
      <c r="H362" s="295">
        <v>1</v>
      </c>
      <c r="I362" s="296">
        <v>37201</v>
      </c>
      <c r="J362" s="295">
        <v>1</v>
      </c>
      <c r="K362" s="295">
        <v>19</v>
      </c>
      <c r="L362" s="295">
        <v>1</v>
      </c>
      <c r="M362" s="295">
        <v>1</v>
      </c>
      <c r="N362" s="295" t="s">
        <v>581</v>
      </c>
      <c r="O362" s="295">
        <v>13</v>
      </c>
      <c r="P362" s="298">
        <v>932.85</v>
      </c>
      <c r="Q362" s="298">
        <v>-197.42</v>
      </c>
      <c r="R362" s="298">
        <f t="shared" ref="R362:R367" si="22">P362+Q362</f>
        <v>735.43000000000006</v>
      </c>
      <c r="S362" s="298">
        <v>735.47866666666653</v>
      </c>
      <c r="T362" s="298">
        <v>735.47866666666653</v>
      </c>
      <c r="U362" s="298">
        <v>735.47866666666653</v>
      </c>
      <c r="V362" s="298">
        <v>735.47866666666653</v>
      </c>
    </row>
    <row r="363" spans="1:22" s="299" customFormat="1" ht="15" customHeight="1" x14ac:dyDescent="0.25">
      <c r="A363" s="295" t="s">
        <v>595</v>
      </c>
      <c r="B363" s="295">
        <v>2</v>
      </c>
      <c r="C363" s="295">
        <v>2</v>
      </c>
      <c r="D363" s="295" t="s">
        <v>579</v>
      </c>
      <c r="E363" s="295" t="s">
        <v>580</v>
      </c>
      <c r="F363" s="295">
        <v>274</v>
      </c>
      <c r="G363" s="295" t="s">
        <v>25</v>
      </c>
      <c r="H363" s="295">
        <v>1</v>
      </c>
      <c r="I363" s="296">
        <v>37501</v>
      </c>
      <c r="J363" s="295">
        <v>1</v>
      </c>
      <c r="K363" s="295">
        <v>19</v>
      </c>
      <c r="L363" s="295">
        <v>1</v>
      </c>
      <c r="M363" s="295">
        <v>1</v>
      </c>
      <c r="N363" s="295" t="s">
        <v>581</v>
      </c>
      <c r="O363" s="297">
        <v>13</v>
      </c>
      <c r="P363" s="298">
        <v>53576.9</v>
      </c>
      <c r="Q363" s="298">
        <v>53576.9</v>
      </c>
      <c r="R363" s="298">
        <f t="shared" si="22"/>
        <v>107153.8</v>
      </c>
      <c r="S363" s="298">
        <v>107113.40802850523</v>
      </c>
      <c r="T363" s="298">
        <v>107113.40802850523</v>
      </c>
      <c r="U363" s="298">
        <v>107113.40802850523</v>
      </c>
      <c r="V363" s="298">
        <v>107113.40802850523</v>
      </c>
    </row>
    <row r="364" spans="1:22" s="299" customFormat="1" ht="15" customHeight="1" x14ac:dyDescent="0.25">
      <c r="A364" s="295" t="s">
        <v>595</v>
      </c>
      <c r="B364" s="295">
        <v>2</v>
      </c>
      <c r="C364" s="295">
        <v>2</v>
      </c>
      <c r="D364" s="295" t="s">
        <v>579</v>
      </c>
      <c r="E364" s="295" t="s">
        <v>580</v>
      </c>
      <c r="F364" s="295">
        <v>274</v>
      </c>
      <c r="G364" s="295" t="s">
        <v>25</v>
      </c>
      <c r="H364" s="295">
        <v>1</v>
      </c>
      <c r="I364" s="296">
        <v>37502</v>
      </c>
      <c r="J364" s="295">
        <v>1</v>
      </c>
      <c r="K364" s="295">
        <v>19</v>
      </c>
      <c r="L364" s="295">
        <v>1</v>
      </c>
      <c r="M364" s="295">
        <v>1</v>
      </c>
      <c r="N364" s="295" t="s">
        <v>581</v>
      </c>
      <c r="O364" s="295">
        <v>13</v>
      </c>
      <c r="P364" s="298">
        <v>34827.800000000003</v>
      </c>
      <c r="Q364" s="298">
        <v>5938.87</v>
      </c>
      <c r="R364" s="298">
        <f t="shared" si="22"/>
        <v>40766.670000000006</v>
      </c>
      <c r="S364" s="298">
        <v>40766.666666666664</v>
      </c>
      <c r="T364" s="298">
        <v>40766.666666666664</v>
      </c>
      <c r="U364" s="298">
        <v>40766.666666666664</v>
      </c>
      <c r="V364" s="298">
        <v>40766.666666666664</v>
      </c>
    </row>
    <row r="365" spans="1:22" s="299" customFormat="1" ht="15" customHeight="1" x14ac:dyDescent="0.25">
      <c r="A365" s="295" t="s">
        <v>595</v>
      </c>
      <c r="B365" s="295">
        <v>2</v>
      </c>
      <c r="C365" s="295">
        <v>2</v>
      </c>
      <c r="D365" s="295" t="s">
        <v>579</v>
      </c>
      <c r="E365" s="295" t="s">
        <v>580</v>
      </c>
      <c r="F365" s="295">
        <v>274</v>
      </c>
      <c r="G365" s="295" t="s">
        <v>25</v>
      </c>
      <c r="H365" s="295">
        <v>1</v>
      </c>
      <c r="I365" s="296">
        <v>37601</v>
      </c>
      <c r="J365" s="295">
        <v>1</v>
      </c>
      <c r="K365" s="295">
        <v>19</v>
      </c>
      <c r="L365" s="295">
        <v>1</v>
      </c>
      <c r="M365" s="295">
        <v>1</v>
      </c>
      <c r="N365" s="295" t="s">
        <v>581</v>
      </c>
      <c r="O365" s="297">
        <v>13</v>
      </c>
      <c r="P365" s="298">
        <v>2539.44</v>
      </c>
      <c r="Q365" s="298">
        <v>0</v>
      </c>
      <c r="R365" s="298">
        <f t="shared" si="22"/>
        <v>2539.44</v>
      </c>
      <c r="S365" s="298">
        <v>0</v>
      </c>
      <c r="T365" s="298">
        <v>0</v>
      </c>
      <c r="U365" s="298">
        <v>0</v>
      </c>
      <c r="V365" s="298">
        <v>0</v>
      </c>
    </row>
    <row r="366" spans="1:22" s="299" customFormat="1" ht="15" customHeight="1" x14ac:dyDescent="0.25">
      <c r="A366" s="295" t="s">
        <v>595</v>
      </c>
      <c r="B366" s="295">
        <v>2</v>
      </c>
      <c r="C366" s="295">
        <v>2</v>
      </c>
      <c r="D366" s="295" t="s">
        <v>579</v>
      </c>
      <c r="E366" s="295" t="s">
        <v>580</v>
      </c>
      <c r="F366" s="295">
        <v>274</v>
      </c>
      <c r="G366" s="295" t="s">
        <v>25</v>
      </c>
      <c r="H366" s="295">
        <v>1</v>
      </c>
      <c r="I366" s="296">
        <v>37901</v>
      </c>
      <c r="J366" s="295">
        <v>1</v>
      </c>
      <c r="K366" s="295">
        <v>19</v>
      </c>
      <c r="L366" s="295">
        <v>1</v>
      </c>
      <c r="M366" s="295">
        <v>1</v>
      </c>
      <c r="N366" s="295" t="s">
        <v>581</v>
      </c>
      <c r="O366" s="297">
        <v>13</v>
      </c>
      <c r="P366" s="298">
        <v>2108.35</v>
      </c>
      <c r="Q366" s="298">
        <v>0</v>
      </c>
      <c r="R366" s="298">
        <f t="shared" si="22"/>
        <v>2108.35</v>
      </c>
      <c r="S366" s="298">
        <v>476.3221333333334</v>
      </c>
      <c r="T366" s="298">
        <v>552.99040000000002</v>
      </c>
      <c r="U366" s="298">
        <v>552.99040000000002</v>
      </c>
      <c r="V366" s="298">
        <v>552.99040000000002</v>
      </c>
    </row>
    <row r="367" spans="1:22" s="299" customFormat="1" ht="15" customHeight="1" x14ac:dyDescent="0.25">
      <c r="A367" s="295" t="s">
        <v>595</v>
      </c>
      <c r="B367" s="295">
        <v>2</v>
      </c>
      <c r="C367" s="295">
        <v>2</v>
      </c>
      <c r="D367" s="295" t="s">
        <v>579</v>
      </c>
      <c r="E367" s="295" t="s">
        <v>580</v>
      </c>
      <c r="F367" s="295">
        <v>274</v>
      </c>
      <c r="G367" s="295" t="s">
        <v>25</v>
      </c>
      <c r="H367" s="295">
        <v>1</v>
      </c>
      <c r="I367" s="296">
        <v>39201</v>
      </c>
      <c r="J367" s="295">
        <v>1</v>
      </c>
      <c r="K367" s="295">
        <v>19</v>
      </c>
      <c r="L367" s="295">
        <v>1</v>
      </c>
      <c r="M367" s="295">
        <v>1</v>
      </c>
      <c r="N367" s="295" t="s">
        <v>581</v>
      </c>
      <c r="O367" s="297">
        <v>13</v>
      </c>
      <c r="P367" s="298">
        <v>0</v>
      </c>
      <c r="Q367" s="298">
        <v>871.33</v>
      </c>
      <c r="R367" s="298">
        <f t="shared" si="22"/>
        <v>871.33</v>
      </c>
      <c r="S367" s="298">
        <v>871.33333333333337</v>
      </c>
      <c r="T367" s="298">
        <v>871.33333333333337</v>
      </c>
      <c r="U367" s="298">
        <v>871.33333333333337</v>
      </c>
      <c r="V367" s="298">
        <v>744.35735056909186</v>
      </c>
    </row>
    <row r="368" spans="1:22" s="299" customFormat="1" ht="15" customHeight="1" x14ac:dyDescent="0.25">
      <c r="A368" s="295" t="s">
        <v>595</v>
      </c>
      <c r="B368" s="295">
        <v>2</v>
      </c>
      <c r="C368" s="295">
        <v>2</v>
      </c>
      <c r="D368" s="295" t="s">
        <v>579</v>
      </c>
      <c r="E368" s="295" t="s">
        <v>580</v>
      </c>
      <c r="F368" s="295">
        <v>274</v>
      </c>
      <c r="G368" s="295" t="s">
        <v>25</v>
      </c>
      <c r="H368" s="295">
        <v>1</v>
      </c>
      <c r="I368" s="296">
        <v>39601</v>
      </c>
      <c r="J368" s="295">
        <v>1</v>
      </c>
      <c r="K368" s="295">
        <v>19</v>
      </c>
      <c r="L368" s="295">
        <v>1</v>
      </c>
      <c r="M368" s="295">
        <v>1</v>
      </c>
      <c r="N368" s="295" t="s">
        <v>581</v>
      </c>
      <c r="O368" s="297">
        <v>13</v>
      </c>
      <c r="P368" s="298"/>
      <c r="Q368" s="298"/>
      <c r="R368" s="298"/>
      <c r="S368" s="298">
        <v>385.89333333333337</v>
      </c>
      <c r="T368" s="298">
        <v>385.89333333333337</v>
      </c>
      <c r="U368" s="298">
        <v>385.89333333333337</v>
      </c>
      <c r="V368" s="298">
        <v>385.89333333333337</v>
      </c>
    </row>
    <row r="369" spans="1:27" s="299" customFormat="1" ht="15" customHeight="1" x14ac:dyDescent="0.25">
      <c r="A369" s="295" t="s">
        <v>595</v>
      </c>
      <c r="B369" s="295">
        <v>2</v>
      </c>
      <c r="C369" s="295">
        <v>2</v>
      </c>
      <c r="D369" s="295" t="s">
        <v>579</v>
      </c>
      <c r="E369" s="295" t="s">
        <v>580</v>
      </c>
      <c r="F369" s="295">
        <v>448</v>
      </c>
      <c r="G369" s="295" t="s">
        <v>25</v>
      </c>
      <c r="H369" s="295">
        <v>1</v>
      </c>
      <c r="I369" s="296">
        <v>11301</v>
      </c>
      <c r="J369" s="295">
        <v>1</v>
      </c>
      <c r="K369" s="295">
        <v>19</v>
      </c>
      <c r="L369" s="295">
        <v>1</v>
      </c>
      <c r="M369" s="295">
        <v>1</v>
      </c>
      <c r="N369" s="295" t="s">
        <v>581</v>
      </c>
      <c r="O369" s="297">
        <v>13</v>
      </c>
      <c r="P369" s="298">
        <f>415616.22+0.08-0.3</f>
        <v>415616</v>
      </c>
      <c r="Q369" s="298">
        <v>0</v>
      </c>
      <c r="R369" s="298">
        <f>P369+Q369</f>
        <v>415616</v>
      </c>
      <c r="S369" s="298">
        <f>Q369+R369</f>
        <v>415616</v>
      </c>
      <c r="T369" s="298">
        <v>427970.6166666667</v>
      </c>
      <c r="U369" s="298">
        <v>427970.6166666667</v>
      </c>
      <c r="V369" s="298">
        <v>427970.6166666667</v>
      </c>
    </row>
    <row r="370" spans="1:27" s="299" customFormat="1" ht="15" customHeight="1" x14ac:dyDescent="0.25">
      <c r="A370" s="295" t="s">
        <v>595</v>
      </c>
      <c r="B370" s="295">
        <v>2</v>
      </c>
      <c r="C370" s="295">
        <v>2</v>
      </c>
      <c r="D370" s="295" t="s">
        <v>579</v>
      </c>
      <c r="E370" s="295" t="s">
        <v>580</v>
      </c>
      <c r="F370" s="295">
        <v>448</v>
      </c>
      <c r="G370" s="295" t="s">
        <v>25</v>
      </c>
      <c r="H370" s="295">
        <v>1</v>
      </c>
      <c r="I370" s="296">
        <v>11304</v>
      </c>
      <c r="J370" s="295">
        <v>1</v>
      </c>
      <c r="K370" s="295">
        <v>19</v>
      </c>
      <c r="L370" s="295">
        <v>1</v>
      </c>
      <c r="M370" s="295">
        <v>1</v>
      </c>
      <c r="N370" s="295" t="s">
        <v>581</v>
      </c>
      <c r="O370" s="295">
        <v>13</v>
      </c>
      <c r="P370" s="298">
        <v>322290.59999999998</v>
      </c>
      <c r="Q370" s="298">
        <v>-322290.59999999998</v>
      </c>
      <c r="R370" s="298">
        <f t="shared" ref="R370:R382" si="23">P370+Q370</f>
        <v>0</v>
      </c>
      <c r="S370" s="300">
        <v>0</v>
      </c>
      <c r="T370" s="298">
        <v>0</v>
      </c>
      <c r="U370" s="298">
        <v>0</v>
      </c>
      <c r="V370" s="298">
        <v>0</v>
      </c>
    </row>
    <row r="371" spans="1:27" s="299" customFormat="1" ht="15" customHeight="1" x14ac:dyDescent="0.25">
      <c r="A371" s="295" t="s">
        <v>595</v>
      </c>
      <c r="B371" s="295">
        <v>2</v>
      </c>
      <c r="C371" s="295">
        <v>2</v>
      </c>
      <c r="D371" s="295" t="s">
        <v>579</v>
      </c>
      <c r="E371" s="295" t="s">
        <v>580</v>
      </c>
      <c r="F371" s="295">
        <v>448</v>
      </c>
      <c r="G371" s="295" t="s">
        <v>25</v>
      </c>
      <c r="H371" s="295">
        <v>1</v>
      </c>
      <c r="I371" s="296">
        <v>11306</v>
      </c>
      <c r="J371" s="295">
        <v>1</v>
      </c>
      <c r="K371" s="295">
        <v>19</v>
      </c>
      <c r="L371" s="295">
        <v>1</v>
      </c>
      <c r="M371" s="295">
        <v>1</v>
      </c>
      <c r="N371" s="295" t="s">
        <v>581</v>
      </c>
      <c r="O371" s="297">
        <v>13</v>
      </c>
      <c r="P371" s="298">
        <f>107880</f>
        <v>107880</v>
      </c>
      <c r="Q371" s="298">
        <v>220127.570971913</v>
      </c>
      <c r="R371" s="298">
        <f t="shared" si="23"/>
        <v>328007.570971913</v>
      </c>
      <c r="S371" s="300">
        <v>328006.82781770983</v>
      </c>
      <c r="T371" s="298">
        <v>351228.20968934376</v>
      </c>
      <c r="U371" s="298">
        <v>315983.52866099234</v>
      </c>
      <c r="V371" s="298">
        <v>315983.52866099234</v>
      </c>
      <c r="Y371" s="301"/>
      <c r="AA371" s="301"/>
    </row>
    <row r="372" spans="1:27" s="299" customFormat="1" ht="15" customHeight="1" x14ac:dyDescent="0.25">
      <c r="A372" s="295" t="s">
        <v>595</v>
      </c>
      <c r="B372" s="295">
        <v>2</v>
      </c>
      <c r="C372" s="295">
        <v>2</v>
      </c>
      <c r="D372" s="295" t="s">
        <v>579</v>
      </c>
      <c r="E372" s="295" t="s">
        <v>580</v>
      </c>
      <c r="F372" s="295">
        <v>448</v>
      </c>
      <c r="G372" s="295" t="s">
        <v>25</v>
      </c>
      <c r="H372" s="295">
        <v>1</v>
      </c>
      <c r="I372" s="296">
        <v>11307</v>
      </c>
      <c r="J372" s="295">
        <v>1</v>
      </c>
      <c r="K372" s="295">
        <v>19</v>
      </c>
      <c r="L372" s="295">
        <v>1</v>
      </c>
      <c r="M372" s="295">
        <v>1</v>
      </c>
      <c r="N372" s="295" t="s">
        <v>581</v>
      </c>
      <c r="O372" s="295">
        <v>13</v>
      </c>
      <c r="P372" s="298">
        <v>96363.32</v>
      </c>
      <c r="Q372" s="298">
        <v>11516.7</v>
      </c>
      <c r="R372" s="298">
        <f t="shared" si="23"/>
        <v>107880.02</v>
      </c>
      <c r="S372" s="300">
        <f>101670.001961611+6210.02</f>
        <v>107880.021961611</v>
      </c>
      <c r="T372" s="298">
        <v>77165.686074128796</v>
      </c>
      <c r="U372" s="298">
        <v>77165.686074128796</v>
      </c>
      <c r="V372" s="298">
        <v>77165.686074128796</v>
      </c>
    </row>
    <row r="373" spans="1:27" s="299" customFormat="1" ht="15" customHeight="1" x14ac:dyDescent="0.25">
      <c r="A373" s="295" t="s">
        <v>595</v>
      </c>
      <c r="B373" s="295">
        <v>2</v>
      </c>
      <c r="C373" s="295">
        <v>2</v>
      </c>
      <c r="D373" s="295" t="s">
        <v>579</v>
      </c>
      <c r="E373" s="295" t="s">
        <v>580</v>
      </c>
      <c r="F373" s="295">
        <v>448</v>
      </c>
      <c r="G373" s="295" t="s">
        <v>25</v>
      </c>
      <c r="H373" s="295">
        <v>1</v>
      </c>
      <c r="I373" s="296">
        <v>11310</v>
      </c>
      <c r="J373" s="295">
        <v>1</v>
      </c>
      <c r="K373" s="295">
        <v>19</v>
      </c>
      <c r="L373" s="295">
        <v>1</v>
      </c>
      <c r="M373" s="295">
        <v>1</v>
      </c>
      <c r="N373" s="295" t="s">
        <v>581</v>
      </c>
      <c r="O373" s="297">
        <v>13</v>
      </c>
      <c r="P373" s="298">
        <v>0</v>
      </c>
      <c r="Q373" s="300">
        <v>96363.276799999992</v>
      </c>
      <c r="R373" s="298">
        <f t="shared" si="23"/>
        <v>96363.276799999992</v>
      </c>
      <c r="S373" s="300">
        <f>90876.4296143565+5486.85</f>
        <v>96363.279614356506</v>
      </c>
      <c r="T373" s="298">
        <v>72052.05</v>
      </c>
      <c r="U373" s="298">
        <v>72052.05</v>
      </c>
      <c r="V373" s="298">
        <v>72052.05</v>
      </c>
    </row>
    <row r="374" spans="1:27" s="299" customFormat="1" ht="15" customHeight="1" x14ac:dyDescent="0.25">
      <c r="A374" s="295" t="s">
        <v>595</v>
      </c>
      <c r="B374" s="295">
        <v>2</v>
      </c>
      <c r="C374" s="295">
        <v>2</v>
      </c>
      <c r="D374" s="295" t="s">
        <v>579</v>
      </c>
      <c r="E374" s="295" t="s">
        <v>580</v>
      </c>
      <c r="F374" s="295">
        <v>448</v>
      </c>
      <c r="G374" s="295" t="s">
        <v>25</v>
      </c>
      <c r="H374" s="295">
        <v>1</v>
      </c>
      <c r="I374" s="296">
        <v>12101</v>
      </c>
      <c r="J374" s="295">
        <v>1</v>
      </c>
      <c r="K374" s="295">
        <v>19</v>
      </c>
      <c r="L374" s="295">
        <v>1</v>
      </c>
      <c r="M374" s="295">
        <v>1</v>
      </c>
      <c r="N374" s="295" t="s">
        <v>581</v>
      </c>
      <c r="O374" s="295">
        <v>13</v>
      </c>
      <c r="P374" s="298">
        <v>37535.839999999997</v>
      </c>
      <c r="Q374" s="298">
        <f>-37536.03-0.22</f>
        <v>-37536.25</v>
      </c>
      <c r="R374" s="298">
        <f t="shared" si="23"/>
        <v>-0.41000000000349246</v>
      </c>
      <c r="S374" s="300">
        <v>0</v>
      </c>
      <c r="T374" s="298">
        <v>0</v>
      </c>
      <c r="U374" s="298">
        <v>0</v>
      </c>
      <c r="V374" s="298">
        <v>0</v>
      </c>
    </row>
    <row r="375" spans="1:27" s="299" customFormat="1" ht="15" customHeight="1" x14ac:dyDescent="0.25">
      <c r="A375" s="295" t="s">
        <v>595</v>
      </c>
      <c r="B375" s="295">
        <v>2</v>
      </c>
      <c r="C375" s="295">
        <v>2</v>
      </c>
      <c r="D375" s="295" t="s">
        <v>579</v>
      </c>
      <c r="E375" s="295" t="s">
        <v>580</v>
      </c>
      <c r="F375" s="295">
        <v>448</v>
      </c>
      <c r="G375" s="295" t="s">
        <v>25</v>
      </c>
      <c r="H375" s="295">
        <v>1</v>
      </c>
      <c r="I375" s="296">
        <v>13101</v>
      </c>
      <c r="J375" s="295">
        <v>1</v>
      </c>
      <c r="K375" s="295">
        <v>19</v>
      </c>
      <c r="L375" s="295">
        <v>1</v>
      </c>
      <c r="M375" s="295">
        <v>1</v>
      </c>
      <c r="N375" s="295" t="s">
        <v>581</v>
      </c>
      <c r="O375" s="297">
        <v>13</v>
      </c>
      <c r="P375" s="298">
        <v>6674.2</v>
      </c>
      <c r="Q375" s="298">
        <v>30861.832000000006</v>
      </c>
      <c r="R375" s="298">
        <f t="shared" si="23"/>
        <v>37536.032000000007</v>
      </c>
      <c r="S375" s="300">
        <f>40044.3285354443-2508.08-0.27</f>
        <v>37535.978535444301</v>
      </c>
      <c r="T375" s="298">
        <v>40167.822189519997</v>
      </c>
      <c r="U375" s="298">
        <v>40167.822189519997</v>
      </c>
      <c r="V375" s="298">
        <v>40167.822189519997</v>
      </c>
    </row>
    <row r="376" spans="1:27" s="299" customFormat="1" ht="15" customHeight="1" x14ac:dyDescent="0.25">
      <c r="A376" s="295" t="s">
        <v>595</v>
      </c>
      <c r="B376" s="295">
        <v>2</v>
      </c>
      <c r="C376" s="295">
        <v>2</v>
      </c>
      <c r="D376" s="295" t="s">
        <v>579</v>
      </c>
      <c r="E376" s="295" t="s">
        <v>580</v>
      </c>
      <c r="F376" s="295">
        <v>448</v>
      </c>
      <c r="G376" s="295" t="s">
        <v>25</v>
      </c>
      <c r="H376" s="295">
        <v>1</v>
      </c>
      <c r="I376" s="296">
        <v>13201</v>
      </c>
      <c r="J376" s="295">
        <v>1</v>
      </c>
      <c r="K376" s="295">
        <v>19</v>
      </c>
      <c r="L376" s="295">
        <v>1</v>
      </c>
      <c r="M376" s="295">
        <v>1</v>
      </c>
      <c r="N376" s="295" t="s">
        <v>581</v>
      </c>
      <c r="O376" s="295">
        <v>13</v>
      </c>
      <c r="P376" s="298">
        <v>13348.47</v>
      </c>
      <c r="Q376" s="298">
        <v>-6674.199999999998</v>
      </c>
      <c r="R376" s="298">
        <f t="shared" si="23"/>
        <v>6674.2700000000013</v>
      </c>
      <c r="S376" s="300">
        <f>6879.01181745391-204.74-0.2</f>
        <v>6674.0718174539106</v>
      </c>
      <c r="T376" s="298">
        <v>6417.5</v>
      </c>
      <c r="U376" s="298">
        <v>6417.5</v>
      </c>
      <c r="V376" s="298">
        <v>6417.5</v>
      </c>
    </row>
    <row r="377" spans="1:27" s="299" customFormat="1" ht="15" customHeight="1" x14ac:dyDescent="0.25">
      <c r="A377" s="295" t="s">
        <v>595</v>
      </c>
      <c r="B377" s="295">
        <v>2</v>
      </c>
      <c r="C377" s="295">
        <v>2</v>
      </c>
      <c r="D377" s="295" t="s">
        <v>579</v>
      </c>
      <c r="E377" s="295" t="s">
        <v>580</v>
      </c>
      <c r="F377" s="295">
        <v>448</v>
      </c>
      <c r="G377" s="295" t="s">
        <v>25</v>
      </c>
      <c r="H377" s="295">
        <v>1</v>
      </c>
      <c r="I377" s="296">
        <v>13202</v>
      </c>
      <c r="J377" s="295">
        <v>1</v>
      </c>
      <c r="K377" s="295">
        <v>19</v>
      </c>
      <c r="L377" s="295">
        <v>1</v>
      </c>
      <c r="M377" s="295">
        <v>1</v>
      </c>
      <c r="N377" s="295" t="s">
        <v>581</v>
      </c>
      <c r="O377" s="297">
        <v>13</v>
      </c>
      <c r="P377" s="298">
        <v>0</v>
      </c>
      <c r="Q377" s="298">
        <v>13348.400000000003</v>
      </c>
      <c r="R377" s="298">
        <f t="shared" si="23"/>
        <v>13348.400000000003</v>
      </c>
      <c r="S377" s="300">
        <f>13758.0236349078-409.62-0.41</f>
        <v>13347.9936349078</v>
      </c>
      <c r="T377" s="298">
        <v>13348.4</v>
      </c>
      <c r="U377" s="298">
        <v>13348.4</v>
      </c>
      <c r="V377" s="298">
        <v>13348.4</v>
      </c>
    </row>
    <row r="378" spans="1:27" s="299" customFormat="1" ht="14.25" customHeight="1" x14ac:dyDescent="0.25">
      <c r="A378" s="295" t="s">
        <v>595</v>
      </c>
      <c r="B378" s="295">
        <v>2</v>
      </c>
      <c r="C378" s="295">
        <v>2</v>
      </c>
      <c r="D378" s="295" t="s">
        <v>579</v>
      </c>
      <c r="E378" s="295" t="s">
        <v>580</v>
      </c>
      <c r="F378" s="295">
        <v>448</v>
      </c>
      <c r="G378" s="295" t="s">
        <v>25</v>
      </c>
      <c r="H378" s="295">
        <v>1</v>
      </c>
      <c r="I378" s="296">
        <v>14106</v>
      </c>
      <c r="J378" s="295">
        <v>1</v>
      </c>
      <c r="K378" s="295">
        <v>19</v>
      </c>
      <c r="L378" s="295">
        <v>1</v>
      </c>
      <c r="M378" s="295">
        <v>1</v>
      </c>
      <c r="N378" s="295" t="s">
        <v>581</v>
      </c>
      <c r="O378" s="295">
        <v>13</v>
      </c>
      <c r="P378" s="298">
        <v>235531</v>
      </c>
      <c r="Q378" s="298">
        <v>0</v>
      </c>
      <c r="R378" s="298">
        <f t="shared" si="23"/>
        <v>235531</v>
      </c>
      <c r="S378" s="300">
        <v>235531</v>
      </c>
      <c r="T378" s="298">
        <v>229781.43795591805</v>
      </c>
      <c r="U378" s="298">
        <v>229781.43795591805</v>
      </c>
      <c r="V378" s="298">
        <v>229781.43795591805</v>
      </c>
    </row>
    <row r="379" spans="1:27" s="299" customFormat="1" ht="15" customHeight="1" x14ac:dyDescent="0.25">
      <c r="A379" s="295" t="s">
        <v>595</v>
      </c>
      <c r="B379" s="295">
        <v>2</v>
      </c>
      <c r="C379" s="295">
        <v>2</v>
      </c>
      <c r="D379" s="295" t="s">
        <v>579</v>
      </c>
      <c r="E379" s="295" t="s">
        <v>580</v>
      </c>
      <c r="F379" s="295">
        <v>448</v>
      </c>
      <c r="G379" s="295" t="s">
        <v>25</v>
      </c>
      <c r="H379" s="295">
        <v>1</v>
      </c>
      <c r="I379" s="296">
        <v>14109</v>
      </c>
      <c r="J379" s="295">
        <v>1</v>
      </c>
      <c r="K379" s="295">
        <v>19</v>
      </c>
      <c r="L379" s="295">
        <v>1</v>
      </c>
      <c r="M379" s="295">
        <v>1</v>
      </c>
      <c r="N379" s="295" t="s">
        <v>581</v>
      </c>
      <c r="O379" s="297">
        <v>13</v>
      </c>
      <c r="P379" s="298">
        <v>561246.43999999994</v>
      </c>
      <c r="Q379" s="298">
        <v>0</v>
      </c>
      <c r="R379" s="298">
        <f t="shared" si="23"/>
        <v>561246.43999999994</v>
      </c>
      <c r="S379" s="298">
        <v>561670.23043147393</v>
      </c>
      <c r="T379" s="298">
        <v>561670.23043147393</v>
      </c>
      <c r="U379" s="298">
        <v>561670.23043147393</v>
      </c>
      <c r="V379" s="298">
        <v>548386.26964585576</v>
      </c>
    </row>
    <row r="380" spans="1:27" s="299" customFormat="1" ht="15" customHeight="1" x14ac:dyDescent="0.25">
      <c r="A380" s="295" t="s">
        <v>595</v>
      </c>
      <c r="B380" s="295">
        <v>2</v>
      </c>
      <c r="C380" s="295">
        <v>2</v>
      </c>
      <c r="D380" s="295" t="s">
        <v>579</v>
      </c>
      <c r="E380" s="295" t="s">
        <v>580</v>
      </c>
      <c r="F380" s="295">
        <v>448</v>
      </c>
      <c r="G380" s="295" t="s">
        <v>25</v>
      </c>
      <c r="H380" s="295">
        <v>1</v>
      </c>
      <c r="I380" s="296">
        <v>14402</v>
      </c>
      <c r="J380" s="295">
        <v>1</v>
      </c>
      <c r="K380" s="295">
        <v>19</v>
      </c>
      <c r="L380" s="295">
        <v>1</v>
      </c>
      <c r="M380" s="295">
        <v>1</v>
      </c>
      <c r="N380" s="295" t="s">
        <v>581</v>
      </c>
      <c r="O380" s="295">
        <v>13</v>
      </c>
      <c r="P380" s="298">
        <v>1144</v>
      </c>
      <c r="Q380" s="298">
        <v>0</v>
      </c>
      <c r="R380" s="298">
        <f t="shared" si="23"/>
        <v>1144</v>
      </c>
      <c r="S380" s="300">
        <v>1144</v>
      </c>
      <c r="T380" s="298">
        <v>1140.3333333333333</v>
      </c>
      <c r="U380" s="298">
        <v>1140.3333333333333</v>
      </c>
      <c r="V380" s="298">
        <v>1140.3333333333333</v>
      </c>
    </row>
    <row r="381" spans="1:27" s="299" customFormat="1" ht="15" customHeight="1" x14ac:dyDescent="0.25">
      <c r="A381" s="295" t="s">
        <v>595</v>
      </c>
      <c r="B381" s="295">
        <v>2</v>
      </c>
      <c r="C381" s="295">
        <v>2</v>
      </c>
      <c r="D381" s="295" t="s">
        <v>579</v>
      </c>
      <c r="E381" s="295" t="s">
        <v>580</v>
      </c>
      <c r="F381" s="295">
        <v>448</v>
      </c>
      <c r="G381" s="295" t="s">
        <v>25</v>
      </c>
      <c r="H381" s="295">
        <v>1</v>
      </c>
      <c r="I381" s="296">
        <v>14406</v>
      </c>
      <c r="J381" s="295">
        <v>1</v>
      </c>
      <c r="K381" s="295">
        <v>19</v>
      </c>
      <c r="L381" s="295">
        <v>1</v>
      </c>
      <c r="M381" s="295">
        <v>1</v>
      </c>
      <c r="N381" s="295" t="s">
        <v>581</v>
      </c>
      <c r="O381" s="297">
        <v>13</v>
      </c>
      <c r="P381" s="298">
        <v>162</v>
      </c>
      <c r="Q381" s="298">
        <v>0</v>
      </c>
      <c r="R381" s="298">
        <f t="shared" si="23"/>
        <v>162</v>
      </c>
      <c r="S381" s="300">
        <v>162</v>
      </c>
      <c r="T381" s="298">
        <v>162</v>
      </c>
      <c r="U381" s="298">
        <v>162</v>
      </c>
      <c r="V381" s="298">
        <v>162</v>
      </c>
    </row>
    <row r="382" spans="1:27" s="299" customFormat="1" ht="15" customHeight="1" x14ac:dyDescent="0.25">
      <c r="A382" s="295" t="s">
        <v>595</v>
      </c>
      <c r="B382" s="295">
        <v>2</v>
      </c>
      <c r="C382" s="295">
        <v>2</v>
      </c>
      <c r="D382" s="295" t="s">
        <v>579</v>
      </c>
      <c r="E382" s="295" t="s">
        <v>580</v>
      </c>
      <c r="F382" s="295">
        <v>448</v>
      </c>
      <c r="G382" s="295" t="s">
        <v>25</v>
      </c>
      <c r="H382" s="295">
        <v>1</v>
      </c>
      <c r="I382" s="296">
        <v>15101</v>
      </c>
      <c r="J382" s="295">
        <v>1</v>
      </c>
      <c r="K382" s="295">
        <v>19</v>
      </c>
      <c r="L382" s="295">
        <v>1</v>
      </c>
      <c r="M382" s="295">
        <v>1</v>
      </c>
      <c r="N382" s="295" t="s">
        <v>581</v>
      </c>
      <c r="O382" s="297">
        <v>13</v>
      </c>
      <c r="P382" s="298">
        <v>2673</v>
      </c>
      <c r="Q382" s="298">
        <v>0</v>
      </c>
      <c r="R382" s="298">
        <f t="shared" si="23"/>
        <v>2673</v>
      </c>
      <c r="S382" s="298">
        <v>2673</v>
      </c>
      <c r="T382" s="298">
        <v>2654</v>
      </c>
      <c r="U382" s="298">
        <v>2654</v>
      </c>
      <c r="V382" s="298">
        <v>2654</v>
      </c>
    </row>
    <row r="383" spans="1:27" s="299" customFormat="1" ht="15" customHeight="1" x14ac:dyDescent="0.25">
      <c r="A383" s="295" t="s">
        <v>595</v>
      </c>
      <c r="B383" s="295">
        <v>2</v>
      </c>
      <c r="C383" s="295">
        <v>2</v>
      </c>
      <c r="D383" s="295" t="s">
        <v>579</v>
      </c>
      <c r="E383" s="295" t="s">
        <v>580</v>
      </c>
      <c r="F383" s="295">
        <v>448</v>
      </c>
      <c r="G383" s="295" t="s">
        <v>25</v>
      </c>
      <c r="H383" s="295">
        <v>1</v>
      </c>
      <c r="I383" s="296">
        <v>15202</v>
      </c>
      <c r="J383" s="295">
        <v>1</v>
      </c>
      <c r="K383" s="295">
        <v>19</v>
      </c>
      <c r="L383" s="295">
        <v>1</v>
      </c>
      <c r="M383" s="295">
        <v>1</v>
      </c>
      <c r="N383" s="295" t="s">
        <v>581</v>
      </c>
      <c r="O383" s="297">
        <v>13</v>
      </c>
      <c r="P383" s="298"/>
      <c r="Q383" s="298"/>
      <c r="R383" s="298"/>
      <c r="S383" s="298"/>
      <c r="T383" s="298">
        <v>0</v>
      </c>
      <c r="U383" s="298"/>
      <c r="V383" s="298"/>
    </row>
    <row r="384" spans="1:27" s="299" customFormat="1" ht="15" customHeight="1" x14ac:dyDescent="0.25">
      <c r="A384" s="295" t="s">
        <v>595</v>
      </c>
      <c r="B384" s="295">
        <v>2</v>
      </c>
      <c r="C384" s="295">
        <v>2</v>
      </c>
      <c r="D384" s="295" t="s">
        <v>579</v>
      </c>
      <c r="E384" s="295" t="s">
        <v>580</v>
      </c>
      <c r="F384" s="295">
        <v>448</v>
      </c>
      <c r="G384" s="295" t="s">
        <v>25</v>
      </c>
      <c r="H384" s="295">
        <v>1</v>
      </c>
      <c r="I384" s="296">
        <v>15901</v>
      </c>
      <c r="J384" s="295">
        <v>1</v>
      </c>
      <c r="K384" s="295">
        <v>19</v>
      </c>
      <c r="L384" s="295">
        <v>1</v>
      </c>
      <c r="M384" s="295">
        <v>1</v>
      </c>
      <c r="N384" s="295" t="s">
        <v>581</v>
      </c>
      <c r="O384" s="297">
        <v>13</v>
      </c>
      <c r="P384" s="298">
        <v>488201</v>
      </c>
      <c r="Q384" s="298"/>
      <c r="R384" s="298">
        <f t="shared" ref="R384:R390" si="24">P384+Q384</f>
        <v>488201</v>
      </c>
      <c r="S384" s="298">
        <v>488201</v>
      </c>
      <c r="T384" s="298">
        <v>602412.92333333322</v>
      </c>
      <c r="U384" s="298">
        <v>602412.92333333322</v>
      </c>
      <c r="V384" s="298">
        <v>602412.92333333322</v>
      </c>
    </row>
    <row r="385" spans="1:23" s="299" customFormat="1" ht="15" customHeight="1" x14ac:dyDescent="0.25">
      <c r="A385" s="295" t="s">
        <v>595</v>
      </c>
      <c r="B385" s="295">
        <v>2</v>
      </c>
      <c r="C385" s="295">
        <v>2</v>
      </c>
      <c r="D385" s="295" t="s">
        <v>579</v>
      </c>
      <c r="E385" s="295" t="s">
        <v>580</v>
      </c>
      <c r="F385" s="295">
        <v>448</v>
      </c>
      <c r="G385" s="295" t="s">
        <v>25</v>
      </c>
      <c r="H385" s="295">
        <v>1</v>
      </c>
      <c r="I385" s="296">
        <v>17102</v>
      </c>
      <c r="J385" s="295">
        <v>1</v>
      </c>
      <c r="K385" s="295">
        <v>19</v>
      </c>
      <c r="L385" s="295">
        <v>1</v>
      </c>
      <c r="M385" s="295">
        <v>1</v>
      </c>
      <c r="N385" s="295" t="s">
        <v>581</v>
      </c>
      <c r="O385" s="295">
        <v>13</v>
      </c>
      <c r="P385" s="298">
        <v>4400</v>
      </c>
      <c r="Q385" s="298">
        <f>1200+100</f>
        <v>1300</v>
      </c>
      <c r="R385" s="298">
        <f t="shared" si="24"/>
        <v>5700</v>
      </c>
      <c r="S385" s="298">
        <v>5700</v>
      </c>
      <c r="T385" s="298">
        <v>8600</v>
      </c>
      <c r="U385" s="298">
        <v>8600</v>
      </c>
      <c r="V385" s="298">
        <v>8600</v>
      </c>
    </row>
    <row r="386" spans="1:23" s="299" customFormat="1" ht="15" customHeight="1" x14ac:dyDescent="0.25">
      <c r="A386" s="295" t="s">
        <v>595</v>
      </c>
      <c r="B386" s="295">
        <v>2</v>
      </c>
      <c r="C386" s="295">
        <v>2</v>
      </c>
      <c r="D386" s="295" t="s">
        <v>579</v>
      </c>
      <c r="E386" s="295" t="s">
        <v>580</v>
      </c>
      <c r="F386" s="295">
        <v>448</v>
      </c>
      <c r="G386" s="295" t="s">
        <v>25</v>
      </c>
      <c r="H386" s="295">
        <v>1</v>
      </c>
      <c r="I386" s="296">
        <v>21101</v>
      </c>
      <c r="J386" s="295">
        <v>1</v>
      </c>
      <c r="K386" s="295">
        <v>19</v>
      </c>
      <c r="L386" s="295">
        <v>1</v>
      </c>
      <c r="M386" s="295">
        <v>1</v>
      </c>
      <c r="N386" s="295" t="s">
        <v>581</v>
      </c>
      <c r="O386" s="297">
        <v>13</v>
      </c>
      <c r="P386" s="298">
        <v>4451.3999999999996</v>
      </c>
      <c r="Q386" s="298">
        <f>-1500+1108.98-0.12</f>
        <v>-391.14</v>
      </c>
      <c r="R386" s="298">
        <f t="shared" si="24"/>
        <v>4060.2599999999998</v>
      </c>
      <c r="S386" s="298">
        <v>4060.26</v>
      </c>
      <c r="T386" s="298">
        <v>4060.26</v>
      </c>
      <c r="U386" s="298">
        <v>4060.26</v>
      </c>
      <c r="V386" s="298">
        <v>4025.8954557429029</v>
      </c>
      <c r="W386" s="302"/>
    </row>
    <row r="387" spans="1:23" s="299" customFormat="1" ht="15" customHeight="1" x14ac:dyDescent="0.25">
      <c r="A387" s="295" t="s">
        <v>595</v>
      </c>
      <c r="B387" s="295">
        <v>2</v>
      </c>
      <c r="C387" s="295">
        <v>2</v>
      </c>
      <c r="D387" s="295" t="s">
        <v>579</v>
      </c>
      <c r="E387" s="295" t="s">
        <v>580</v>
      </c>
      <c r="F387" s="295">
        <v>448</v>
      </c>
      <c r="G387" s="295" t="s">
        <v>25</v>
      </c>
      <c r="H387" s="295">
        <v>1</v>
      </c>
      <c r="I387" s="296">
        <v>21201</v>
      </c>
      <c r="J387" s="295">
        <v>1</v>
      </c>
      <c r="K387" s="295">
        <v>19</v>
      </c>
      <c r="L387" s="295">
        <v>1</v>
      </c>
      <c r="M387" s="295">
        <v>1</v>
      </c>
      <c r="N387" s="295" t="s">
        <v>581</v>
      </c>
      <c r="O387" s="295">
        <v>13</v>
      </c>
      <c r="P387" s="298">
        <v>379</v>
      </c>
      <c r="Q387" s="298">
        <v>898.3</v>
      </c>
      <c r="R387" s="298">
        <f t="shared" si="24"/>
        <v>1277.3</v>
      </c>
      <c r="S387" s="298">
        <v>1277.296</v>
      </c>
      <c r="T387" s="298">
        <v>1277.296</v>
      </c>
      <c r="U387" s="298">
        <v>1277.296</v>
      </c>
      <c r="V387" s="298">
        <v>1050.2393495373331</v>
      </c>
      <c r="W387" s="302"/>
    </row>
    <row r="388" spans="1:23" s="299" customFormat="1" ht="15" customHeight="1" x14ac:dyDescent="0.25">
      <c r="A388" s="295" t="s">
        <v>595</v>
      </c>
      <c r="B388" s="295">
        <v>2</v>
      </c>
      <c r="C388" s="295">
        <v>2</v>
      </c>
      <c r="D388" s="295" t="s">
        <v>579</v>
      </c>
      <c r="E388" s="295" t="s">
        <v>580</v>
      </c>
      <c r="F388" s="295">
        <v>448</v>
      </c>
      <c r="G388" s="295" t="s">
        <v>25</v>
      </c>
      <c r="H388" s="295">
        <v>1</v>
      </c>
      <c r="I388" s="296">
        <v>21401</v>
      </c>
      <c r="J388" s="295">
        <v>1</v>
      </c>
      <c r="K388" s="295">
        <v>19</v>
      </c>
      <c r="L388" s="295">
        <v>1</v>
      </c>
      <c r="M388" s="295">
        <v>1</v>
      </c>
      <c r="N388" s="295" t="s">
        <v>581</v>
      </c>
      <c r="O388" s="297">
        <v>13</v>
      </c>
      <c r="P388" s="298">
        <v>4661.04</v>
      </c>
      <c r="Q388" s="298">
        <v>179.38</v>
      </c>
      <c r="R388" s="298">
        <f t="shared" si="24"/>
        <v>4840.42</v>
      </c>
      <c r="S388" s="298">
        <v>4974.2131999999992</v>
      </c>
      <c r="T388" s="298">
        <v>4974.2131999999992</v>
      </c>
      <c r="U388" s="298">
        <v>4974.2131999999992</v>
      </c>
      <c r="V388" s="298">
        <v>5052.3810282041622</v>
      </c>
      <c r="W388" s="302"/>
    </row>
    <row r="389" spans="1:23" s="299" customFormat="1" ht="15" customHeight="1" x14ac:dyDescent="0.25">
      <c r="A389" s="295" t="s">
        <v>595</v>
      </c>
      <c r="B389" s="295">
        <v>2</v>
      </c>
      <c r="C389" s="295">
        <v>2</v>
      </c>
      <c r="D389" s="295" t="s">
        <v>579</v>
      </c>
      <c r="E389" s="295" t="s">
        <v>580</v>
      </c>
      <c r="F389" s="295">
        <v>448</v>
      </c>
      <c r="G389" s="295" t="s">
        <v>25</v>
      </c>
      <c r="H389" s="295">
        <v>1</v>
      </c>
      <c r="I389" s="296">
        <v>21801</v>
      </c>
      <c r="J389" s="295">
        <v>1</v>
      </c>
      <c r="K389" s="295">
        <v>19</v>
      </c>
      <c r="L389" s="295">
        <v>1</v>
      </c>
      <c r="M389" s="295">
        <v>1</v>
      </c>
      <c r="N389" s="295" t="s">
        <v>581</v>
      </c>
      <c r="O389" s="295">
        <v>13</v>
      </c>
      <c r="P389" s="298">
        <v>3420.04</v>
      </c>
      <c r="Q389" s="298">
        <f>-108.38-282.99</f>
        <v>-391.37</v>
      </c>
      <c r="R389" s="298">
        <f t="shared" si="24"/>
        <v>3028.67</v>
      </c>
      <c r="S389" s="298">
        <v>3028.6666666666665</v>
      </c>
      <c r="T389" s="298">
        <v>3028.6666666666665</v>
      </c>
      <c r="U389" s="298">
        <v>3028.6666666666665</v>
      </c>
      <c r="V389" s="298">
        <v>3028.6666666666665</v>
      </c>
      <c r="W389" s="302"/>
    </row>
    <row r="390" spans="1:23" s="299" customFormat="1" ht="15" customHeight="1" x14ac:dyDescent="0.25">
      <c r="A390" s="295" t="s">
        <v>595</v>
      </c>
      <c r="B390" s="295">
        <v>2</v>
      </c>
      <c r="C390" s="295">
        <v>2</v>
      </c>
      <c r="D390" s="295" t="s">
        <v>579</v>
      </c>
      <c r="E390" s="295" t="s">
        <v>580</v>
      </c>
      <c r="F390" s="295">
        <v>448</v>
      </c>
      <c r="G390" s="295" t="s">
        <v>25</v>
      </c>
      <c r="H390" s="295">
        <v>1</v>
      </c>
      <c r="I390" s="296">
        <v>22101</v>
      </c>
      <c r="J390" s="295">
        <v>1</v>
      </c>
      <c r="K390" s="295">
        <v>19</v>
      </c>
      <c r="L390" s="295">
        <v>1</v>
      </c>
      <c r="M390" s="295">
        <v>1</v>
      </c>
      <c r="N390" s="295" t="s">
        <v>581</v>
      </c>
      <c r="O390" s="297">
        <v>13</v>
      </c>
      <c r="P390" s="298">
        <v>744</v>
      </c>
      <c r="Q390" s="298">
        <f>337.8+489.6+778.15</f>
        <v>1605.5500000000002</v>
      </c>
      <c r="R390" s="298">
        <f t="shared" si="24"/>
        <v>2349.5500000000002</v>
      </c>
      <c r="S390" s="298">
        <v>2349.5451776265404</v>
      </c>
      <c r="T390" s="298">
        <v>2349.5451776265404</v>
      </c>
      <c r="U390" s="298">
        <v>2349.5451776265404</v>
      </c>
      <c r="V390" s="298">
        <v>2349.5451776265404</v>
      </c>
      <c r="W390" s="302"/>
    </row>
    <row r="391" spans="1:23" s="299" customFormat="1" ht="15" customHeight="1" x14ac:dyDescent="0.25">
      <c r="A391" s="295" t="s">
        <v>595</v>
      </c>
      <c r="B391" s="295">
        <v>2</v>
      </c>
      <c r="C391" s="295">
        <v>2</v>
      </c>
      <c r="D391" s="295" t="s">
        <v>579</v>
      </c>
      <c r="E391" s="295" t="s">
        <v>580</v>
      </c>
      <c r="F391" s="295">
        <v>448</v>
      </c>
      <c r="G391" s="295" t="s">
        <v>25</v>
      </c>
      <c r="H391" s="295">
        <v>1</v>
      </c>
      <c r="I391" s="296">
        <v>24901</v>
      </c>
      <c r="J391" s="295">
        <v>1</v>
      </c>
      <c r="K391" s="295">
        <v>19</v>
      </c>
      <c r="L391" s="295">
        <v>1</v>
      </c>
      <c r="M391" s="295">
        <v>1</v>
      </c>
      <c r="N391" s="295" t="s">
        <v>581</v>
      </c>
      <c r="O391" s="295">
        <v>13</v>
      </c>
      <c r="P391" s="298"/>
      <c r="Q391" s="298">
        <v>116</v>
      </c>
      <c r="R391" s="298">
        <f>P391+Q391</f>
        <v>116</v>
      </c>
      <c r="S391" s="298">
        <v>116</v>
      </c>
      <c r="T391" s="298">
        <v>116</v>
      </c>
      <c r="U391" s="298">
        <v>116</v>
      </c>
      <c r="V391" s="298">
        <v>116</v>
      </c>
      <c r="W391" s="302"/>
    </row>
    <row r="392" spans="1:23" s="299" customFormat="1" ht="15" customHeight="1" x14ac:dyDescent="0.25">
      <c r="A392" s="295" t="s">
        <v>595</v>
      </c>
      <c r="B392" s="295">
        <v>2</v>
      </c>
      <c r="C392" s="295">
        <v>2</v>
      </c>
      <c r="D392" s="295" t="s">
        <v>579</v>
      </c>
      <c r="E392" s="295" t="s">
        <v>580</v>
      </c>
      <c r="F392" s="295">
        <v>448</v>
      </c>
      <c r="G392" s="295" t="s">
        <v>25</v>
      </c>
      <c r="H392" s="295">
        <v>1</v>
      </c>
      <c r="I392" s="296">
        <v>26101</v>
      </c>
      <c r="J392" s="295">
        <v>1</v>
      </c>
      <c r="K392" s="295">
        <v>19</v>
      </c>
      <c r="L392" s="295">
        <v>1</v>
      </c>
      <c r="M392" s="295">
        <v>1</v>
      </c>
      <c r="N392" s="295" t="s">
        <v>581</v>
      </c>
      <c r="O392" s="295">
        <v>13</v>
      </c>
      <c r="P392" s="298">
        <v>63126.3</v>
      </c>
      <c r="Q392" s="298">
        <f>1656.22877116771+26501.01</f>
        <v>28157.238771167707</v>
      </c>
      <c r="R392" s="298">
        <f t="shared" ref="R392:R455" si="25">P392+Q392</f>
        <v>91283.538771167718</v>
      </c>
      <c r="S392" s="298">
        <v>91283.543353768633</v>
      </c>
      <c r="T392" s="298">
        <v>91283.543353768633</v>
      </c>
      <c r="U392" s="298">
        <v>91283.543353768633</v>
      </c>
      <c r="V392" s="298">
        <v>84888.215324631761</v>
      </c>
      <c r="W392" s="302"/>
    </row>
    <row r="393" spans="1:23" s="299" customFormat="1" ht="15" customHeight="1" x14ac:dyDescent="0.25">
      <c r="A393" s="295" t="s">
        <v>595</v>
      </c>
      <c r="B393" s="295">
        <v>2</v>
      </c>
      <c r="C393" s="295">
        <v>2</v>
      </c>
      <c r="D393" s="295" t="s">
        <v>579</v>
      </c>
      <c r="E393" s="295" t="s">
        <v>580</v>
      </c>
      <c r="F393" s="295">
        <v>448</v>
      </c>
      <c r="G393" s="295" t="s">
        <v>25</v>
      </c>
      <c r="H393" s="295">
        <v>1</v>
      </c>
      <c r="I393" s="296">
        <v>26102</v>
      </c>
      <c r="J393" s="295">
        <v>1</v>
      </c>
      <c r="K393" s="295">
        <v>19</v>
      </c>
      <c r="L393" s="295">
        <v>1</v>
      </c>
      <c r="M393" s="295">
        <v>1</v>
      </c>
      <c r="N393" s="295" t="s">
        <v>581</v>
      </c>
      <c r="O393" s="297">
        <v>13</v>
      </c>
      <c r="P393" s="298">
        <v>0</v>
      </c>
      <c r="Q393" s="298">
        <v>461.5</v>
      </c>
      <c r="R393" s="298">
        <f t="shared" si="25"/>
        <v>461.5</v>
      </c>
      <c r="S393" s="298">
        <v>855.30666666666673</v>
      </c>
      <c r="T393" s="298">
        <v>855.30666666666673</v>
      </c>
      <c r="U393" s="298">
        <v>855.30666666666673</v>
      </c>
      <c r="V393" s="298">
        <v>778.56347327663264</v>
      </c>
      <c r="W393" s="302"/>
    </row>
    <row r="394" spans="1:23" s="299" customFormat="1" ht="15" customHeight="1" x14ac:dyDescent="0.25">
      <c r="A394" s="295" t="s">
        <v>595</v>
      </c>
      <c r="B394" s="295">
        <v>2</v>
      </c>
      <c r="C394" s="295">
        <v>2</v>
      </c>
      <c r="D394" s="295" t="s">
        <v>579</v>
      </c>
      <c r="E394" s="295" t="s">
        <v>580</v>
      </c>
      <c r="F394" s="295">
        <v>448</v>
      </c>
      <c r="G394" s="295" t="s">
        <v>25</v>
      </c>
      <c r="H394" s="295">
        <v>1</v>
      </c>
      <c r="I394" s="296">
        <v>27201</v>
      </c>
      <c r="J394" s="295">
        <v>1</v>
      </c>
      <c r="K394" s="295">
        <v>19</v>
      </c>
      <c r="L394" s="295">
        <v>1</v>
      </c>
      <c r="M394" s="295">
        <v>1</v>
      </c>
      <c r="N394" s="295" t="s">
        <v>581</v>
      </c>
      <c r="O394" s="295">
        <v>13</v>
      </c>
      <c r="P394" s="298">
        <v>0</v>
      </c>
      <c r="Q394" s="298">
        <v>0</v>
      </c>
      <c r="R394" s="298">
        <f t="shared" si="25"/>
        <v>0</v>
      </c>
      <c r="S394" s="298">
        <v>270</v>
      </c>
      <c r="T394" s="298">
        <v>270</v>
      </c>
      <c r="U394" s="298">
        <v>270</v>
      </c>
      <c r="V394" s="298">
        <v>270</v>
      </c>
      <c r="W394" s="302"/>
    </row>
    <row r="395" spans="1:23" s="299" customFormat="1" ht="15" customHeight="1" x14ac:dyDescent="0.25">
      <c r="A395" s="295" t="s">
        <v>595</v>
      </c>
      <c r="B395" s="295">
        <v>2</v>
      </c>
      <c r="C395" s="295">
        <v>2</v>
      </c>
      <c r="D395" s="295" t="s">
        <v>579</v>
      </c>
      <c r="E395" s="295" t="s">
        <v>580</v>
      </c>
      <c r="F395" s="295">
        <v>448</v>
      </c>
      <c r="G395" s="295" t="s">
        <v>25</v>
      </c>
      <c r="H395" s="295">
        <v>1</v>
      </c>
      <c r="I395" s="296">
        <v>29201</v>
      </c>
      <c r="J395" s="295">
        <v>1</v>
      </c>
      <c r="K395" s="295">
        <v>19</v>
      </c>
      <c r="L395" s="295">
        <v>1</v>
      </c>
      <c r="M395" s="295">
        <v>1</v>
      </c>
      <c r="N395" s="295" t="s">
        <v>581</v>
      </c>
      <c r="O395" s="297">
        <v>13</v>
      </c>
      <c r="P395" s="298">
        <v>0</v>
      </c>
      <c r="Q395" s="298">
        <v>189.82</v>
      </c>
      <c r="R395" s="298">
        <f t="shared" si="25"/>
        <v>189.82</v>
      </c>
      <c r="S395" s="298">
        <v>190.00093333333334</v>
      </c>
      <c r="T395" s="298">
        <v>190.00093333333334</v>
      </c>
      <c r="U395" s="298">
        <v>190.00093333333334</v>
      </c>
      <c r="V395" s="298">
        <v>190.00093333333334</v>
      </c>
      <c r="W395" s="302"/>
    </row>
    <row r="396" spans="1:23" s="299" customFormat="1" ht="15" customHeight="1" x14ac:dyDescent="0.25">
      <c r="A396" s="295" t="s">
        <v>595</v>
      </c>
      <c r="B396" s="295">
        <v>2</v>
      </c>
      <c r="C396" s="295">
        <v>2</v>
      </c>
      <c r="D396" s="295" t="s">
        <v>579</v>
      </c>
      <c r="E396" s="295" t="s">
        <v>580</v>
      </c>
      <c r="F396" s="295">
        <v>448</v>
      </c>
      <c r="G396" s="295" t="s">
        <v>25</v>
      </c>
      <c r="H396" s="295">
        <v>1</v>
      </c>
      <c r="I396" s="296">
        <v>29301</v>
      </c>
      <c r="J396" s="295">
        <v>1</v>
      </c>
      <c r="K396" s="295">
        <v>19</v>
      </c>
      <c r="L396" s="295">
        <v>1</v>
      </c>
      <c r="M396" s="295">
        <v>1</v>
      </c>
      <c r="N396" s="295" t="s">
        <v>581</v>
      </c>
      <c r="O396" s="295">
        <v>13</v>
      </c>
      <c r="P396" s="298"/>
      <c r="Q396" s="298">
        <f>1090.52+166.67-50.01</f>
        <v>1207.18</v>
      </c>
      <c r="R396" s="298">
        <f t="shared" si="25"/>
        <v>1207.18</v>
      </c>
      <c r="S396" s="298">
        <v>1257.1865333333333</v>
      </c>
      <c r="T396" s="298">
        <v>1257.1865333333333</v>
      </c>
      <c r="U396" s="298">
        <v>1257.1865333333333</v>
      </c>
      <c r="V396" s="298">
        <v>1257.1865333333333</v>
      </c>
      <c r="W396" s="302"/>
    </row>
    <row r="397" spans="1:23" s="299" customFormat="1" ht="15" customHeight="1" x14ac:dyDescent="0.25">
      <c r="A397" s="295" t="s">
        <v>595</v>
      </c>
      <c r="B397" s="295">
        <v>2</v>
      </c>
      <c r="C397" s="295">
        <v>2</v>
      </c>
      <c r="D397" s="295" t="s">
        <v>579</v>
      </c>
      <c r="E397" s="295" t="s">
        <v>580</v>
      </c>
      <c r="F397" s="295">
        <v>448</v>
      </c>
      <c r="G397" s="295" t="s">
        <v>25</v>
      </c>
      <c r="H397" s="295">
        <v>1</v>
      </c>
      <c r="I397" s="296">
        <v>29401</v>
      </c>
      <c r="J397" s="295">
        <v>1</v>
      </c>
      <c r="K397" s="295">
        <v>19</v>
      </c>
      <c r="L397" s="295">
        <v>1</v>
      </c>
      <c r="M397" s="295">
        <v>1</v>
      </c>
      <c r="N397" s="295" t="s">
        <v>581</v>
      </c>
      <c r="O397" s="295">
        <v>13</v>
      </c>
      <c r="P397" s="298">
        <v>0</v>
      </c>
      <c r="Q397" s="298">
        <v>536.75</v>
      </c>
      <c r="R397" s="298">
        <f t="shared" si="25"/>
        <v>536.75</v>
      </c>
      <c r="S397" s="298">
        <v>536.75</v>
      </c>
      <c r="T397" s="298">
        <v>536.75</v>
      </c>
      <c r="U397" s="298">
        <v>536.75</v>
      </c>
      <c r="V397" s="298">
        <v>536.75</v>
      </c>
      <c r="W397" s="302"/>
    </row>
    <row r="398" spans="1:23" s="299" customFormat="1" ht="15" customHeight="1" x14ac:dyDescent="0.25">
      <c r="A398" s="295" t="s">
        <v>595</v>
      </c>
      <c r="B398" s="295">
        <v>2</v>
      </c>
      <c r="C398" s="295">
        <v>2</v>
      </c>
      <c r="D398" s="295" t="s">
        <v>579</v>
      </c>
      <c r="E398" s="295" t="s">
        <v>580</v>
      </c>
      <c r="F398" s="295">
        <v>448</v>
      </c>
      <c r="G398" s="295" t="s">
        <v>25</v>
      </c>
      <c r="H398" s="295">
        <v>1</v>
      </c>
      <c r="I398" s="296">
        <v>29601</v>
      </c>
      <c r="J398" s="295">
        <v>1</v>
      </c>
      <c r="K398" s="295">
        <v>19</v>
      </c>
      <c r="L398" s="295">
        <v>1</v>
      </c>
      <c r="M398" s="295">
        <v>1</v>
      </c>
      <c r="N398" s="295" t="s">
        <v>581</v>
      </c>
      <c r="O398" s="297">
        <v>13</v>
      </c>
      <c r="P398" s="298">
        <v>3333.34</v>
      </c>
      <c r="Q398" s="298">
        <f>2000+39965.56</f>
        <v>41965.56</v>
      </c>
      <c r="R398" s="298">
        <f t="shared" si="25"/>
        <v>45298.899999999994</v>
      </c>
      <c r="S398" s="298">
        <v>45298.889333333333</v>
      </c>
      <c r="T398" s="298">
        <v>45298.889333333333</v>
      </c>
      <c r="U398" s="298">
        <v>45298.889333333333</v>
      </c>
      <c r="V398" s="298">
        <v>44832.120439848113</v>
      </c>
      <c r="W398" s="302"/>
    </row>
    <row r="399" spans="1:23" s="299" customFormat="1" ht="15" customHeight="1" x14ac:dyDescent="0.25">
      <c r="A399" s="295" t="s">
        <v>595</v>
      </c>
      <c r="B399" s="295">
        <v>2</v>
      </c>
      <c r="C399" s="295">
        <v>2</v>
      </c>
      <c r="D399" s="295" t="s">
        <v>579</v>
      </c>
      <c r="E399" s="295" t="s">
        <v>580</v>
      </c>
      <c r="F399" s="295">
        <v>448</v>
      </c>
      <c r="G399" s="295" t="s">
        <v>25</v>
      </c>
      <c r="H399" s="295">
        <v>1</v>
      </c>
      <c r="I399" s="296">
        <v>29801</v>
      </c>
      <c r="J399" s="295">
        <v>1</v>
      </c>
      <c r="K399" s="295">
        <v>19</v>
      </c>
      <c r="L399" s="295">
        <v>1</v>
      </c>
      <c r="M399" s="295">
        <v>1</v>
      </c>
      <c r="N399" s="295" t="s">
        <v>581</v>
      </c>
      <c r="O399" s="295">
        <v>13</v>
      </c>
      <c r="P399" s="298">
        <f>103.88-0.38+0.74</f>
        <v>104.24</v>
      </c>
      <c r="Q399" s="298">
        <v>3640.76</v>
      </c>
      <c r="R399" s="298">
        <f t="shared" si="25"/>
        <v>3745</v>
      </c>
      <c r="S399" s="298">
        <v>3745.0033333333336</v>
      </c>
      <c r="T399" s="298">
        <v>3745.0033333333336</v>
      </c>
      <c r="U399" s="298">
        <v>3745.0033333333336</v>
      </c>
      <c r="V399" s="298">
        <v>3745.0033333333336</v>
      </c>
      <c r="W399" s="302"/>
    </row>
    <row r="400" spans="1:23" s="299" customFormat="1" ht="15" customHeight="1" x14ac:dyDescent="0.25">
      <c r="A400" s="295" t="s">
        <v>595</v>
      </c>
      <c r="B400" s="295">
        <v>2</v>
      </c>
      <c r="C400" s="295">
        <v>2</v>
      </c>
      <c r="D400" s="295" t="s">
        <v>579</v>
      </c>
      <c r="E400" s="295" t="s">
        <v>580</v>
      </c>
      <c r="F400" s="295">
        <v>448</v>
      </c>
      <c r="G400" s="295" t="s">
        <v>25</v>
      </c>
      <c r="H400" s="295">
        <v>1</v>
      </c>
      <c r="I400" s="296">
        <v>31801</v>
      </c>
      <c r="J400" s="295">
        <v>1</v>
      </c>
      <c r="K400" s="295">
        <v>19</v>
      </c>
      <c r="L400" s="295">
        <v>1</v>
      </c>
      <c r="M400" s="295">
        <v>1</v>
      </c>
      <c r="N400" s="295" t="s">
        <v>581</v>
      </c>
      <c r="O400" s="297">
        <v>13</v>
      </c>
      <c r="P400" s="298">
        <f>479.79-0.2</f>
        <v>479.59000000000003</v>
      </c>
      <c r="Q400" s="298">
        <f>864.27+0.2+244.46</f>
        <v>1108.93</v>
      </c>
      <c r="R400" s="298">
        <f t="shared" si="25"/>
        <v>1588.52</v>
      </c>
      <c r="S400" s="298">
        <v>1588.5155999999999</v>
      </c>
      <c r="T400" s="298">
        <v>1588.5155999999999</v>
      </c>
      <c r="U400" s="298">
        <v>1588.5155999999999</v>
      </c>
      <c r="V400" s="298">
        <v>1588.5155999999999</v>
      </c>
    </row>
    <row r="401" spans="1:22" s="299" customFormat="1" ht="15" customHeight="1" x14ac:dyDescent="0.25">
      <c r="A401" s="295" t="s">
        <v>595</v>
      </c>
      <c r="B401" s="295">
        <v>2</v>
      </c>
      <c r="C401" s="295">
        <v>2</v>
      </c>
      <c r="D401" s="295" t="s">
        <v>579</v>
      </c>
      <c r="E401" s="295" t="s">
        <v>580</v>
      </c>
      <c r="F401" s="295">
        <v>448</v>
      </c>
      <c r="G401" s="295" t="s">
        <v>25</v>
      </c>
      <c r="H401" s="295">
        <v>1</v>
      </c>
      <c r="I401" s="296">
        <v>33401</v>
      </c>
      <c r="J401" s="295">
        <v>1</v>
      </c>
      <c r="K401" s="295">
        <v>19</v>
      </c>
      <c r="L401" s="295">
        <v>1</v>
      </c>
      <c r="M401" s="295">
        <v>1</v>
      </c>
      <c r="N401" s="295" t="s">
        <v>581</v>
      </c>
      <c r="O401" s="295">
        <v>13</v>
      </c>
      <c r="P401" s="298">
        <f>1615.7-0.18</f>
        <v>1615.52</v>
      </c>
      <c r="Q401" s="298">
        <v>-1615.52</v>
      </c>
      <c r="R401" s="298">
        <f t="shared" si="25"/>
        <v>0</v>
      </c>
      <c r="S401" s="298">
        <v>0</v>
      </c>
      <c r="T401" s="298">
        <v>0</v>
      </c>
      <c r="U401" s="298">
        <v>0</v>
      </c>
      <c r="V401" s="298">
        <v>0</v>
      </c>
    </row>
    <row r="402" spans="1:22" s="299" customFormat="1" ht="15" customHeight="1" x14ac:dyDescent="0.25">
      <c r="A402" s="295" t="s">
        <v>595</v>
      </c>
      <c r="B402" s="295">
        <v>2</v>
      </c>
      <c r="C402" s="295">
        <v>2</v>
      </c>
      <c r="D402" s="295" t="s">
        <v>579</v>
      </c>
      <c r="E402" s="295" t="s">
        <v>580</v>
      </c>
      <c r="F402" s="295">
        <v>448</v>
      </c>
      <c r="G402" s="295" t="s">
        <v>25</v>
      </c>
      <c r="H402" s="295">
        <v>1</v>
      </c>
      <c r="I402" s="296">
        <v>33603</v>
      </c>
      <c r="J402" s="295">
        <v>1</v>
      </c>
      <c r="K402" s="295">
        <v>19</v>
      </c>
      <c r="L402" s="295">
        <v>1</v>
      </c>
      <c r="M402" s="295">
        <v>1</v>
      </c>
      <c r="N402" s="295" t="s">
        <v>581</v>
      </c>
      <c r="O402" s="297">
        <v>13</v>
      </c>
      <c r="P402" s="298">
        <v>562.65</v>
      </c>
      <c r="Q402" s="298">
        <v>-562.65</v>
      </c>
      <c r="R402" s="298">
        <f t="shared" si="25"/>
        <v>0</v>
      </c>
      <c r="S402" s="298">
        <v>0</v>
      </c>
      <c r="T402" s="298">
        <v>0</v>
      </c>
      <c r="U402" s="298">
        <v>0</v>
      </c>
      <c r="V402" s="298">
        <v>0</v>
      </c>
    </row>
    <row r="403" spans="1:22" s="299" customFormat="1" ht="15" customHeight="1" x14ac:dyDescent="0.25">
      <c r="A403" s="295" t="s">
        <v>595</v>
      </c>
      <c r="B403" s="295">
        <v>2</v>
      </c>
      <c r="C403" s="295">
        <v>2</v>
      </c>
      <c r="D403" s="295" t="s">
        <v>579</v>
      </c>
      <c r="E403" s="295" t="s">
        <v>580</v>
      </c>
      <c r="F403" s="295">
        <v>448</v>
      </c>
      <c r="G403" s="295" t="s">
        <v>25</v>
      </c>
      <c r="H403" s="295">
        <v>1</v>
      </c>
      <c r="I403" s="296">
        <v>34401</v>
      </c>
      <c r="J403" s="295">
        <v>1</v>
      </c>
      <c r="K403" s="295">
        <v>19</v>
      </c>
      <c r="L403" s="295">
        <v>1</v>
      </c>
      <c r="M403" s="295">
        <v>1</v>
      </c>
      <c r="N403" s="295" t="s">
        <v>581</v>
      </c>
      <c r="O403" s="295">
        <v>13</v>
      </c>
      <c r="P403" s="298">
        <v>21771.25</v>
      </c>
      <c r="Q403" s="298">
        <v>0</v>
      </c>
      <c r="R403" s="298">
        <f t="shared" si="25"/>
        <v>21771.25</v>
      </c>
      <c r="S403" s="298">
        <v>31522.19573333333</v>
      </c>
      <c r="T403" s="298">
        <v>31522.19573333333</v>
      </c>
      <c r="U403" s="298">
        <v>31522.19573333333</v>
      </c>
      <c r="V403" s="298">
        <v>31522.19573333333</v>
      </c>
    </row>
    <row r="404" spans="1:22" s="299" customFormat="1" ht="15" customHeight="1" x14ac:dyDescent="0.25">
      <c r="A404" s="295" t="s">
        <v>595</v>
      </c>
      <c r="B404" s="295">
        <v>2</v>
      </c>
      <c r="C404" s="295">
        <v>2</v>
      </c>
      <c r="D404" s="295" t="s">
        <v>579</v>
      </c>
      <c r="E404" s="295" t="s">
        <v>580</v>
      </c>
      <c r="F404" s="295">
        <v>448</v>
      </c>
      <c r="G404" s="295" t="s">
        <v>25</v>
      </c>
      <c r="H404" s="295">
        <v>1</v>
      </c>
      <c r="I404" s="296">
        <v>35101</v>
      </c>
      <c r="J404" s="295">
        <v>1</v>
      </c>
      <c r="K404" s="295">
        <v>19</v>
      </c>
      <c r="L404" s="295">
        <v>1</v>
      </c>
      <c r="M404" s="295">
        <v>1</v>
      </c>
      <c r="N404" s="295" t="s">
        <v>581</v>
      </c>
      <c r="O404" s="297">
        <v>13</v>
      </c>
      <c r="P404" s="298"/>
      <c r="Q404" s="298">
        <v>36.67</v>
      </c>
      <c r="R404" s="298">
        <f>P404+Q404</f>
        <v>36.67</v>
      </c>
      <c r="S404" s="298">
        <v>36.6676</v>
      </c>
      <c r="T404" s="298">
        <v>36.6676</v>
      </c>
      <c r="U404" s="298">
        <v>36.6676</v>
      </c>
      <c r="V404" s="298">
        <v>36.67</v>
      </c>
    </row>
    <row r="405" spans="1:22" s="299" customFormat="1" ht="15" customHeight="1" x14ac:dyDescent="0.25">
      <c r="A405" s="295" t="s">
        <v>595</v>
      </c>
      <c r="B405" s="295">
        <v>2</v>
      </c>
      <c r="C405" s="295">
        <v>2</v>
      </c>
      <c r="D405" s="295" t="s">
        <v>579</v>
      </c>
      <c r="E405" s="295" t="s">
        <v>580</v>
      </c>
      <c r="F405" s="295">
        <v>448</v>
      </c>
      <c r="G405" s="295" t="s">
        <v>25</v>
      </c>
      <c r="H405" s="295">
        <v>1</v>
      </c>
      <c r="I405" s="296">
        <v>35302</v>
      </c>
      <c r="J405" s="295">
        <v>1</v>
      </c>
      <c r="K405" s="295">
        <v>19</v>
      </c>
      <c r="L405" s="295">
        <v>1</v>
      </c>
      <c r="M405" s="295">
        <v>1</v>
      </c>
      <c r="N405" s="295" t="s">
        <v>581</v>
      </c>
      <c r="O405" s="297">
        <v>13</v>
      </c>
      <c r="P405" s="298">
        <v>2439.35</v>
      </c>
      <c r="Q405" s="298">
        <v>-2320</v>
      </c>
      <c r="R405" s="298">
        <f t="shared" si="25"/>
        <v>119.34999999999991</v>
      </c>
      <c r="S405" s="298">
        <v>0</v>
      </c>
      <c r="T405" s="298">
        <v>0</v>
      </c>
      <c r="U405" s="298">
        <v>0</v>
      </c>
      <c r="V405" s="298">
        <v>0</v>
      </c>
    </row>
    <row r="406" spans="1:22" s="299" customFormat="1" ht="15" customHeight="1" x14ac:dyDescent="0.25">
      <c r="A406" s="295" t="s">
        <v>595</v>
      </c>
      <c r="B406" s="295">
        <v>2</v>
      </c>
      <c r="C406" s="295">
        <v>2</v>
      </c>
      <c r="D406" s="295" t="s">
        <v>579</v>
      </c>
      <c r="E406" s="295" t="s">
        <v>580</v>
      </c>
      <c r="F406" s="295">
        <v>448</v>
      </c>
      <c r="G406" s="295" t="s">
        <v>25</v>
      </c>
      <c r="H406" s="295">
        <v>1</v>
      </c>
      <c r="I406" s="296">
        <v>35501</v>
      </c>
      <c r="J406" s="295">
        <v>1</v>
      </c>
      <c r="K406" s="295">
        <v>19</v>
      </c>
      <c r="L406" s="295">
        <v>1</v>
      </c>
      <c r="M406" s="295">
        <v>1</v>
      </c>
      <c r="N406" s="295" t="s">
        <v>581</v>
      </c>
      <c r="O406" s="295">
        <v>13</v>
      </c>
      <c r="P406" s="298">
        <v>1927.45</v>
      </c>
      <c r="Q406" s="298">
        <f>9000+596.68</f>
        <v>9596.68</v>
      </c>
      <c r="R406" s="298">
        <f>P406+Q406</f>
        <v>11524.130000000001</v>
      </c>
      <c r="S406" s="298">
        <v>25243.5756</v>
      </c>
      <c r="T406" s="298">
        <v>25243.5756</v>
      </c>
      <c r="U406" s="298">
        <v>25243.5756</v>
      </c>
      <c r="V406" s="298">
        <v>24487.590934327698</v>
      </c>
    </row>
    <row r="407" spans="1:22" s="299" customFormat="1" ht="15" customHeight="1" x14ac:dyDescent="0.25">
      <c r="A407" s="295" t="s">
        <v>595</v>
      </c>
      <c r="B407" s="295">
        <v>2</v>
      </c>
      <c r="C407" s="295">
        <v>2</v>
      </c>
      <c r="D407" s="295" t="s">
        <v>579</v>
      </c>
      <c r="E407" s="295" t="s">
        <v>580</v>
      </c>
      <c r="F407" s="295">
        <v>448</v>
      </c>
      <c r="G407" s="295" t="s">
        <v>25</v>
      </c>
      <c r="H407" s="295">
        <v>1</v>
      </c>
      <c r="I407" s="296">
        <v>35701</v>
      </c>
      <c r="J407" s="295">
        <v>1</v>
      </c>
      <c r="K407" s="295">
        <v>19</v>
      </c>
      <c r="L407" s="295">
        <v>1</v>
      </c>
      <c r="M407" s="295">
        <v>1</v>
      </c>
      <c r="N407" s="295" t="s">
        <v>581</v>
      </c>
      <c r="O407" s="297">
        <v>13</v>
      </c>
      <c r="P407" s="298">
        <v>251.44</v>
      </c>
      <c r="Q407" s="298">
        <v>0</v>
      </c>
      <c r="R407" s="298">
        <f t="shared" si="25"/>
        <v>251.44</v>
      </c>
      <c r="S407" s="298">
        <v>14117.199999999999</v>
      </c>
      <c r="T407" s="298">
        <v>14117.199999999999</v>
      </c>
      <c r="U407" s="298">
        <v>14117.199999999999</v>
      </c>
      <c r="V407" s="298">
        <v>2956.0411264683717</v>
      </c>
    </row>
    <row r="408" spans="1:22" s="299" customFormat="1" ht="15" customHeight="1" x14ac:dyDescent="0.25">
      <c r="A408" s="295" t="s">
        <v>595</v>
      </c>
      <c r="B408" s="295">
        <v>2</v>
      </c>
      <c r="C408" s="295">
        <v>2</v>
      </c>
      <c r="D408" s="295" t="s">
        <v>579</v>
      </c>
      <c r="E408" s="295" t="s">
        <v>580</v>
      </c>
      <c r="F408" s="295">
        <v>448</v>
      </c>
      <c r="G408" s="295" t="s">
        <v>25</v>
      </c>
      <c r="H408" s="295">
        <v>1</v>
      </c>
      <c r="I408" s="296">
        <v>37101</v>
      </c>
      <c r="J408" s="295">
        <v>1</v>
      </c>
      <c r="K408" s="295">
        <v>19</v>
      </c>
      <c r="L408" s="295">
        <v>1</v>
      </c>
      <c r="M408" s="295">
        <v>1</v>
      </c>
      <c r="N408" s="295" t="s">
        <v>581</v>
      </c>
      <c r="O408" s="295">
        <v>13</v>
      </c>
      <c r="P408" s="298">
        <v>16666.689999999999</v>
      </c>
      <c r="Q408" s="298">
        <v>-54.14</v>
      </c>
      <c r="R408" s="298">
        <f>P408+Q408</f>
        <v>16612.55</v>
      </c>
      <c r="S408" s="298">
        <v>11054.814327386019</v>
      </c>
      <c r="T408" s="298">
        <v>11054.814327386019</v>
      </c>
      <c r="U408" s="298">
        <v>11054.814327386019</v>
      </c>
      <c r="V408" s="298">
        <v>7985.9791364256171</v>
      </c>
    </row>
    <row r="409" spans="1:22" s="299" customFormat="1" ht="15" customHeight="1" x14ac:dyDescent="0.25">
      <c r="A409" s="295" t="s">
        <v>595</v>
      </c>
      <c r="B409" s="295">
        <v>2</v>
      </c>
      <c r="C409" s="295">
        <v>2</v>
      </c>
      <c r="D409" s="295" t="s">
        <v>579</v>
      </c>
      <c r="E409" s="295" t="s">
        <v>580</v>
      </c>
      <c r="F409" s="295">
        <v>448</v>
      </c>
      <c r="G409" s="295" t="s">
        <v>25</v>
      </c>
      <c r="H409" s="295">
        <v>1</v>
      </c>
      <c r="I409" s="296">
        <v>37201</v>
      </c>
      <c r="J409" s="295">
        <v>1</v>
      </c>
      <c r="K409" s="295">
        <v>19</v>
      </c>
      <c r="L409" s="295">
        <v>1</v>
      </c>
      <c r="M409" s="295">
        <v>1</v>
      </c>
      <c r="N409" s="295" t="s">
        <v>581</v>
      </c>
      <c r="O409" s="297">
        <v>13</v>
      </c>
      <c r="P409" s="298">
        <v>932.85</v>
      </c>
      <c r="Q409" s="298">
        <v>-197.42</v>
      </c>
      <c r="R409" s="298">
        <f t="shared" si="25"/>
        <v>735.43000000000006</v>
      </c>
      <c r="S409" s="298">
        <v>735.47866666666653</v>
      </c>
      <c r="T409" s="298">
        <v>735.47866666666653</v>
      </c>
      <c r="U409" s="298">
        <v>735.47866666666653</v>
      </c>
      <c r="V409" s="298">
        <v>735.47866666666653</v>
      </c>
    </row>
    <row r="410" spans="1:22" s="299" customFormat="1" ht="15" customHeight="1" x14ac:dyDescent="0.25">
      <c r="A410" s="295" t="s">
        <v>595</v>
      </c>
      <c r="B410" s="295">
        <v>2</v>
      </c>
      <c r="C410" s="295">
        <v>2</v>
      </c>
      <c r="D410" s="295" t="s">
        <v>579</v>
      </c>
      <c r="E410" s="295" t="s">
        <v>580</v>
      </c>
      <c r="F410" s="295">
        <v>448</v>
      </c>
      <c r="G410" s="295" t="s">
        <v>25</v>
      </c>
      <c r="H410" s="295">
        <v>1</v>
      </c>
      <c r="I410" s="296">
        <v>37501</v>
      </c>
      <c r="J410" s="295">
        <v>1</v>
      </c>
      <c r="K410" s="295">
        <v>19</v>
      </c>
      <c r="L410" s="295">
        <v>1</v>
      </c>
      <c r="M410" s="295">
        <v>1</v>
      </c>
      <c r="N410" s="295" t="s">
        <v>581</v>
      </c>
      <c r="O410" s="295">
        <v>13</v>
      </c>
      <c r="P410" s="298">
        <v>53576.92</v>
      </c>
      <c r="Q410" s="298">
        <v>53576.92</v>
      </c>
      <c r="R410" s="298">
        <f>P410+Q410</f>
        <v>107153.84</v>
      </c>
      <c r="S410" s="298">
        <v>107113.40802850523</v>
      </c>
      <c r="T410" s="298">
        <v>107113.40802850523</v>
      </c>
      <c r="U410" s="298">
        <v>107113.40802850523</v>
      </c>
      <c r="V410" s="298">
        <v>107113.40802850523</v>
      </c>
    </row>
    <row r="411" spans="1:22" s="299" customFormat="1" ht="15" customHeight="1" x14ac:dyDescent="0.25">
      <c r="A411" s="295" t="s">
        <v>595</v>
      </c>
      <c r="B411" s="295">
        <v>2</v>
      </c>
      <c r="C411" s="295">
        <v>2</v>
      </c>
      <c r="D411" s="295" t="s">
        <v>579</v>
      </c>
      <c r="E411" s="295" t="s">
        <v>580</v>
      </c>
      <c r="F411" s="295">
        <v>448</v>
      </c>
      <c r="G411" s="295" t="s">
        <v>25</v>
      </c>
      <c r="H411" s="295">
        <v>1</v>
      </c>
      <c r="I411" s="296">
        <v>37502</v>
      </c>
      <c r="J411" s="295">
        <v>1</v>
      </c>
      <c r="K411" s="295">
        <v>19</v>
      </c>
      <c r="L411" s="295">
        <v>1</v>
      </c>
      <c r="M411" s="295">
        <v>1</v>
      </c>
      <c r="N411" s="295" t="s">
        <v>581</v>
      </c>
      <c r="O411" s="297">
        <v>13</v>
      </c>
      <c r="P411" s="298">
        <v>34827.800000000003</v>
      </c>
      <c r="Q411" s="298">
        <v>5938.87</v>
      </c>
      <c r="R411" s="298">
        <f t="shared" si="25"/>
        <v>40766.670000000006</v>
      </c>
      <c r="S411" s="298">
        <v>40766.666666666664</v>
      </c>
      <c r="T411" s="298">
        <v>40766.666666666664</v>
      </c>
      <c r="U411" s="298">
        <v>40766.666666666664</v>
      </c>
      <c r="V411" s="298">
        <v>40766.666666666664</v>
      </c>
    </row>
    <row r="412" spans="1:22" s="299" customFormat="1" ht="15" customHeight="1" x14ac:dyDescent="0.25">
      <c r="A412" s="295" t="s">
        <v>595</v>
      </c>
      <c r="B412" s="295">
        <v>2</v>
      </c>
      <c r="C412" s="295">
        <v>2</v>
      </c>
      <c r="D412" s="295" t="s">
        <v>579</v>
      </c>
      <c r="E412" s="295" t="s">
        <v>580</v>
      </c>
      <c r="F412" s="295">
        <v>448</v>
      </c>
      <c r="G412" s="295" t="s">
        <v>25</v>
      </c>
      <c r="H412" s="295">
        <v>1</v>
      </c>
      <c r="I412" s="296">
        <v>37601</v>
      </c>
      <c r="J412" s="295">
        <v>1</v>
      </c>
      <c r="K412" s="295">
        <v>19</v>
      </c>
      <c r="L412" s="295">
        <v>1</v>
      </c>
      <c r="M412" s="295">
        <v>1</v>
      </c>
      <c r="N412" s="295" t="s">
        <v>581</v>
      </c>
      <c r="O412" s="297">
        <v>13</v>
      </c>
      <c r="P412" s="298">
        <v>2539.44</v>
      </c>
      <c r="Q412" s="298">
        <v>0</v>
      </c>
      <c r="R412" s="298">
        <f t="shared" si="25"/>
        <v>2539.44</v>
      </c>
      <c r="S412" s="298">
        <v>0</v>
      </c>
      <c r="T412" s="298">
        <v>0</v>
      </c>
      <c r="U412" s="298">
        <v>0</v>
      </c>
      <c r="V412" s="298">
        <v>0</v>
      </c>
    </row>
    <row r="413" spans="1:22" s="299" customFormat="1" ht="15" customHeight="1" x14ac:dyDescent="0.25">
      <c r="A413" s="295" t="s">
        <v>595</v>
      </c>
      <c r="B413" s="295">
        <v>2</v>
      </c>
      <c r="C413" s="295">
        <v>2</v>
      </c>
      <c r="D413" s="295" t="s">
        <v>579</v>
      </c>
      <c r="E413" s="295" t="s">
        <v>580</v>
      </c>
      <c r="F413" s="295">
        <v>448</v>
      </c>
      <c r="G413" s="295" t="s">
        <v>25</v>
      </c>
      <c r="H413" s="295">
        <v>1</v>
      </c>
      <c r="I413" s="296">
        <v>39201</v>
      </c>
      <c r="J413" s="295">
        <v>1</v>
      </c>
      <c r="K413" s="295">
        <v>19</v>
      </c>
      <c r="L413" s="295">
        <v>1</v>
      </c>
      <c r="M413" s="295">
        <v>1</v>
      </c>
      <c r="N413" s="295" t="s">
        <v>581</v>
      </c>
      <c r="O413" s="297">
        <v>13</v>
      </c>
      <c r="P413" s="298">
        <v>0</v>
      </c>
      <c r="Q413" s="298">
        <f>871.33+0.07</f>
        <v>871.40000000000009</v>
      </c>
      <c r="R413" s="298">
        <f>P413+Q413</f>
        <v>871.40000000000009</v>
      </c>
      <c r="S413" s="298">
        <v>871.33333333333337</v>
      </c>
      <c r="T413" s="298">
        <v>871.33333333333337</v>
      </c>
      <c r="U413" s="298">
        <v>871.33333333333337</v>
      </c>
      <c r="V413" s="298">
        <v>744.35735056909186</v>
      </c>
    </row>
    <row r="414" spans="1:22" s="299" customFormat="1" ht="15" customHeight="1" x14ac:dyDescent="0.25">
      <c r="A414" s="295" t="s">
        <v>595</v>
      </c>
      <c r="B414" s="295">
        <v>2</v>
      </c>
      <c r="C414" s="295">
        <v>2</v>
      </c>
      <c r="D414" s="295" t="s">
        <v>579</v>
      </c>
      <c r="E414" s="295" t="s">
        <v>580</v>
      </c>
      <c r="F414" s="295">
        <v>448</v>
      </c>
      <c r="G414" s="295" t="s">
        <v>25</v>
      </c>
      <c r="H414" s="295">
        <v>1</v>
      </c>
      <c r="I414" s="296">
        <v>39601</v>
      </c>
      <c r="J414" s="295">
        <v>1</v>
      </c>
      <c r="K414" s="295">
        <v>19</v>
      </c>
      <c r="L414" s="295">
        <v>1</v>
      </c>
      <c r="M414" s="295">
        <v>1</v>
      </c>
      <c r="N414" s="295" t="s">
        <v>581</v>
      </c>
      <c r="O414" s="297">
        <v>13</v>
      </c>
      <c r="P414" s="298"/>
      <c r="Q414" s="298"/>
      <c r="R414" s="298"/>
      <c r="S414" s="298">
        <v>385.89333333333337</v>
      </c>
      <c r="T414" s="298">
        <v>385.89333333333337</v>
      </c>
      <c r="U414" s="298">
        <v>385.89333333333337</v>
      </c>
      <c r="V414" s="298">
        <v>385.89333333333337</v>
      </c>
    </row>
    <row r="415" spans="1:22" s="299" customFormat="1" ht="15" customHeight="1" x14ac:dyDescent="0.25">
      <c r="A415" s="295" t="s">
        <v>595</v>
      </c>
      <c r="B415" s="295">
        <v>2</v>
      </c>
      <c r="C415" s="295">
        <v>2</v>
      </c>
      <c r="D415" s="295" t="s">
        <v>579</v>
      </c>
      <c r="E415" s="295" t="s">
        <v>580</v>
      </c>
      <c r="F415" s="295">
        <v>448</v>
      </c>
      <c r="G415" s="295" t="s">
        <v>25</v>
      </c>
      <c r="H415" s="295">
        <v>1</v>
      </c>
      <c r="I415" s="296">
        <v>37901</v>
      </c>
      <c r="J415" s="295">
        <v>1</v>
      </c>
      <c r="K415" s="295">
        <v>19</v>
      </c>
      <c r="L415" s="295">
        <v>1</v>
      </c>
      <c r="M415" s="295">
        <v>1</v>
      </c>
      <c r="N415" s="295" t="s">
        <v>581</v>
      </c>
      <c r="O415" s="297">
        <v>13</v>
      </c>
      <c r="P415" s="298">
        <v>2108.35</v>
      </c>
      <c r="Q415" s="298">
        <v>0</v>
      </c>
      <c r="R415" s="298">
        <f t="shared" si="25"/>
        <v>2108.35</v>
      </c>
      <c r="S415" s="298">
        <v>476.3221333333334</v>
      </c>
      <c r="T415" s="298">
        <v>552.99040000000002</v>
      </c>
      <c r="U415" s="298">
        <v>552.99040000000002</v>
      </c>
      <c r="V415" s="298">
        <v>552.99040000000002</v>
      </c>
    </row>
    <row r="416" spans="1:22" s="299" customFormat="1" ht="15" customHeight="1" x14ac:dyDescent="0.25">
      <c r="A416" s="295" t="s">
        <v>595</v>
      </c>
      <c r="B416" s="295">
        <v>2</v>
      </c>
      <c r="C416" s="295">
        <v>2</v>
      </c>
      <c r="D416" s="295" t="s">
        <v>579</v>
      </c>
      <c r="E416" s="295" t="s">
        <v>580</v>
      </c>
      <c r="F416" s="295">
        <v>125</v>
      </c>
      <c r="G416" s="295" t="s">
        <v>25</v>
      </c>
      <c r="H416" s="295">
        <v>1</v>
      </c>
      <c r="I416" s="296">
        <v>61406</v>
      </c>
      <c r="J416" s="295">
        <v>2</v>
      </c>
      <c r="K416" s="295">
        <v>19</v>
      </c>
      <c r="L416" s="295">
        <v>1</v>
      </c>
      <c r="M416" s="295">
        <v>1</v>
      </c>
      <c r="N416" s="295" t="s">
        <v>581</v>
      </c>
      <c r="O416" s="297">
        <v>13</v>
      </c>
      <c r="P416" s="298">
        <v>433850.72000000067</v>
      </c>
      <c r="Q416" s="298">
        <v>1165942.7199999993</v>
      </c>
      <c r="R416" s="298">
        <f>P416+Q416</f>
        <v>1599793.44</v>
      </c>
      <c r="S416" s="298">
        <v>1599793.44</v>
      </c>
      <c r="T416" s="298">
        <v>1599793.44</v>
      </c>
      <c r="U416" s="298">
        <v>1599793.44</v>
      </c>
      <c r="V416" s="298">
        <v>461508.91</v>
      </c>
    </row>
    <row r="417" spans="1:27" s="299" customFormat="1" ht="15" customHeight="1" x14ac:dyDescent="0.25">
      <c r="A417" s="295" t="s">
        <v>595</v>
      </c>
      <c r="B417" s="295">
        <v>2</v>
      </c>
      <c r="C417" s="295">
        <v>2</v>
      </c>
      <c r="D417" s="295" t="s">
        <v>579</v>
      </c>
      <c r="E417" s="295" t="s">
        <v>580</v>
      </c>
      <c r="F417" s="295">
        <v>448</v>
      </c>
      <c r="G417" s="295" t="s">
        <v>25</v>
      </c>
      <c r="H417" s="295">
        <v>1</v>
      </c>
      <c r="I417" s="296">
        <v>61409</v>
      </c>
      <c r="J417" s="295">
        <v>2</v>
      </c>
      <c r="K417" s="295">
        <v>19</v>
      </c>
      <c r="L417" s="295">
        <v>1</v>
      </c>
      <c r="M417" s="295">
        <v>1</v>
      </c>
      <c r="N417" s="295" t="s">
        <v>581</v>
      </c>
      <c r="O417" s="297">
        <v>13</v>
      </c>
      <c r="P417" s="298"/>
      <c r="Q417" s="298">
        <v>1350906.07</v>
      </c>
      <c r="R417" s="298">
        <f>P417+Q417</f>
        <v>1350906.07</v>
      </c>
      <c r="S417" s="298">
        <v>1154441.58</v>
      </c>
      <c r="T417" s="298">
        <v>1154441.58</v>
      </c>
      <c r="U417" s="298">
        <v>1154441.58</v>
      </c>
      <c r="V417" s="298">
        <v>1154441.58</v>
      </c>
    </row>
    <row r="418" spans="1:27" s="299" customFormat="1" ht="15" customHeight="1" x14ac:dyDescent="0.25">
      <c r="A418" s="295" t="s">
        <v>595</v>
      </c>
      <c r="B418" s="295">
        <v>2</v>
      </c>
      <c r="C418" s="295">
        <v>2</v>
      </c>
      <c r="D418" s="295" t="s">
        <v>579</v>
      </c>
      <c r="E418" s="295" t="s">
        <v>580</v>
      </c>
      <c r="F418" s="295">
        <v>448</v>
      </c>
      <c r="G418" s="295" t="s">
        <v>25</v>
      </c>
      <c r="H418" s="295">
        <v>1</v>
      </c>
      <c r="I418" s="296">
        <v>61424</v>
      </c>
      <c r="J418" s="295">
        <v>2</v>
      </c>
      <c r="K418" s="295">
        <v>19</v>
      </c>
      <c r="L418" s="295">
        <v>1</v>
      </c>
      <c r="M418" s="295">
        <v>1</v>
      </c>
      <c r="N418" s="295" t="s">
        <v>581</v>
      </c>
      <c r="O418" s="297">
        <v>13</v>
      </c>
      <c r="P418" s="298"/>
      <c r="Q418" s="298">
        <v>53598.32</v>
      </c>
      <c r="R418" s="298">
        <f>P418+Q418</f>
        <v>53598.32</v>
      </c>
      <c r="S418" s="298">
        <v>53598.32</v>
      </c>
      <c r="T418" s="298">
        <v>46673.2</v>
      </c>
      <c r="U418" s="298">
        <v>46673.2</v>
      </c>
      <c r="V418" s="298">
        <v>46673.2</v>
      </c>
    </row>
    <row r="419" spans="1:27" s="299" customFormat="1" ht="15" customHeight="1" x14ac:dyDescent="0.25">
      <c r="A419" s="295" t="s">
        <v>596</v>
      </c>
      <c r="B419" s="295">
        <v>2</v>
      </c>
      <c r="C419" s="295">
        <v>2</v>
      </c>
      <c r="D419" s="295" t="s">
        <v>579</v>
      </c>
      <c r="E419" s="295" t="s">
        <v>580</v>
      </c>
      <c r="F419" s="295">
        <v>412</v>
      </c>
      <c r="G419" s="295" t="s">
        <v>25</v>
      </c>
      <c r="H419" s="295">
        <v>1</v>
      </c>
      <c r="I419" s="296">
        <v>11301</v>
      </c>
      <c r="J419" s="295">
        <v>1</v>
      </c>
      <c r="K419" s="295">
        <v>19</v>
      </c>
      <c r="L419" s="295">
        <v>1</v>
      </c>
      <c r="M419" s="295">
        <v>1</v>
      </c>
      <c r="N419" s="295" t="s">
        <v>581</v>
      </c>
      <c r="O419" s="295">
        <v>13</v>
      </c>
      <c r="P419" s="298">
        <v>573082</v>
      </c>
      <c r="Q419" s="298">
        <v>0</v>
      </c>
      <c r="R419" s="298">
        <f t="shared" si="25"/>
        <v>573082</v>
      </c>
      <c r="S419" s="298">
        <f>626892.04401496-53810.04</f>
        <v>573082.00401495991</v>
      </c>
      <c r="T419" s="298">
        <v>624502.27</v>
      </c>
      <c r="U419" s="298">
        <v>624502.27</v>
      </c>
      <c r="V419" s="298">
        <v>624502.27</v>
      </c>
    </row>
    <row r="420" spans="1:27" s="299" customFormat="1" ht="15" customHeight="1" x14ac:dyDescent="0.25">
      <c r="A420" s="295" t="s">
        <v>596</v>
      </c>
      <c r="B420" s="295">
        <v>2</v>
      </c>
      <c r="C420" s="295">
        <v>2</v>
      </c>
      <c r="D420" s="295" t="s">
        <v>579</v>
      </c>
      <c r="E420" s="295" t="s">
        <v>580</v>
      </c>
      <c r="F420" s="295">
        <v>412</v>
      </c>
      <c r="G420" s="295" t="s">
        <v>25</v>
      </c>
      <c r="H420" s="295">
        <v>1</v>
      </c>
      <c r="I420" s="296">
        <v>11304</v>
      </c>
      <c r="J420" s="295">
        <v>1</v>
      </c>
      <c r="K420" s="295">
        <v>19</v>
      </c>
      <c r="L420" s="295">
        <v>1</v>
      </c>
      <c r="M420" s="295">
        <v>1</v>
      </c>
      <c r="N420" s="295" t="s">
        <v>581</v>
      </c>
      <c r="O420" s="297">
        <v>13</v>
      </c>
      <c r="P420" s="298">
        <v>532163</v>
      </c>
      <c r="Q420" s="298">
        <v>-532163</v>
      </c>
      <c r="R420" s="298">
        <f t="shared" si="25"/>
        <v>0</v>
      </c>
      <c r="S420" s="298">
        <v>0</v>
      </c>
      <c r="T420" s="298">
        <v>0</v>
      </c>
      <c r="U420" s="298">
        <v>0</v>
      </c>
      <c r="V420" s="298">
        <v>0</v>
      </c>
    </row>
    <row r="421" spans="1:27" s="299" customFormat="1" ht="15" customHeight="1" x14ac:dyDescent="0.25">
      <c r="A421" s="295" t="s">
        <v>596</v>
      </c>
      <c r="B421" s="295">
        <v>2</v>
      </c>
      <c r="C421" s="295">
        <v>2</v>
      </c>
      <c r="D421" s="295" t="s">
        <v>579</v>
      </c>
      <c r="E421" s="295" t="s">
        <v>580</v>
      </c>
      <c r="F421" s="295">
        <v>412</v>
      </c>
      <c r="G421" s="295" t="s">
        <v>25</v>
      </c>
      <c r="H421" s="295">
        <v>1</v>
      </c>
      <c r="I421" s="296">
        <v>11306</v>
      </c>
      <c r="J421" s="295">
        <v>1</v>
      </c>
      <c r="K421" s="295">
        <v>19</v>
      </c>
      <c r="L421" s="295">
        <v>1</v>
      </c>
      <c r="M421" s="295">
        <v>1</v>
      </c>
      <c r="N421" s="295" t="s">
        <v>581</v>
      </c>
      <c r="O421" s="295">
        <v>13</v>
      </c>
      <c r="P421" s="298">
        <v>154582</v>
      </c>
      <c r="Q421" s="298">
        <f>424224.779740764-3414</f>
        <v>420810.779740764</v>
      </c>
      <c r="R421" s="298">
        <f t="shared" si="25"/>
        <v>575392.77974076406</v>
      </c>
      <c r="S421" s="300">
        <v>575391.92131637945</v>
      </c>
      <c r="T421" s="298">
        <v>628308.9991645884</v>
      </c>
      <c r="U421" s="298">
        <v>565260.10487906064</v>
      </c>
      <c r="V421" s="298">
        <v>565260.10487906064</v>
      </c>
      <c r="Y421" s="301"/>
      <c r="AA421" s="301"/>
    </row>
    <row r="422" spans="1:27" s="299" customFormat="1" ht="15" customHeight="1" x14ac:dyDescent="0.25">
      <c r="A422" s="295" t="s">
        <v>596</v>
      </c>
      <c r="B422" s="295">
        <v>2</v>
      </c>
      <c r="C422" s="295">
        <v>2</v>
      </c>
      <c r="D422" s="295" t="s">
        <v>579</v>
      </c>
      <c r="E422" s="295" t="s">
        <v>580</v>
      </c>
      <c r="F422" s="295">
        <v>412</v>
      </c>
      <c r="G422" s="295" t="s">
        <v>25</v>
      </c>
      <c r="H422" s="295">
        <v>1</v>
      </c>
      <c r="I422" s="296">
        <v>11307</v>
      </c>
      <c r="J422" s="295">
        <v>1</v>
      </c>
      <c r="K422" s="295">
        <v>19</v>
      </c>
      <c r="L422" s="295">
        <v>1</v>
      </c>
      <c r="M422" s="295">
        <v>1</v>
      </c>
      <c r="N422" s="295" t="s">
        <v>581</v>
      </c>
      <c r="O422" s="297">
        <v>13</v>
      </c>
      <c r="P422" s="298">
        <v>112428</v>
      </c>
      <c r="Q422" s="298">
        <v>42154.46</v>
      </c>
      <c r="R422" s="298">
        <f t="shared" si="25"/>
        <v>154582.46</v>
      </c>
      <c r="S422" s="300">
        <f>111450.109099482+43132.35</f>
        <v>154582.45909948199</v>
      </c>
      <c r="T422" s="298">
        <v>85756.555835977808</v>
      </c>
      <c r="U422" s="298">
        <v>85756.555835977808</v>
      </c>
      <c r="V422" s="298">
        <v>85756.555835977808</v>
      </c>
    </row>
    <row r="423" spans="1:27" s="299" customFormat="1" ht="15" customHeight="1" x14ac:dyDescent="0.25">
      <c r="A423" s="295" t="s">
        <v>596</v>
      </c>
      <c r="B423" s="295">
        <v>2</v>
      </c>
      <c r="C423" s="295">
        <v>2</v>
      </c>
      <c r="D423" s="295" t="s">
        <v>579</v>
      </c>
      <c r="E423" s="295" t="s">
        <v>580</v>
      </c>
      <c r="F423" s="295">
        <v>412</v>
      </c>
      <c r="G423" s="295" t="s">
        <v>25</v>
      </c>
      <c r="H423" s="295">
        <v>1</v>
      </c>
      <c r="I423" s="296">
        <v>11310</v>
      </c>
      <c r="J423" s="295">
        <v>1</v>
      </c>
      <c r="K423" s="295">
        <v>19</v>
      </c>
      <c r="L423" s="295">
        <v>1</v>
      </c>
      <c r="M423" s="295">
        <v>1</v>
      </c>
      <c r="N423" s="295" t="s">
        <v>581</v>
      </c>
      <c r="O423" s="295">
        <v>13</v>
      </c>
      <c r="P423" s="298">
        <v>0</v>
      </c>
      <c r="Q423" s="298">
        <v>112428.22</v>
      </c>
      <c r="R423" s="298">
        <f t="shared" si="25"/>
        <v>112428.22</v>
      </c>
      <c r="S423" s="298">
        <f>97775.8128348183+14652.41</f>
        <v>112428.2228348183</v>
      </c>
      <c r="T423" s="298">
        <v>75391.950000000012</v>
      </c>
      <c r="U423" s="298">
        <v>75391.950000000012</v>
      </c>
      <c r="V423" s="298">
        <v>75391.950000000012</v>
      </c>
    </row>
    <row r="424" spans="1:27" s="299" customFormat="1" ht="15" customHeight="1" x14ac:dyDescent="0.25">
      <c r="A424" s="295" t="s">
        <v>596</v>
      </c>
      <c r="B424" s="295">
        <v>2</v>
      </c>
      <c r="C424" s="295">
        <v>2</v>
      </c>
      <c r="D424" s="295" t="s">
        <v>579</v>
      </c>
      <c r="E424" s="295" t="s">
        <v>580</v>
      </c>
      <c r="F424" s="295">
        <v>412</v>
      </c>
      <c r="G424" s="295" t="s">
        <v>25</v>
      </c>
      <c r="H424" s="295">
        <v>1</v>
      </c>
      <c r="I424" s="296">
        <v>12101</v>
      </c>
      <c r="J424" s="295">
        <v>1</v>
      </c>
      <c r="K424" s="295">
        <v>19</v>
      </c>
      <c r="L424" s="295">
        <v>1</v>
      </c>
      <c r="M424" s="295">
        <v>1</v>
      </c>
      <c r="N424" s="295" t="s">
        <v>581</v>
      </c>
      <c r="O424" s="297">
        <v>13</v>
      </c>
      <c r="P424" s="298">
        <v>61676</v>
      </c>
      <c r="Q424" s="298">
        <v>-61676</v>
      </c>
      <c r="R424" s="298">
        <f t="shared" si="25"/>
        <v>0</v>
      </c>
      <c r="S424" s="298">
        <v>0</v>
      </c>
      <c r="T424" s="298">
        <v>0</v>
      </c>
      <c r="U424" s="298">
        <v>0</v>
      </c>
      <c r="V424" s="298">
        <v>0</v>
      </c>
    </row>
    <row r="425" spans="1:27" s="299" customFormat="1" ht="15" customHeight="1" x14ac:dyDescent="0.25">
      <c r="A425" s="295" t="s">
        <v>596</v>
      </c>
      <c r="B425" s="295">
        <v>2</v>
      </c>
      <c r="C425" s="295">
        <v>2</v>
      </c>
      <c r="D425" s="295" t="s">
        <v>579</v>
      </c>
      <c r="E425" s="295" t="s">
        <v>580</v>
      </c>
      <c r="F425" s="295">
        <v>412</v>
      </c>
      <c r="G425" s="295" t="s">
        <v>25</v>
      </c>
      <c r="H425" s="295">
        <v>1</v>
      </c>
      <c r="I425" s="296">
        <v>13101</v>
      </c>
      <c r="J425" s="295">
        <v>1</v>
      </c>
      <c r="K425" s="295">
        <v>19</v>
      </c>
      <c r="L425" s="295">
        <v>1</v>
      </c>
      <c r="M425" s="295">
        <v>1</v>
      </c>
      <c r="N425" s="295" t="s">
        <v>581</v>
      </c>
      <c r="O425" s="295">
        <v>13</v>
      </c>
      <c r="P425" s="298">
        <v>9241</v>
      </c>
      <c r="Q425" s="298">
        <v>52435.438399999999</v>
      </c>
      <c r="R425" s="298">
        <f t="shared" si="25"/>
        <v>61676.438399999999</v>
      </c>
      <c r="S425" s="298">
        <f>64448.4832674064-2772.04</f>
        <v>61676.443267406401</v>
      </c>
      <c r="T425" s="298">
        <v>65347.480583457684</v>
      </c>
      <c r="U425" s="298">
        <v>65347.480583457684</v>
      </c>
      <c r="V425" s="298">
        <v>65347.480583457684</v>
      </c>
    </row>
    <row r="426" spans="1:27" s="299" customFormat="1" ht="15" customHeight="1" x14ac:dyDescent="0.25">
      <c r="A426" s="295" t="s">
        <v>596</v>
      </c>
      <c r="B426" s="295">
        <v>2</v>
      </c>
      <c r="C426" s="295">
        <v>2</v>
      </c>
      <c r="D426" s="295" t="s">
        <v>579</v>
      </c>
      <c r="E426" s="295" t="s">
        <v>580</v>
      </c>
      <c r="F426" s="295">
        <v>412</v>
      </c>
      <c r="G426" s="295" t="s">
        <v>25</v>
      </c>
      <c r="H426" s="295">
        <v>1</v>
      </c>
      <c r="I426" s="296">
        <v>13201</v>
      </c>
      <c r="J426" s="295">
        <v>1</v>
      </c>
      <c r="K426" s="295">
        <v>19</v>
      </c>
      <c r="L426" s="295">
        <v>1</v>
      </c>
      <c r="M426" s="295">
        <v>1</v>
      </c>
      <c r="N426" s="295" t="s">
        <v>581</v>
      </c>
      <c r="O426" s="297">
        <v>13</v>
      </c>
      <c r="P426" s="298">
        <v>18482</v>
      </c>
      <c r="Q426" s="298">
        <v>-9240.7999999999993</v>
      </c>
      <c r="R426" s="298">
        <f t="shared" si="25"/>
        <v>9241.2000000000007</v>
      </c>
      <c r="S426" s="298">
        <f>9524.78559339773-283.59</f>
        <v>9241.1955933977297</v>
      </c>
      <c r="T426" s="298">
        <v>9241.2000000000007</v>
      </c>
      <c r="U426" s="298">
        <v>9241.2000000000007</v>
      </c>
      <c r="V426" s="298">
        <v>9241.2000000000007</v>
      </c>
    </row>
    <row r="427" spans="1:27" s="299" customFormat="1" ht="15" customHeight="1" x14ac:dyDescent="0.25">
      <c r="A427" s="295" t="s">
        <v>596</v>
      </c>
      <c r="B427" s="295">
        <v>2</v>
      </c>
      <c r="C427" s="295">
        <v>2</v>
      </c>
      <c r="D427" s="295" t="s">
        <v>579</v>
      </c>
      <c r="E427" s="295" t="s">
        <v>580</v>
      </c>
      <c r="F427" s="295">
        <v>412</v>
      </c>
      <c r="G427" s="295" t="s">
        <v>25</v>
      </c>
      <c r="H427" s="295">
        <v>1</v>
      </c>
      <c r="I427" s="296">
        <v>13202</v>
      </c>
      <c r="J427" s="295">
        <v>1</v>
      </c>
      <c r="K427" s="295">
        <v>19</v>
      </c>
      <c r="L427" s="295">
        <v>1</v>
      </c>
      <c r="M427" s="295">
        <v>1</v>
      </c>
      <c r="N427" s="295" t="s">
        <v>581</v>
      </c>
      <c r="O427" s="295">
        <v>13</v>
      </c>
      <c r="P427" s="298">
        <v>0</v>
      </c>
      <c r="Q427" s="298">
        <v>18482.400000000001</v>
      </c>
      <c r="R427" s="298">
        <f t="shared" si="25"/>
        <v>18482.400000000001</v>
      </c>
      <c r="S427" s="298">
        <f>19049.5711867955-567.17</f>
        <v>18482.401186795501</v>
      </c>
      <c r="T427" s="298">
        <v>18482.400000000001</v>
      </c>
      <c r="U427" s="298">
        <v>18482.400000000001</v>
      </c>
      <c r="V427" s="298">
        <v>18482.400000000001</v>
      </c>
    </row>
    <row r="428" spans="1:27" s="299" customFormat="1" ht="15" customHeight="1" x14ac:dyDescent="0.25">
      <c r="A428" s="295" t="s">
        <v>596</v>
      </c>
      <c r="B428" s="295">
        <v>2</v>
      </c>
      <c r="C428" s="295">
        <v>2</v>
      </c>
      <c r="D428" s="295" t="s">
        <v>579</v>
      </c>
      <c r="E428" s="295" t="s">
        <v>580</v>
      </c>
      <c r="F428" s="295">
        <v>412</v>
      </c>
      <c r="G428" s="295" t="s">
        <v>25</v>
      </c>
      <c r="H428" s="295">
        <v>1</v>
      </c>
      <c r="I428" s="296">
        <v>14106</v>
      </c>
      <c r="J428" s="295">
        <v>1</v>
      </c>
      <c r="K428" s="295">
        <v>19</v>
      </c>
      <c r="L428" s="295">
        <v>1</v>
      </c>
      <c r="M428" s="295">
        <v>1</v>
      </c>
      <c r="N428" s="295" t="s">
        <v>581</v>
      </c>
      <c r="O428" s="297">
        <v>13</v>
      </c>
      <c r="P428" s="298">
        <v>330746</v>
      </c>
      <c r="Q428" s="298">
        <v>0</v>
      </c>
      <c r="R428" s="298">
        <f t="shared" si="25"/>
        <v>330746</v>
      </c>
      <c r="S428" s="298">
        <v>330746</v>
      </c>
      <c r="T428" s="298">
        <f>336812.203679432-6100</f>
        <v>330712.20367943199</v>
      </c>
      <c r="U428" s="298">
        <f t="shared" ref="U428:V428" si="26">336812.203679432-6100</f>
        <v>330712.20367943199</v>
      </c>
      <c r="V428" s="298">
        <f t="shared" si="26"/>
        <v>330712.20367943199</v>
      </c>
    </row>
    <row r="429" spans="1:27" s="299" customFormat="1" ht="15" customHeight="1" x14ac:dyDescent="0.25">
      <c r="A429" s="295" t="s">
        <v>596</v>
      </c>
      <c r="B429" s="295">
        <v>2</v>
      </c>
      <c r="C429" s="295">
        <v>2</v>
      </c>
      <c r="D429" s="295" t="s">
        <v>579</v>
      </c>
      <c r="E429" s="295" t="s">
        <v>580</v>
      </c>
      <c r="F429" s="295">
        <v>412</v>
      </c>
      <c r="G429" s="295" t="s">
        <v>25</v>
      </c>
      <c r="H429" s="295">
        <v>1</v>
      </c>
      <c r="I429" s="296">
        <v>14109</v>
      </c>
      <c r="J429" s="295">
        <v>1</v>
      </c>
      <c r="K429" s="295">
        <v>19</v>
      </c>
      <c r="L429" s="295">
        <v>1</v>
      </c>
      <c r="M429" s="295">
        <v>1</v>
      </c>
      <c r="N429" s="295" t="s">
        <v>581</v>
      </c>
      <c r="O429" s="295">
        <v>13</v>
      </c>
      <c r="P429" s="298">
        <v>748773</v>
      </c>
      <c r="Q429" s="298">
        <v>0</v>
      </c>
      <c r="R429" s="298">
        <f t="shared" si="25"/>
        <v>748773</v>
      </c>
      <c r="S429" s="298">
        <v>804755.09855732461</v>
      </c>
      <c r="T429" s="298">
        <v>804755.09855732461</v>
      </c>
      <c r="U429" s="298">
        <v>804755.09855732461</v>
      </c>
      <c r="V429" s="298">
        <v>785721.981628465</v>
      </c>
    </row>
    <row r="430" spans="1:27" s="299" customFormat="1" ht="15" customHeight="1" x14ac:dyDescent="0.25">
      <c r="A430" s="295" t="s">
        <v>596</v>
      </c>
      <c r="B430" s="295">
        <v>2</v>
      </c>
      <c r="C430" s="295">
        <v>2</v>
      </c>
      <c r="D430" s="295" t="s">
        <v>579</v>
      </c>
      <c r="E430" s="295" t="s">
        <v>580</v>
      </c>
      <c r="F430" s="295">
        <v>412</v>
      </c>
      <c r="G430" s="295" t="s">
        <v>25</v>
      </c>
      <c r="H430" s="295">
        <v>1</v>
      </c>
      <c r="I430" s="296">
        <v>14402</v>
      </c>
      <c r="J430" s="295">
        <v>1</v>
      </c>
      <c r="K430" s="295">
        <v>19</v>
      </c>
      <c r="L430" s="295">
        <v>1</v>
      </c>
      <c r="M430" s="295">
        <v>1</v>
      </c>
      <c r="N430" s="295" t="s">
        <v>581</v>
      </c>
      <c r="O430" s="297">
        <v>13</v>
      </c>
      <c r="P430" s="298">
        <v>1584</v>
      </c>
      <c r="Q430" s="298">
        <v>0</v>
      </c>
      <c r="R430" s="298">
        <f t="shared" si="25"/>
        <v>1584</v>
      </c>
      <c r="S430" s="298">
        <v>1584</v>
      </c>
      <c r="T430" s="298">
        <v>1584</v>
      </c>
      <c r="U430" s="298">
        <v>1584</v>
      </c>
      <c r="V430" s="298">
        <v>1584</v>
      </c>
    </row>
    <row r="431" spans="1:27" s="299" customFormat="1" ht="15" customHeight="1" x14ac:dyDescent="0.25">
      <c r="A431" s="295" t="s">
        <v>596</v>
      </c>
      <c r="B431" s="295">
        <v>2</v>
      </c>
      <c r="C431" s="295">
        <v>2</v>
      </c>
      <c r="D431" s="295" t="s">
        <v>579</v>
      </c>
      <c r="E431" s="295" t="s">
        <v>580</v>
      </c>
      <c r="F431" s="295">
        <v>412</v>
      </c>
      <c r="G431" s="295" t="s">
        <v>25</v>
      </c>
      <c r="H431" s="295">
        <v>1</v>
      </c>
      <c r="I431" s="296">
        <v>14403</v>
      </c>
      <c r="J431" s="295">
        <v>1</v>
      </c>
      <c r="K431" s="295">
        <v>19</v>
      </c>
      <c r="L431" s="295">
        <v>1</v>
      </c>
      <c r="M431" s="295">
        <v>1</v>
      </c>
      <c r="N431" s="295" t="s">
        <v>581</v>
      </c>
      <c r="O431" s="297">
        <v>13</v>
      </c>
      <c r="P431" s="298"/>
      <c r="Q431" s="298"/>
      <c r="R431" s="298"/>
      <c r="S431" s="298"/>
      <c r="T431" s="298"/>
      <c r="U431" s="298"/>
      <c r="V431" s="298"/>
    </row>
    <row r="432" spans="1:27" s="299" customFormat="1" ht="15" customHeight="1" x14ac:dyDescent="0.25">
      <c r="A432" s="295" t="s">
        <v>596</v>
      </c>
      <c r="B432" s="295">
        <v>2</v>
      </c>
      <c r="C432" s="295">
        <v>2</v>
      </c>
      <c r="D432" s="295" t="s">
        <v>579</v>
      </c>
      <c r="E432" s="295" t="s">
        <v>580</v>
      </c>
      <c r="F432" s="295">
        <v>412</v>
      </c>
      <c r="G432" s="295" t="s">
        <v>25</v>
      </c>
      <c r="H432" s="295">
        <v>1</v>
      </c>
      <c r="I432" s="296">
        <v>14406</v>
      </c>
      <c r="J432" s="295">
        <v>1</v>
      </c>
      <c r="K432" s="295">
        <v>19</v>
      </c>
      <c r="L432" s="295">
        <v>1</v>
      </c>
      <c r="M432" s="295">
        <v>1</v>
      </c>
      <c r="N432" s="295" t="s">
        <v>581</v>
      </c>
      <c r="O432" s="295">
        <v>13</v>
      </c>
      <c r="P432" s="298">
        <v>162</v>
      </c>
      <c r="Q432" s="298">
        <v>0</v>
      </c>
      <c r="R432" s="298">
        <f t="shared" si="25"/>
        <v>162</v>
      </c>
      <c r="S432" s="298">
        <v>162</v>
      </c>
      <c r="T432" s="298">
        <v>148.5</v>
      </c>
      <c r="U432" s="298">
        <v>148.5</v>
      </c>
      <c r="V432" s="298">
        <v>148.5</v>
      </c>
    </row>
    <row r="433" spans="1:23" s="299" customFormat="1" ht="15" customHeight="1" x14ac:dyDescent="0.25">
      <c r="A433" s="295" t="s">
        <v>596</v>
      </c>
      <c r="B433" s="295">
        <v>2</v>
      </c>
      <c r="C433" s="295">
        <v>2</v>
      </c>
      <c r="D433" s="295" t="s">
        <v>579</v>
      </c>
      <c r="E433" s="295" t="s">
        <v>580</v>
      </c>
      <c r="F433" s="295">
        <v>412</v>
      </c>
      <c r="G433" s="295" t="s">
        <v>25</v>
      </c>
      <c r="H433" s="295">
        <v>1</v>
      </c>
      <c r="I433" s="296">
        <v>15101</v>
      </c>
      <c r="J433" s="295">
        <v>1</v>
      </c>
      <c r="K433" s="295">
        <v>19</v>
      </c>
      <c r="L433" s="295">
        <v>1</v>
      </c>
      <c r="M433" s="295">
        <v>1</v>
      </c>
      <c r="N433" s="295" t="s">
        <v>581</v>
      </c>
      <c r="O433" s="297">
        <v>13</v>
      </c>
      <c r="P433" s="298">
        <v>1300</v>
      </c>
      <c r="Q433" s="298">
        <v>0</v>
      </c>
      <c r="R433" s="298">
        <f t="shared" si="25"/>
        <v>1300</v>
      </c>
      <c r="S433" s="298">
        <v>1300</v>
      </c>
      <c r="T433" s="298">
        <v>1438.0600000000004</v>
      </c>
      <c r="U433" s="298">
        <v>1438.0600000000004</v>
      </c>
      <c r="V433" s="298">
        <v>1438.0600000000004</v>
      </c>
    </row>
    <row r="434" spans="1:23" s="299" customFormat="1" ht="15" customHeight="1" x14ac:dyDescent="0.25">
      <c r="A434" s="295" t="s">
        <v>596</v>
      </c>
      <c r="B434" s="295">
        <v>2</v>
      </c>
      <c r="C434" s="295">
        <v>2</v>
      </c>
      <c r="D434" s="295" t="s">
        <v>579</v>
      </c>
      <c r="E434" s="295" t="s">
        <v>580</v>
      </c>
      <c r="F434" s="295">
        <v>412</v>
      </c>
      <c r="G434" s="295" t="s">
        <v>25</v>
      </c>
      <c r="H434" s="295">
        <v>1</v>
      </c>
      <c r="I434" s="296">
        <v>15901</v>
      </c>
      <c r="J434" s="295">
        <v>1</v>
      </c>
      <c r="K434" s="295">
        <v>19</v>
      </c>
      <c r="L434" s="295">
        <v>1</v>
      </c>
      <c r="M434" s="295">
        <v>1</v>
      </c>
      <c r="N434" s="295" t="s">
        <v>581</v>
      </c>
      <c r="O434" s="295">
        <v>13</v>
      </c>
      <c r="P434" s="298">
        <v>578870</v>
      </c>
      <c r="Q434" s="298">
        <v>0</v>
      </c>
      <c r="R434" s="298">
        <f>P434+Q434</f>
        <v>578870</v>
      </c>
      <c r="S434" s="298">
        <v>578870</v>
      </c>
      <c r="T434" s="298">
        <v>756106.65</v>
      </c>
      <c r="U434" s="298">
        <v>756106.65</v>
      </c>
      <c r="V434" s="298">
        <v>756106.65</v>
      </c>
    </row>
    <row r="435" spans="1:23" s="299" customFormat="1" ht="15" customHeight="1" x14ac:dyDescent="0.25">
      <c r="A435" s="295" t="s">
        <v>596</v>
      </c>
      <c r="B435" s="295">
        <v>2</v>
      </c>
      <c r="C435" s="295">
        <v>2</v>
      </c>
      <c r="D435" s="295" t="s">
        <v>579</v>
      </c>
      <c r="E435" s="295" t="s">
        <v>580</v>
      </c>
      <c r="F435" s="295">
        <v>412</v>
      </c>
      <c r="G435" s="295" t="s">
        <v>25</v>
      </c>
      <c r="H435" s="295">
        <v>1</v>
      </c>
      <c r="I435" s="296">
        <v>17102</v>
      </c>
      <c r="J435" s="295">
        <v>1</v>
      </c>
      <c r="K435" s="295">
        <v>19</v>
      </c>
      <c r="L435" s="295">
        <v>1</v>
      </c>
      <c r="M435" s="295">
        <v>1</v>
      </c>
      <c r="N435" s="295" t="s">
        <v>581</v>
      </c>
      <c r="O435" s="297">
        <v>13</v>
      </c>
      <c r="P435" s="298">
        <v>13200</v>
      </c>
      <c r="Q435" s="298">
        <f>2300+1324</f>
        <v>3624</v>
      </c>
      <c r="R435" s="298">
        <f t="shared" si="25"/>
        <v>16824</v>
      </c>
      <c r="S435" s="298">
        <f>15500+1324</f>
        <v>16824</v>
      </c>
      <c r="T435" s="298">
        <v>23000</v>
      </c>
      <c r="U435" s="298">
        <v>23000</v>
      </c>
      <c r="V435" s="298">
        <v>23000</v>
      </c>
    </row>
    <row r="436" spans="1:23" s="299" customFormat="1" ht="15" customHeight="1" x14ac:dyDescent="0.25">
      <c r="A436" s="295" t="s">
        <v>596</v>
      </c>
      <c r="B436" s="295">
        <v>2</v>
      </c>
      <c r="C436" s="295">
        <v>2</v>
      </c>
      <c r="D436" s="295" t="s">
        <v>579</v>
      </c>
      <c r="E436" s="295" t="s">
        <v>580</v>
      </c>
      <c r="F436" s="295">
        <v>412</v>
      </c>
      <c r="G436" s="295" t="s">
        <v>25</v>
      </c>
      <c r="H436" s="295">
        <v>1</v>
      </c>
      <c r="I436" s="296">
        <v>21101</v>
      </c>
      <c r="J436" s="295">
        <v>1</v>
      </c>
      <c r="K436" s="295">
        <v>19</v>
      </c>
      <c r="L436" s="295">
        <v>1</v>
      </c>
      <c r="M436" s="295">
        <v>1</v>
      </c>
      <c r="N436" s="295" t="s">
        <v>581</v>
      </c>
      <c r="O436" s="295">
        <v>13</v>
      </c>
      <c r="P436" s="298">
        <v>37134</v>
      </c>
      <c r="Q436" s="298">
        <v>-9000</v>
      </c>
      <c r="R436" s="298">
        <f>Q436+P436</f>
        <v>28134</v>
      </c>
      <c r="S436" s="298">
        <v>27526.591199999999</v>
      </c>
      <c r="T436" s="298">
        <v>27526.591199999999</v>
      </c>
      <c r="U436" s="298">
        <v>27526.591199999999</v>
      </c>
      <c r="V436" s="298">
        <v>27293.616276832658</v>
      </c>
      <c r="W436" s="302"/>
    </row>
    <row r="437" spans="1:23" s="299" customFormat="1" ht="15" customHeight="1" x14ac:dyDescent="0.25">
      <c r="A437" s="295" t="s">
        <v>596</v>
      </c>
      <c r="B437" s="295">
        <v>2</v>
      </c>
      <c r="C437" s="295">
        <v>2</v>
      </c>
      <c r="D437" s="295" t="s">
        <v>579</v>
      </c>
      <c r="E437" s="295" t="s">
        <v>580</v>
      </c>
      <c r="F437" s="295">
        <v>412</v>
      </c>
      <c r="G437" s="295" t="s">
        <v>25</v>
      </c>
      <c r="H437" s="295">
        <v>1</v>
      </c>
      <c r="I437" s="296">
        <v>21401</v>
      </c>
      <c r="J437" s="295">
        <v>1</v>
      </c>
      <c r="K437" s="295">
        <v>19</v>
      </c>
      <c r="L437" s="295">
        <v>1</v>
      </c>
      <c r="M437" s="295">
        <v>1</v>
      </c>
      <c r="N437" s="295" t="s">
        <v>581</v>
      </c>
      <c r="O437" s="297">
        <v>13</v>
      </c>
      <c r="P437" s="298">
        <v>10124</v>
      </c>
      <c r="Q437" s="298">
        <v>7827.89</v>
      </c>
      <c r="R437" s="298">
        <f t="shared" si="25"/>
        <v>17951.89</v>
      </c>
      <c r="S437" s="298">
        <v>17474.239999999998</v>
      </c>
      <c r="T437" s="298">
        <v>17474.239999999998</v>
      </c>
      <c r="U437" s="298">
        <v>17474.239999999998</v>
      </c>
      <c r="V437" s="298">
        <v>17748.840893728942</v>
      </c>
      <c r="W437" s="302"/>
    </row>
    <row r="438" spans="1:23" s="299" customFormat="1" ht="15" customHeight="1" x14ac:dyDescent="0.25">
      <c r="A438" s="295" t="s">
        <v>596</v>
      </c>
      <c r="B438" s="295">
        <v>2</v>
      </c>
      <c r="C438" s="295">
        <v>2</v>
      </c>
      <c r="D438" s="295" t="s">
        <v>579</v>
      </c>
      <c r="E438" s="295" t="s">
        <v>580</v>
      </c>
      <c r="F438" s="295">
        <v>412</v>
      </c>
      <c r="G438" s="295" t="s">
        <v>25</v>
      </c>
      <c r="H438" s="295">
        <v>1</v>
      </c>
      <c r="I438" s="296">
        <v>21501</v>
      </c>
      <c r="J438" s="295">
        <v>1</v>
      </c>
      <c r="K438" s="295">
        <v>19</v>
      </c>
      <c r="L438" s="295">
        <v>1</v>
      </c>
      <c r="M438" s="295">
        <v>1</v>
      </c>
      <c r="N438" s="295" t="s">
        <v>581</v>
      </c>
      <c r="O438" s="295">
        <v>13</v>
      </c>
      <c r="P438" s="298"/>
      <c r="Q438" s="298">
        <v>99</v>
      </c>
      <c r="R438" s="298">
        <f>P438+Q438</f>
        <v>99</v>
      </c>
      <c r="S438" s="298">
        <v>99</v>
      </c>
      <c r="T438" s="298">
        <v>99</v>
      </c>
      <c r="U438" s="298">
        <v>99</v>
      </c>
      <c r="V438" s="298">
        <v>99</v>
      </c>
      <c r="W438" s="302"/>
    </row>
    <row r="439" spans="1:23" s="299" customFormat="1" ht="15" customHeight="1" x14ac:dyDescent="0.25">
      <c r="A439" s="295" t="s">
        <v>596</v>
      </c>
      <c r="B439" s="295">
        <v>2</v>
      </c>
      <c r="C439" s="295">
        <v>2</v>
      </c>
      <c r="D439" s="295" t="s">
        <v>579</v>
      </c>
      <c r="E439" s="295" t="s">
        <v>580</v>
      </c>
      <c r="F439" s="295">
        <v>412</v>
      </c>
      <c r="G439" s="295" t="s">
        <v>25</v>
      </c>
      <c r="H439" s="295">
        <v>1</v>
      </c>
      <c r="I439" s="296">
        <v>21801</v>
      </c>
      <c r="J439" s="295">
        <v>1</v>
      </c>
      <c r="K439" s="295">
        <v>19</v>
      </c>
      <c r="L439" s="295">
        <v>1</v>
      </c>
      <c r="M439" s="295">
        <v>1</v>
      </c>
      <c r="N439" s="295" t="s">
        <v>581</v>
      </c>
      <c r="O439" s="295">
        <v>13</v>
      </c>
      <c r="P439" s="298">
        <v>914</v>
      </c>
      <c r="Q439" s="298">
        <v>384</v>
      </c>
      <c r="R439" s="298">
        <f t="shared" si="25"/>
        <v>1298</v>
      </c>
      <c r="S439" s="298">
        <v>1298</v>
      </c>
      <c r="T439" s="298">
        <v>1298</v>
      </c>
      <c r="U439" s="298">
        <v>1298</v>
      </c>
      <c r="V439" s="298">
        <v>1298</v>
      </c>
      <c r="W439" s="302"/>
    </row>
    <row r="440" spans="1:23" s="299" customFormat="1" ht="15" customHeight="1" x14ac:dyDescent="0.25">
      <c r="A440" s="295" t="s">
        <v>596</v>
      </c>
      <c r="B440" s="295">
        <v>2</v>
      </c>
      <c r="C440" s="295">
        <v>2</v>
      </c>
      <c r="D440" s="295" t="s">
        <v>579</v>
      </c>
      <c r="E440" s="295" t="s">
        <v>580</v>
      </c>
      <c r="F440" s="295">
        <v>412</v>
      </c>
      <c r="G440" s="295" t="s">
        <v>25</v>
      </c>
      <c r="H440" s="295">
        <v>1</v>
      </c>
      <c r="I440" s="296">
        <v>22101</v>
      </c>
      <c r="J440" s="295">
        <v>1</v>
      </c>
      <c r="K440" s="295">
        <v>19</v>
      </c>
      <c r="L440" s="295">
        <v>1</v>
      </c>
      <c r="M440" s="295">
        <v>1</v>
      </c>
      <c r="N440" s="295" t="s">
        <v>581</v>
      </c>
      <c r="O440" s="297">
        <v>13</v>
      </c>
      <c r="P440" s="298">
        <v>5774</v>
      </c>
      <c r="Q440" s="298">
        <f>-827.1-827.1-337.8+10421.76</f>
        <v>8429.76</v>
      </c>
      <c r="R440" s="298">
        <f t="shared" si="25"/>
        <v>14203.76</v>
      </c>
      <c r="S440" s="298">
        <v>14203.428804459214</v>
      </c>
      <c r="T440" s="298">
        <v>14203.428804459214</v>
      </c>
      <c r="U440" s="298">
        <v>14203.428804459214</v>
      </c>
      <c r="V440" s="298">
        <v>14203.428804459214</v>
      </c>
      <c r="W440" s="302"/>
    </row>
    <row r="441" spans="1:23" s="299" customFormat="1" ht="15" customHeight="1" x14ac:dyDescent="0.25">
      <c r="A441" s="295" t="s">
        <v>596</v>
      </c>
      <c r="B441" s="295">
        <v>2</v>
      </c>
      <c r="C441" s="295">
        <v>2</v>
      </c>
      <c r="D441" s="295" t="s">
        <v>579</v>
      </c>
      <c r="E441" s="295" t="s">
        <v>580</v>
      </c>
      <c r="F441" s="295">
        <v>412</v>
      </c>
      <c r="G441" s="295" t="s">
        <v>25</v>
      </c>
      <c r="H441" s="295">
        <v>1</v>
      </c>
      <c r="I441" s="296">
        <v>25301</v>
      </c>
      <c r="J441" s="295">
        <v>1</v>
      </c>
      <c r="K441" s="295">
        <v>19</v>
      </c>
      <c r="L441" s="295">
        <v>1</v>
      </c>
      <c r="M441" s="295">
        <v>1</v>
      </c>
      <c r="N441" s="295" t="s">
        <v>581</v>
      </c>
      <c r="O441" s="295">
        <v>13</v>
      </c>
      <c r="P441" s="298">
        <v>0</v>
      </c>
      <c r="Q441" s="298">
        <v>0</v>
      </c>
      <c r="R441" s="298">
        <f>P441+Q441</f>
        <v>0</v>
      </c>
      <c r="S441" s="298"/>
      <c r="T441" s="298"/>
      <c r="U441" s="298"/>
      <c r="V441" s="298"/>
      <c r="W441" s="302"/>
    </row>
    <row r="442" spans="1:23" s="299" customFormat="1" ht="15" customHeight="1" x14ac:dyDescent="0.25">
      <c r="A442" s="295" t="s">
        <v>596</v>
      </c>
      <c r="B442" s="295">
        <v>2</v>
      </c>
      <c r="C442" s="295">
        <v>2</v>
      </c>
      <c r="D442" s="295" t="s">
        <v>579</v>
      </c>
      <c r="E442" s="295" t="s">
        <v>580</v>
      </c>
      <c r="F442" s="295">
        <v>412</v>
      </c>
      <c r="G442" s="295" t="s">
        <v>25</v>
      </c>
      <c r="H442" s="295">
        <v>1</v>
      </c>
      <c r="I442" s="296">
        <v>26101</v>
      </c>
      <c r="J442" s="295">
        <v>1</v>
      </c>
      <c r="K442" s="295">
        <v>19</v>
      </c>
      <c r="L442" s="295">
        <v>1</v>
      </c>
      <c r="M442" s="295">
        <v>1</v>
      </c>
      <c r="N442" s="295" t="s">
        <v>581</v>
      </c>
      <c r="O442" s="295">
        <v>13</v>
      </c>
      <c r="P442" s="298">
        <v>16863</v>
      </c>
      <c r="Q442" s="298">
        <v>-7893.37</v>
      </c>
      <c r="R442" s="298">
        <f t="shared" si="25"/>
        <v>8969.630000000001</v>
      </c>
      <c r="S442" s="298">
        <f>8969.6253591425-10.27</f>
        <v>8959.3553591424989</v>
      </c>
      <c r="T442" s="298">
        <v>8959.3553591424989</v>
      </c>
      <c r="U442" s="298">
        <v>8959.3553591424989</v>
      </c>
      <c r="V442" s="298">
        <v>8341.2131134886658</v>
      </c>
      <c r="W442" s="302"/>
    </row>
    <row r="443" spans="1:23" s="299" customFormat="1" ht="15" customHeight="1" x14ac:dyDescent="0.25">
      <c r="A443" s="295" t="s">
        <v>596</v>
      </c>
      <c r="B443" s="295">
        <v>2</v>
      </c>
      <c r="C443" s="295">
        <v>2</v>
      </c>
      <c r="D443" s="295" t="s">
        <v>579</v>
      </c>
      <c r="E443" s="295" t="s">
        <v>580</v>
      </c>
      <c r="F443" s="295">
        <v>412</v>
      </c>
      <c r="G443" s="295" t="s">
        <v>25</v>
      </c>
      <c r="H443" s="295">
        <v>1</v>
      </c>
      <c r="I443" s="296">
        <v>26102</v>
      </c>
      <c r="J443" s="295">
        <v>1</v>
      </c>
      <c r="K443" s="295">
        <v>19</v>
      </c>
      <c r="L443" s="295">
        <v>1</v>
      </c>
      <c r="M443" s="295">
        <v>1</v>
      </c>
      <c r="N443" s="295" t="s">
        <v>581</v>
      </c>
      <c r="O443" s="297">
        <v>13</v>
      </c>
      <c r="P443" s="298">
        <v>596</v>
      </c>
      <c r="Q443" s="298">
        <f>-134.5-461.5</f>
        <v>-596</v>
      </c>
      <c r="R443" s="298">
        <f t="shared" si="25"/>
        <v>0</v>
      </c>
      <c r="S443" s="298">
        <v>0</v>
      </c>
      <c r="T443" s="298">
        <v>0</v>
      </c>
      <c r="U443" s="298">
        <v>0</v>
      </c>
      <c r="V443" s="298">
        <v>0</v>
      </c>
      <c r="W443" s="302"/>
    </row>
    <row r="444" spans="1:23" s="299" customFormat="1" ht="15" customHeight="1" x14ac:dyDescent="0.25">
      <c r="A444" s="295" t="s">
        <v>596</v>
      </c>
      <c r="B444" s="295">
        <v>2</v>
      </c>
      <c r="C444" s="295">
        <v>2</v>
      </c>
      <c r="D444" s="295" t="s">
        <v>579</v>
      </c>
      <c r="E444" s="295" t="s">
        <v>580</v>
      </c>
      <c r="F444" s="295">
        <v>412</v>
      </c>
      <c r="G444" s="295" t="s">
        <v>25</v>
      </c>
      <c r="H444" s="295">
        <v>1</v>
      </c>
      <c r="I444" s="296">
        <v>29201</v>
      </c>
      <c r="J444" s="295">
        <v>1</v>
      </c>
      <c r="K444" s="295">
        <v>19</v>
      </c>
      <c r="L444" s="295">
        <v>1</v>
      </c>
      <c r="M444" s="295">
        <v>1</v>
      </c>
      <c r="N444" s="295" t="s">
        <v>581</v>
      </c>
      <c r="O444" s="295">
        <v>13</v>
      </c>
      <c r="P444" s="298"/>
      <c r="Q444" s="298">
        <v>88.91</v>
      </c>
      <c r="R444" s="298">
        <f>P444+Q444</f>
        <v>88.91</v>
      </c>
      <c r="S444" s="298">
        <v>88.995199999999997</v>
      </c>
      <c r="T444" s="298">
        <v>88.995199999999997</v>
      </c>
      <c r="U444" s="298">
        <v>88.995199999999997</v>
      </c>
      <c r="V444" s="298">
        <v>88.995199999999997</v>
      </c>
      <c r="W444" s="302"/>
    </row>
    <row r="445" spans="1:23" s="299" customFormat="1" ht="15" customHeight="1" x14ac:dyDescent="0.25">
      <c r="A445" s="295" t="s">
        <v>596</v>
      </c>
      <c r="B445" s="295">
        <v>2</v>
      </c>
      <c r="C445" s="295">
        <v>2</v>
      </c>
      <c r="D445" s="295" t="s">
        <v>579</v>
      </c>
      <c r="E445" s="295" t="s">
        <v>580</v>
      </c>
      <c r="F445" s="295">
        <v>412</v>
      </c>
      <c r="G445" s="295" t="s">
        <v>25</v>
      </c>
      <c r="H445" s="295">
        <v>1</v>
      </c>
      <c r="I445" s="296">
        <v>29601</v>
      </c>
      <c r="J445" s="295">
        <v>1</v>
      </c>
      <c r="K445" s="295">
        <v>19</v>
      </c>
      <c r="L445" s="295">
        <v>1</v>
      </c>
      <c r="M445" s="295">
        <v>1</v>
      </c>
      <c r="N445" s="295" t="s">
        <v>581</v>
      </c>
      <c r="O445" s="295">
        <v>13</v>
      </c>
      <c r="P445" s="298">
        <v>1000</v>
      </c>
      <c r="Q445" s="298">
        <f>4633.22+6005.06</f>
        <v>10638.28</v>
      </c>
      <c r="R445" s="298">
        <f t="shared" si="25"/>
        <v>11638.28</v>
      </c>
      <c r="S445" s="298">
        <v>11638.279999999999</v>
      </c>
      <c r="T445" s="298">
        <v>11638.279999999999</v>
      </c>
      <c r="U445" s="298">
        <v>11638.279999999999</v>
      </c>
      <c r="V445" s="298">
        <v>11518.356815179795</v>
      </c>
      <c r="W445" s="302"/>
    </row>
    <row r="446" spans="1:23" s="299" customFormat="1" ht="15" customHeight="1" x14ac:dyDescent="0.25">
      <c r="A446" s="295" t="s">
        <v>596</v>
      </c>
      <c r="B446" s="295">
        <v>2</v>
      </c>
      <c r="C446" s="295">
        <v>2</v>
      </c>
      <c r="D446" s="295" t="s">
        <v>579</v>
      </c>
      <c r="E446" s="295" t="s">
        <v>580</v>
      </c>
      <c r="F446" s="295">
        <v>412</v>
      </c>
      <c r="G446" s="295" t="s">
        <v>25</v>
      </c>
      <c r="H446" s="295">
        <v>1</v>
      </c>
      <c r="I446" s="296">
        <v>31801</v>
      </c>
      <c r="J446" s="295">
        <v>1</v>
      </c>
      <c r="K446" s="295">
        <v>19</v>
      </c>
      <c r="L446" s="295">
        <v>1</v>
      </c>
      <c r="M446" s="295">
        <v>1</v>
      </c>
      <c r="N446" s="295" t="s">
        <v>581</v>
      </c>
      <c r="O446" s="297">
        <v>13</v>
      </c>
      <c r="P446" s="298">
        <v>10943</v>
      </c>
      <c r="Q446" s="298">
        <f>-3899.18-1572.57-2402.48-244.46-244.46-244.46</f>
        <v>-8607.6099999999988</v>
      </c>
      <c r="R446" s="298">
        <f t="shared" si="25"/>
        <v>2335.3900000000012</v>
      </c>
      <c r="S446" s="298">
        <v>2005.06</v>
      </c>
      <c r="T446" s="298">
        <v>2005.06</v>
      </c>
      <c r="U446" s="298">
        <v>2005.06</v>
      </c>
      <c r="V446" s="298">
        <v>2005.06</v>
      </c>
    </row>
    <row r="447" spans="1:23" s="299" customFormat="1" ht="15" customHeight="1" x14ac:dyDescent="0.25">
      <c r="A447" s="295" t="s">
        <v>596</v>
      </c>
      <c r="B447" s="295">
        <v>2</v>
      </c>
      <c r="C447" s="295">
        <v>2</v>
      </c>
      <c r="D447" s="295" t="s">
        <v>579</v>
      </c>
      <c r="E447" s="295" t="s">
        <v>580</v>
      </c>
      <c r="F447" s="295">
        <v>412</v>
      </c>
      <c r="G447" s="295" t="s">
        <v>25</v>
      </c>
      <c r="H447" s="295">
        <v>1</v>
      </c>
      <c r="I447" s="296">
        <v>32501</v>
      </c>
      <c r="J447" s="295">
        <v>1</v>
      </c>
      <c r="K447" s="295">
        <v>19</v>
      </c>
      <c r="L447" s="295">
        <v>1</v>
      </c>
      <c r="M447" s="295">
        <v>1</v>
      </c>
      <c r="N447" s="295" t="s">
        <v>581</v>
      </c>
      <c r="O447" s="297">
        <v>13</v>
      </c>
      <c r="P447" s="298">
        <v>1741</v>
      </c>
      <c r="Q447" s="298">
        <v>1268.02</v>
      </c>
      <c r="R447" s="298">
        <f t="shared" si="25"/>
        <v>3009.02</v>
      </c>
      <c r="S447" s="298">
        <v>3009.02</v>
      </c>
      <c r="T447" s="298">
        <v>3009.02</v>
      </c>
      <c r="U447" s="298">
        <v>3009.02</v>
      </c>
      <c r="V447" s="298">
        <v>3009.02</v>
      </c>
    </row>
    <row r="448" spans="1:23" s="299" customFormat="1" ht="15" customHeight="1" x14ac:dyDescent="0.25">
      <c r="A448" s="295" t="s">
        <v>596</v>
      </c>
      <c r="B448" s="295">
        <v>2</v>
      </c>
      <c r="C448" s="295">
        <v>2</v>
      </c>
      <c r="D448" s="295" t="s">
        <v>579</v>
      </c>
      <c r="E448" s="295" t="s">
        <v>580</v>
      </c>
      <c r="F448" s="295">
        <v>412</v>
      </c>
      <c r="G448" s="295" t="s">
        <v>25</v>
      </c>
      <c r="H448" s="295">
        <v>1</v>
      </c>
      <c r="I448" s="296">
        <v>33101</v>
      </c>
      <c r="J448" s="295">
        <v>1</v>
      </c>
      <c r="K448" s="295">
        <v>19</v>
      </c>
      <c r="L448" s="295">
        <v>1</v>
      </c>
      <c r="M448" s="295">
        <v>1</v>
      </c>
      <c r="N448" s="295" t="s">
        <v>581</v>
      </c>
      <c r="O448" s="297">
        <v>13</v>
      </c>
      <c r="P448" s="298">
        <v>0</v>
      </c>
      <c r="Q448" s="298">
        <f>4841.47+630.52</f>
        <v>5471.99</v>
      </c>
      <c r="R448" s="298">
        <f t="shared" si="25"/>
        <v>5471.99</v>
      </c>
      <c r="S448" s="298">
        <v>4841.4687999999996</v>
      </c>
      <c r="T448" s="298">
        <v>4841.4687999999996</v>
      </c>
      <c r="U448" s="298">
        <v>4841.4687999999996</v>
      </c>
      <c r="V448" s="298">
        <v>4250.8563407402862</v>
      </c>
    </row>
    <row r="449" spans="1:22" s="299" customFormat="1" ht="15" customHeight="1" x14ac:dyDescent="0.25">
      <c r="A449" s="295" t="s">
        <v>596</v>
      </c>
      <c r="B449" s="295">
        <v>2</v>
      </c>
      <c r="C449" s="295">
        <v>2</v>
      </c>
      <c r="D449" s="295" t="s">
        <v>579</v>
      </c>
      <c r="E449" s="295" t="s">
        <v>580</v>
      </c>
      <c r="F449" s="295">
        <v>412</v>
      </c>
      <c r="G449" s="295" t="s">
        <v>25</v>
      </c>
      <c r="H449" s="295">
        <v>1</v>
      </c>
      <c r="I449" s="296">
        <v>33301</v>
      </c>
      <c r="J449" s="295">
        <v>1</v>
      </c>
      <c r="K449" s="295">
        <v>19</v>
      </c>
      <c r="L449" s="295">
        <v>1</v>
      </c>
      <c r="M449" s="295">
        <v>1</v>
      </c>
      <c r="N449" s="295" t="s">
        <v>581</v>
      </c>
      <c r="O449" s="297">
        <v>13</v>
      </c>
      <c r="P449" s="298">
        <v>487</v>
      </c>
      <c r="Q449" s="298">
        <v>0</v>
      </c>
      <c r="R449" s="298">
        <f t="shared" si="25"/>
        <v>487</v>
      </c>
      <c r="S449" s="298">
        <v>0</v>
      </c>
      <c r="T449" s="298">
        <v>0</v>
      </c>
      <c r="U449" s="298"/>
      <c r="V449" s="298"/>
    </row>
    <row r="450" spans="1:22" s="299" customFormat="1" ht="15" customHeight="1" x14ac:dyDescent="0.25">
      <c r="A450" s="295" t="s">
        <v>596</v>
      </c>
      <c r="B450" s="295">
        <v>2</v>
      </c>
      <c r="C450" s="295">
        <v>2</v>
      </c>
      <c r="D450" s="295" t="s">
        <v>579</v>
      </c>
      <c r="E450" s="295" t="s">
        <v>580</v>
      </c>
      <c r="F450" s="295">
        <v>412</v>
      </c>
      <c r="G450" s="295" t="s">
        <v>25</v>
      </c>
      <c r="H450" s="295">
        <v>1</v>
      </c>
      <c r="I450" s="296">
        <v>33401</v>
      </c>
      <c r="J450" s="295">
        <v>1</v>
      </c>
      <c r="K450" s="295">
        <v>19</v>
      </c>
      <c r="L450" s="295">
        <v>1</v>
      </c>
      <c r="M450" s="295">
        <v>1</v>
      </c>
      <c r="N450" s="295" t="s">
        <v>581</v>
      </c>
      <c r="O450" s="295">
        <v>13</v>
      </c>
      <c r="P450" s="298">
        <v>27560</v>
      </c>
      <c r="Q450" s="298">
        <v>-27560</v>
      </c>
      <c r="R450" s="298">
        <f t="shared" si="25"/>
        <v>0</v>
      </c>
      <c r="S450" s="298">
        <v>0</v>
      </c>
      <c r="T450" s="298">
        <v>0</v>
      </c>
      <c r="U450" s="298">
        <v>0</v>
      </c>
      <c r="V450" s="298">
        <v>0</v>
      </c>
    </row>
    <row r="451" spans="1:22" s="299" customFormat="1" ht="15" customHeight="1" x14ac:dyDescent="0.25">
      <c r="A451" s="295" t="s">
        <v>596</v>
      </c>
      <c r="B451" s="295">
        <v>2</v>
      </c>
      <c r="C451" s="295">
        <v>2</v>
      </c>
      <c r="D451" s="295" t="s">
        <v>579</v>
      </c>
      <c r="E451" s="295" t="s">
        <v>580</v>
      </c>
      <c r="F451" s="295">
        <v>412</v>
      </c>
      <c r="G451" s="295" t="s">
        <v>25</v>
      </c>
      <c r="H451" s="295">
        <v>1</v>
      </c>
      <c r="I451" s="296">
        <v>33605</v>
      </c>
      <c r="J451" s="295">
        <v>1</v>
      </c>
      <c r="K451" s="295">
        <v>19</v>
      </c>
      <c r="L451" s="295">
        <v>1</v>
      </c>
      <c r="M451" s="295">
        <v>1</v>
      </c>
      <c r="N451" s="295" t="s">
        <v>581</v>
      </c>
      <c r="O451" s="297">
        <v>13</v>
      </c>
      <c r="P451" s="298">
        <v>171984</v>
      </c>
      <c r="Q451" s="298">
        <f>199460.11+44853.68</f>
        <v>244313.78999999998</v>
      </c>
      <c r="R451" s="298">
        <f t="shared" si="25"/>
        <v>416297.79</v>
      </c>
      <c r="S451" s="298">
        <v>416297.54</v>
      </c>
      <c r="T451" s="298">
        <v>416297.54</v>
      </c>
      <c r="U451" s="298">
        <v>416297.54</v>
      </c>
      <c r="V451" s="298">
        <v>386492.04</v>
      </c>
    </row>
    <row r="452" spans="1:22" s="299" customFormat="1" ht="15" customHeight="1" x14ac:dyDescent="0.25">
      <c r="A452" s="295" t="s">
        <v>596</v>
      </c>
      <c r="B452" s="295">
        <v>2</v>
      </c>
      <c r="C452" s="295">
        <v>2</v>
      </c>
      <c r="D452" s="295" t="s">
        <v>579</v>
      </c>
      <c r="E452" s="295" t="s">
        <v>580</v>
      </c>
      <c r="F452" s="295">
        <v>412</v>
      </c>
      <c r="G452" s="295" t="s">
        <v>25</v>
      </c>
      <c r="H452" s="295">
        <v>1</v>
      </c>
      <c r="I452" s="296">
        <v>34401</v>
      </c>
      <c r="J452" s="295">
        <v>1</v>
      </c>
      <c r="K452" s="295">
        <v>19</v>
      </c>
      <c r="L452" s="295">
        <v>1</v>
      </c>
      <c r="M452" s="295">
        <v>1</v>
      </c>
      <c r="N452" s="295" t="s">
        <v>581</v>
      </c>
      <c r="O452" s="295">
        <v>13</v>
      </c>
      <c r="P452" s="298">
        <v>6152</v>
      </c>
      <c r="Q452" s="298">
        <v>0</v>
      </c>
      <c r="R452" s="298">
        <f t="shared" si="25"/>
        <v>6152</v>
      </c>
      <c r="S452" s="298">
        <v>8459.8451999999997</v>
      </c>
      <c r="T452" s="298">
        <v>8459.8451999999997</v>
      </c>
      <c r="U452" s="298">
        <v>8459.8451999999997</v>
      </c>
      <c r="V452" s="298">
        <v>8459.8451999999997</v>
      </c>
    </row>
    <row r="453" spans="1:22" s="299" customFormat="1" ht="15" customHeight="1" x14ac:dyDescent="0.25">
      <c r="A453" s="295" t="s">
        <v>596</v>
      </c>
      <c r="B453" s="295">
        <v>2</v>
      </c>
      <c r="C453" s="295">
        <v>2</v>
      </c>
      <c r="D453" s="295" t="s">
        <v>579</v>
      </c>
      <c r="E453" s="295" t="s">
        <v>580</v>
      </c>
      <c r="F453" s="295">
        <v>412</v>
      </c>
      <c r="G453" s="295" t="s">
        <v>25</v>
      </c>
      <c r="H453" s="295">
        <v>1</v>
      </c>
      <c r="I453" s="296">
        <v>35101</v>
      </c>
      <c r="J453" s="295">
        <v>1</v>
      </c>
      <c r="K453" s="295">
        <v>19</v>
      </c>
      <c r="L453" s="295">
        <v>1</v>
      </c>
      <c r="M453" s="295">
        <v>1</v>
      </c>
      <c r="N453" s="295" t="s">
        <v>581</v>
      </c>
      <c r="O453" s="297">
        <v>13</v>
      </c>
      <c r="P453" s="298">
        <v>277</v>
      </c>
      <c r="Q453" s="298">
        <v>0</v>
      </c>
      <c r="R453" s="298">
        <f t="shared" si="25"/>
        <v>277</v>
      </c>
      <c r="S453" s="298">
        <v>0</v>
      </c>
      <c r="T453" s="298">
        <v>0</v>
      </c>
      <c r="U453" s="298">
        <v>0</v>
      </c>
      <c r="V453" s="298">
        <v>0</v>
      </c>
    </row>
    <row r="454" spans="1:22" s="299" customFormat="1" ht="15" customHeight="1" x14ac:dyDescent="0.25">
      <c r="A454" s="295" t="s">
        <v>596</v>
      </c>
      <c r="B454" s="295">
        <v>2</v>
      </c>
      <c r="C454" s="295">
        <v>2</v>
      </c>
      <c r="D454" s="295" t="s">
        <v>579</v>
      </c>
      <c r="E454" s="295" t="s">
        <v>580</v>
      </c>
      <c r="F454" s="295">
        <v>412</v>
      </c>
      <c r="G454" s="295" t="s">
        <v>25</v>
      </c>
      <c r="H454" s="295">
        <v>1</v>
      </c>
      <c r="I454" s="296">
        <v>35501</v>
      </c>
      <c r="J454" s="295">
        <v>1</v>
      </c>
      <c r="K454" s="295">
        <v>19</v>
      </c>
      <c r="L454" s="295">
        <v>1</v>
      </c>
      <c r="M454" s="295">
        <v>1</v>
      </c>
      <c r="N454" s="295" t="s">
        <v>581</v>
      </c>
      <c r="O454" s="295">
        <v>13</v>
      </c>
      <c r="P454" s="298">
        <v>9962</v>
      </c>
      <c r="Q454" s="298">
        <f>8000-12757.31-596.68</f>
        <v>-5353.99</v>
      </c>
      <c r="R454" s="298">
        <f t="shared" si="25"/>
        <v>4608.01</v>
      </c>
      <c r="S454" s="298">
        <v>4608.0072</v>
      </c>
      <c r="T454" s="298">
        <v>4608.0072</v>
      </c>
      <c r="U454" s="298">
        <v>4608.0072</v>
      </c>
      <c r="V454" s="298">
        <v>4470.0084141818943</v>
      </c>
    </row>
    <row r="455" spans="1:22" s="299" customFormat="1" ht="15" customHeight="1" x14ac:dyDescent="0.25">
      <c r="A455" s="295" t="s">
        <v>596</v>
      </c>
      <c r="B455" s="295">
        <v>2</v>
      </c>
      <c r="C455" s="295">
        <v>2</v>
      </c>
      <c r="D455" s="295" t="s">
        <v>579</v>
      </c>
      <c r="E455" s="295" t="s">
        <v>580</v>
      </c>
      <c r="F455" s="295">
        <v>412</v>
      </c>
      <c r="G455" s="295" t="s">
        <v>25</v>
      </c>
      <c r="H455" s="295">
        <v>1</v>
      </c>
      <c r="I455" s="296">
        <v>37101</v>
      </c>
      <c r="J455" s="295">
        <v>1</v>
      </c>
      <c r="K455" s="295">
        <v>19</v>
      </c>
      <c r="L455" s="295">
        <v>1</v>
      </c>
      <c r="M455" s="295">
        <v>1</v>
      </c>
      <c r="N455" s="295" t="s">
        <v>581</v>
      </c>
      <c r="O455" s="295">
        <v>13</v>
      </c>
      <c r="P455" s="298">
        <v>50000</v>
      </c>
      <c r="Q455" s="298">
        <v>0</v>
      </c>
      <c r="R455" s="298">
        <f t="shared" si="25"/>
        <v>50000</v>
      </c>
      <c r="S455" s="298">
        <v>23973.963741768544</v>
      </c>
      <c r="T455" s="298">
        <v>23973.963741768544</v>
      </c>
      <c r="U455" s="298">
        <v>23973.963741768544</v>
      </c>
      <c r="V455" s="298">
        <v>17318.750780363283</v>
      </c>
    </row>
    <row r="456" spans="1:22" s="299" customFormat="1" ht="15" customHeight="1" x14ac:dyDescent="0.25">
      <c r="A456" s="295" t="s">
        <v>596</v>
      </c>
      <c r="B456" s="295">
        <v>2</v>
      </c>
      <c r="C456" s="295">
        <v>2</v>
      </c>
      <c r="D456" s="295" t="s">
        <v>579</v>
      </c>
      <c r="E456" s="295" t="s">
        <v>580</v>
      </c>
      <c r="F456" s="295">
        <v>412</v>
      </c>
      <c r="G456" s="295" t="s">
        <v>25</v>
      </c>
      <c r="H456" s="295">
        <v>1</v>
      </c>
      <c r="I456" s="296">
        <v>37201</v>
      </c>
      <c r="J456" s="295">
        <v>1</v>
      </c>
      <c r="K456" s="295">
        <v>19</v>
      </c>
      <c r="L456" s="295">
        <v>1</v>
      </c>
      <c r="M456" s="295">
        <v>1</v>
      </c>
      <c r="N456" s="295" t="s">
        <v>581</v>
      </c>
      <c r="O456" s="295">
        <v>13</v>
      </c>
      <c r="P456" s="298">
        <v>6000</v>
      </c>
      <c r="Q456" s="298">
        <f>-3956.67-2043.33</f>
        <v>-6000</v>
      </c>
      <c r="R456" s="298">
        <f t="shared" ref="R456:R519" si="27">P456+Q456</f>
        <v>0</v>
      </c>
      <c r="S456" s="298">
        <v>0</v>
      </c>
      <c r="T456" s="298">
        <v>0</v>
      </c>
      <c r="U456" s="298">
        <v>0</v>
      </c>
      <c r="V456" s="298">
        <v>0</v>
      </c>
    </row>
    <row r="457" spans="1:22" s="299" customFormat="1" ht="15" customHeight="1" x14ac:dyDescent="0.25">
      <c r="A457" s="295" t="s">
        <v>596</v>
      </c>
      <c r="B457" s="295">
        <v>2</v>
      </c>
      <c r="C457" s="295">
        <v>2</v>
      </c>
      <c r="D457" s="295" t="s">
        <v>579</v>
      </c>
      <c r="E457" s="295" t="s">
        <v>580</v>
      </c>
      <c r="F457" s="295">
        <v>412</v>
      </c>
      <c r="G457" s="295" t="s">
        <v>25</v>
      </c>
      <c r="H457" s="295">
        <v>1</v>
      </c>
      <c r="I457" s="296">
        <v>37501</v>
      </c>
      <c r="J457" s="295">
        <v>1</v>
      </c>
      <c r="K457" s="295">
        <v>19</v>
      </c>
      <c r="L457" s="295">
        <v>1</v>
      </c>
      <c r="M457" s="295">
        <v>1</v>
      </c>
      <c r="N457" s="295" t="s">
        <v>581</v>
      </c>
      <c r="O457" s="297">
        <v>13</v>
      </c>
      <c r="P457" s="298">
        <v>73669</v>
      </c>
      <c r="Q457" s="298">
        <v>-53536.51</v>
      </c>
      <c r="R457" s="298">
        <f t="shared" si="27"/>
        <v>20132.489999999998</v>
      </c>
      <c r="S457" s="298">
        <v>4938.3819263868172</v>
      </c>
      <c r="T457" s="298">
        <v>4938.3819263868172</v>
      </c>
      <c r="U457" s="298">
        <v>4938.3819263868172</v>
      </c>
      <c r="V457" s="298">
        <v>4938.3819263868172</v>
      </c>
    </row>
    <row r="458" spans="1:22" s="299" customFormat="1" ht="15" customHeight="1" x14ac:dyDescent="0.25">
      <c r="A458" s="295" t="s">
        <v>596</v>
      </c>
      <c r="B458" s="295">
        <v>2</v>
      </c>
      <c r="C458" s="295">
        <v>2</v>
      </c>
      <c r="D458" s="295" t="s">
        <v>579</v>
      </c>
      <c r="E458" s="295" t="s">
        <v>580</v>
      </c>
      <c r="F458" s="295">
        <v>412</v>
      </c>
      <c r="G458" s="295" t="s">
        <v>25</v>
      </c>
      <c r="H458" s="295">
        <v>1</v>
      </c>
      <c r="I458" s="296">
        <v>37502</v>
      </c>
      <c r="J458" s="295">
        <v>1</v>
      </c>
      <c r="K458" s="295">
        <v>19</v>
      </c>
      <c r="L458" s="295">
        <v>1</v>
      </c>
      <c r="M458" s="295">
        <v>1</v>
      </c>
      <c r="N458" s="295" t="s">
        <v>581</v>
      </c>
      <c r="O458" s="295">
        <v>13</v>
      </c>
      <c r="P458" s="298">
        <v>25906</v>
      </c>
      <c r="Q458" s="298">
        <v>0</v>
      </c>
      <c r="R458" s="298">
        <f t="shared" si="27"/>
        <v>25906</v>
      </c>
      <c r="S458" s="298">
        <v>5200</v>
      </c>
      <c r="T458" s="298">
        <v>5200</v>
      </c>
      <c r="U458" s="298">
        <v>5200</v>
      </c>
      <c r="V458" s="298">
        <v>5200</v>
      </c>
    </row>
    <row r="459" spans="1:22" s="299" customFormat="1" ht="15" customHeight="1" x14ac:dyDescent="0.25">
      <c r="A459" s="295" t="s">
        <v>596</v>
      </c>
      <c r="B459" s="295">
        <v>2</v>
      </c>
      <c r="C459" s="295">
        <v>2</v>
      </c>
      <c r="D459" s="295" t="s">
        <v>579</v>
      </c>
      <c r="E459" s="295" t="s">
        <v>580</v>
      </c>
      <c r="F459" s="295">
        <v>412</v>
      </c>
      <c r="G459" s="295" t="s">
        <v>25</v>
      </c>
      <c r="H459" s="295">
        <v>1</v>
      </c>
      <c r="I459" s="296">
        <v>37601</v>
      </c>
      <c r="J459" s="295">
        <v>1</v>
      </c>
      <c r="K459" s="295">
        <v>19</v>
      </c>
      <c r="L459" s="295">
        <v>1</v>
      </c>
      <c r="M459" s="295">
        <v>1</v>
      </c>
      <c r="N459" s="295" t="s">
        <v>581</v>
      </c>
      <c r="O459" s="297">
        <v>13</v>
      </c>
      <c r="P459" s="298">
        <v>31419</v>
      </c>
      <c r="Q459" s="298">
        <v>-9820.2999999999993</v>
      </c>
      <c r="R459" s="298">
        <f t="shared" si="27"/>
        <v>21598.7</v>
      </c>
      <c r="S459" s="298">
        <v>19432</v>
      </c>
      <c r="T459" s="298">
        <v>19432</v>
      </c>
      <c r="U459" s="298">
        <v>19432</v>
      </c>
      <c r="V459" s="298">
        <v>19432</v>
      </c>
    </row>
    <row r="460" spans="1:22" s="299" customFormat="1" ht="15" customHeight="1" x14ac:dyDescent="0.25">
      <c r="A460" s="295" t="s">
        <v>596</v>
      </c>
      <c r="B460" s="295">
        <v>2</v>
      </c>
      <c r="C460" s="295">
        <v>2</v>
      </c>
      <c r="D460" s="295" t="s">
        <v>579</v>
      </c>
      <c r="E460" s="295" t="s">
        <v>580</v>
      </c>
      <c r="F460" s="295">
        <v>412</v>
      </c>
      <c r="G460" s="295" t="s">
        <v>25</v>
      </c>
      <c r="H460" s="295">
        <v>1</v>
      </c>
      <c r="I460" s="296">
        <v>37901</v>
      </c>
      <c r="J460" s="295">
        <v>1</v>
      </c>
      <c r="K460" s="295">
        <v>19</v>
      </c>
      <c r="L460" s="295">
        <v>1</v>
      </c>
      <c r="M460" s="295">
        <v>1</v>
      </c>
      <c r="N460" s="295" t="s">
        <v>581</v>
      </c>
      <c r="O460" s="295">
        <v>13</v>
      </c>
      <c r="P460" s="298">
        <v>1412</v>
      </c>
      <c r="Q460" s="298">
        <v>0</v>
      </c>
      <c r="R460" s="298">
        <f t="shared" si="27"/>
        <v>1412</v>
      </c>
      <c r="S460" s="298">
        <v>0</v>
      </c>
      <c r="T460" s="298">
        <v>0</v>
      </c>
      <c r="U460" s="298">
        <v>0</v>
      </c>
      <c r="V460" s="298">
        <v>0</v>
      </c>
    </row>
    <row r="461" spans="1:22" s="299" customFormat="1" ht="15" customHeight="1" x14ac:dyDescent="0.25">
      <c r="A461" s="295" t="s">
        <v>596</v>
      </c>
      <c r="B461" s="295">
        <v>2</v>
      </c>
      <c r="C461" s="295">
        <v>2</v>
      </c>
      <c r="D461" s="295" t="s">
        <v>579</v>
      </c>
      <c r="E461" s="295" t="s">
        <v>580</v>
      </c>
      <c r="F461" s="295">
        <v>412</v>
      </c>
      <c r="G461" s="295" t="s">
        <v>25</v>
      </c>
      <c r="H461" s="295">
        <v>1</v>
      </c>
      <c r="I461" s="296">
        <v>38301</v>
      </c>
      <c r="J461" s="295">
        <v>1</v>
      </c>
      <c r="K461" s="295">
        <v>19</v>
      </c>
      <c r="L461" s="295">
        <v>1</v>
      </c>
      <c r="M461" s="295">
        <v>1</v>
      </c>
      <c r="N461" s="295" t="s">
        <v>581</v>
      </c>
      <c r="O461" s="297">
        <v>13</v>
      </c>
      <c r="P461" s="298">
        <v>5251.49</v>
      </c>
      <c r="Q461" s="298">
        <v>3062.73</v>
      </c>
      <c r="R461" s="298">
        <f t="shared" si="27"/>
        <v>8314.2199999999993</v>
      </c>
      <c r="S461" s="298">
        <v>8314.2219903821933</v>
      </c>
      <c r="T461" s="298">
        <v>8314.2219903821933</v>
      </c>
      <c r="U461" s="298">
        <v>8314.2219903821933</v>
      </c>
      <c r="V461" s="298">
        <v>8314.2219903821933</v>
      </c>
    </row>
    <row r="462" spans="1:22" s="299" customFormat="1" ht="15" customHeight="1" x14ac:dyDescent="0.25">
      <c r="A462" s="295" t="s">
        <v>597</v>
      </c>
      <c r="B462" s="295">
        <v>2</v>
      </c>
      <c r="C462" s="295">
        <v>2</v>
      </c>
      <c r="D462" s="295" t="s">
        <v>579</v>
      </c>
      <c r="E462" s="295" t="s">
        <v>580</v>
      </c>
      <c r="F462" s="297">
        <v>16</v>
      </c>
      <c r="G462" s="295" t="s">
        <v>25</v>
      </c>
      <c r="H462" s="295">
        <v>1</v>
      </c>
      <c r="I462" s="296">
        <v>11301</v>
      </c>
      <c r="J462" s="295">
        <v>1</v>
      </c>
      <c r="K462" s="295">
        <v>19</v>
      </c>
      <c r="L462" s="295">
        <v>1</v>
      </c>
      <c r="M462" s="295">
        <v>4</v>
      </c>
      <c r="N462" s="295" t="s">
        <v>583</v>
      </c>
      <c r="O462" s="295">
        <v>13</v>
      </c>
      <c r="P462" s="300">
        <v>46031499.29999999</v>
      </c>
      <c r="Q462" s="298">
        <v>1803189</v>
      </c>
      <c r="R462" s="298">
        <f>P462+Q462</f>
        <v>47834688.29999999</v>
      </c>
      <c r="S462" s="298">
        <v>45980370.300000004</v>
      </c>
      <c r="T462" s="298">
        <v>47833951.570000008</v>
      </c>
      <c r="U462" s="298">
        <v>47833951.570000008</v>
      </c>
      <c r="V462" s="298">
        <v>45981447.369999997</v>
      </c>
    </row>
    <row r="463" spans="1:22" s="299" customFormat="1" ht="15" customHeight="1" x14ac:dyDescent="0.25">
      <c r="A463" s="295" t="s">
        <v>597</v>
      </c>
      <c r="B463" s="295">
        <v>2</v>
      </c>
      <c r="C463" s="295">
        <v>2</v>
      </c>
      <c r="D463" s="295" t="s">
        <v>579</v>
      </c>
      <c r="E463" s="295" t="s">
        <v>580</v>
      </c>
      <c r="F463" s="297">
        <v>16</v>
      </c>
      <c r="G463" s="295" t="s">
        <v>25</v>
      </c>
      <c r="H463" s="295">
        <v>1</v>
      </c>
      <c r="I463" s="296">
        <v>11303</v>
      </c>
      <c r="J463" s="295">
        <v>1</v>
      </c>
      <c r="K463" s="295">
        <v>19</v>
      </c>
      <c r="L463" s="295">
        <v>1</v>
      </c>
      <c r="M463" s="295">
        <v>4</v>
      </c>
      <c r="N463" s="295" t="s">
        <v>583</v>
      </c>
      <c r="O463" s="297">
        <v>13</v>
      </c>
      <c r="P463" s="300">
        <v>1215186.44</v>
      </c>
      <c r="Q463" s="298">
        <v>0</v>
      </c>
      <c r="R463" s="298">
        <f t="shared" si="27"/>
        <v>1215186.44</v>
      </c>
      <c r="S463" s="298">
        <v>1215186.44</v>
      </c>
      <c r="T463" s="298">
        <v>766712.05</v>
      </c>
      <c r="U463" s="298">
        <v>766712.05</v>
      </c>
      <c r="V463" s="298">
        <v>766712.05</v>
      </c>
    </row>
    <row r="464" spans="1:22" s="299" customFormat="1" ht="15" customHeight="1" x14ac:dyDescent="0.25">
      <c r="A464" s="295" t="s">
        <v>597</v>
      </c>
      <c r="B464" s="295">
        <v>2</v>
      </c>
      <c r="C464" s="295">
        <v>2</v>
      </c>
      <c r="D464" s="295" t="s">
        <v>579</v>
      </c>
      <c r="E464" s="295" t="s">
        <v>580</v>
      </c>
      <c r="F464" s="297">
        <v>16</v>
      </c>
      <c r="G464" s="295" t="s">
        <v>25</v>
      </c>
      <c r="H464" s="295">
        <v>1</v>
      </c>
      <c r="I464" s="296">
        <v>11306</v>
      </c>
      <c r="J464" s="295">
        <v>1</v>
      </c>
      <c r="K464" s="295">
        <v>19</v>
      </c>
      <c r="L464" s="295">
        <v>1</v>
      </c>
      <c r="M464" s="295">
        <v>4</v>
      </c>
      <c r="N464" s="295" t="s">
        <v>583</v>
      </c>
      <c r="O464" s="295">
        <v>13</v>
      </c>
      <c r="P464" s="300">
        <v>32857745.09</v>
      </c>
      <c r="Q464" s="298">
        <f>4632391.49-2343645</f>
        <v>2288746.4900000002</v>
      </c>
      <c r="R464" s="298">
        <f t="shared" si="27"/>
        <v>35146491.579999998</v>
      </c>
      <c r="S464" s="298">
        <v>32891494.629999999</v>
      </c>
      <c r="T464" s="298">
        <v>32777474.259999998</v>
      </c>
      <c r="U464" s="298">
        <v>32777474.259999998</v>
      </c>
      <c r="V464" s="298">
        <v>31233832.900000002</v>
      </c>
    </row>
    <row r="465" spans="1:22" s="299" customFormat="1" ht="15" customHeight="1" x14ac:dyDescent="0.25">
      <c r="A465" s="295" t="s">
        <v>597</v>
      </c>
      <c r="B465" s="295">
        <v>2</v>
      </c>
      <c r="C465" s="295">
        <v>2</v>
      </c>
      <c r="D465" s="295" t="s">
        <v>579</v>
      </c>
      <c r="E465" s="295" t="s">
        <v>580</v>
      </c>
      <c r="F465" s="297">
        <v>16</v>
      </c>
      <c r="G465" s="295" t="s">
        <v>25</v>
      </c>
      <c r="H465" s="295">
        <v>1</v>
      </c>
      <c r="I465" s="296">
        <v>11307</v>
      </c>
      <c r="J465" s="295">
        <v>1</v>
      </c>
      <c r="K465" s="295">
        <v>19</v>
      </c>
      <c r="L465" s="295">
        <v>1</v>
      </c>
      <c r="M465" s="295">
        <v>4</v>
      </c>
      <c r="N465" s="295" t="s">
        <v>583</v>
      </c>
      <c r="O465" s="297">
        <v>13</v>
      </c>
      <c r="P465" s="300">
        <v>10482976.959999999</v>
      </c>
      <c r="Q465" s="298">
        <f>164529-157929-261103.04</f>
        <v>-254503.04000000001</v>
      </c>
      <c r="R465" s="298">
        <f t="shared" si="27"/>
        <v>10228473.92</v>
      </c>
      <c r="S465" s="298">
        <v>10489576.959999999</v>
      </c>
      <c r="T465" s="298">
        <v>10124317.960000001</v>
      </c>
      <c r="U465" s="298">
        <v>10124317.960000001</v>
      </c>
      <c r="V465" s="298">
        <v>10124317.960000001</v>
      </c>
    </row>
    <row r="466" spans="1:22" s="299" customFormat="1" ht="15" customHeight="1" x14ac:dyDescent="0.25">
      <c r="A466" s="295" t="s">
        <v>597</v>
      </c>
      <c r="B466" s="295">
        <v>2</v>
      </c>
      <c r="C466" s="295">
        <v>2</v>
      </c>
      <c r="D466" s="295" t="s">
        <v>579</v>
      </c>
      <c r="E466" s="295" t="s">
        <v>580</v>
      </c>
      <c r="F466" s="297">
        <v>16</v>
      </c>
      <c r="G466" s="295" t="s">
        <v>25</v>
      </c>
      <c r="H466" s="295">
        <v>1</v>
      </c>
      <c r="I466" s="296">
        <v>11308</v>
      </c>
      <c r="J466" s="295">
        <v>1</v>
      </c>
      <c r="K466" s="295">
        <v>19</v>
      </c>
      <c r="L466" s="295">
        <v>1</v>
      </c>
      <c r="M466" s="295">
        <v>4</v>
      </c>
      <c r="N466" s="295" t="s">
        <v>583</v>
      </c>
      <c r="O466" s="295">
        <v>13</v>
      </c>
      <c r="P466" s="300">
        <v>16135.11</v>
      </c>
      <c r="Q466" s="298">
        <v>0</v>
      </c>
      <c r="R466" s="298">
        <f t="shared" si="27"/>
        <v>16135.11</v>
      </c>
      <c r="S466" s="298">
        <v>16135.11</v>
      </c>
      <c r="T466" s="298">
        <v>14536.2</v>
      </c>
      <c r="U466" s="298">
        <v>14536.2</v>
      </c>
      <c r="V466" s="298">
        <v>14536.2</v>
      </c>
    </row>
    <row r="467" spans="1:22" s="299" customFormat="1" ht="15" customHeight="1" x14ac:dyDescent="0.25">
      <c r="A467" s="295" t="s">
        <v>597</v>
      </c>
      <c r="B467" s="295">
        <v>2</v>
      </c>
      <c r="C467" s="295">
        <v>2</v>
      </c>
      <c r="D467" s="295" t="s">
        <v>579</v>
      </c>
      <c r="E467" s="295" t="s">
        <v>580</v>
      </c>
      <c r="F467" s="297">
        <v>16</v>
      </c>
      <c r="G467" s="295" t="s">
        <v>25</v>
      </c>
      <c r="H467" s="295">
        <v>1</v>
      </c>
      <c r="I467" s="296">
        <v>11310</v>
      </c>
      <c r="J467" s="295">
        <v>1</v>
      </c>
      <c r="K467" s="295">
        <v>19</v>
      </c>
      <c r="L467" s="295">
        <v>1</v>
      </c>
      <c r="M467" s="295">
        <v>4</v>
      </c>
      <c r="N467" s="295" t="s">
        <v>583</v>
      </c>
      <c r="O467" s="297">
        <v>13</v>
      </c>
      <c r="P467" s="300">
        <v>6844321.459999999</v>
      </c>
      <c r="Q467" s="298">
        <f>146287-354847</f>
        <v>-208560</v>
      </c>
      <c r="R467" s="298">
        <f t="shared" si="27"/>
        <v>6635761.459999999</v>
      </c>
      <c r="S467" s="298">
        <v>6848721.459999999</v>
      </c>
      <c r="T467" s="298">
        <v>6749540.5299999993</v>
      </c>
      <c r="U467" s="298">
        <v>6749540.5299999993</v>
      </c>
      <c r="V467" s="298">
        <v>6749540.5299999993</v>
      </c>
    </row>
    <row r="468" spans="1:22" s="299" customFormat="1" ht="15" customHeight="1" x14ac:dyDescent="0.25">
      <c r="A468" s="295" t="s">
        <v>597</v>
      </c>
      <c r="B468" s="295">
        <v>2</v>
      </c>
      <c r="C468" s="295">
        <v>2</v>
      </c>
      <c r="D468" s="295" t="s">
        <v>579</v>
      </c>
      <c r="E468" s="295" t="s">
        <v>580</v>
      </c>
      <c r="F468" s="297">
        <v>16</v>
      </c>
      <c r="G468" s="295" t="s">
        <v>25</v>
      </c>
      <c r="H468" s="295">
        <v>1</v>
      </c>
      <c r="I468" s="296">
        <v>12101</v>
      </c>
      <c r="J468" s="295">
        <v>1</v>
      </c>
      <c r="K468" s="295">
        <v>19</v>
      </c>
      <c r="L468" s="295">
        <v>1</v>
      </c>
      <c r="M468" s="295">
        <v>4</v>
      </c>
      <c r="N468" s="295" t="s">
        <v>583</v>
      </c>
      <c r="O468" s="295">
        <v>13</v>
      </c>
      <c r="P468" s="300">
        <f>1807574.84+0.16</f>
        <v>1807575</v>
      </c>
      <c r="Q468" s="298">
        <v>0</v>
      </c>
      <c r="R468" s="304">
        <f t="shared" si="27"/>
        <v>1807575</v>
      </c>
      <c r="S468" s="298">
        <v>1900907.56</v>
      </c>
      <c r="T468" s="298">
        <v>1541864.8900000001</v>
      </c>
      <c r="U468" s="298">
        <v>1499925.2100000002</v>
      </c>
      <c r="V468" s="298">
        <v>1475821.47</v>
      </c>
    </row>
    <row r="469" spans="1:22" s="299" customFormat="1" ht="15" customHeight="1" x14ac:dyDescent="0.25">
      <c r="A469" s="295" t="s">
        <v>597</v>
      </c>
      <c r="B469" s="295">
        <v>2</v>
      </c>
      <c r="C469" s="295">
        <v>2</v>
      </c>
      <c r="D469" s="295" t="s">
        <v>579</v>
      </c>
      <c r="E469" s="295" t="s">
        <v>580</v>
      </c>
      <c r="F469" s="297">
        <v>16</v>
      </c>
      <c r="G469" s="295" t="s">
        <v>25</v>
      </c>
      <c r="H469" s="295">
        <v>1</v>
      </c>
      <c r="I469" s="296">
        <v>13101</v>
      </c>
      <c r="J469" s="295">
        <v>1</v>
      </c>
      <c r="K469" s="295">
        <v>19</v>
      </c>
      <c r="L469" s="295">
        <v>1</v>
      </c>
      <c r="M469" s="295">
        <v>4</v>
      </c>
      <c r="N469" s="295" t="s">
        <v>583</v>
      </c>
      <c r="O469" s="297">
        <v>13</v>
      </c>
      <c r="P469" s="300">
        <v>2276256.2200000002</v>
      </c>
      <c r="Q469" s="298">
        <v>220423</v>
      </c>
      <c r="R469" s="298">
        <f t="shared" si="27"/>
        <v>2496679.2200000002</v>
      </c>
      <c r="S469" s="298">
        <v>2360515.7200000002</v>
      </c>
      <c r="T469" s="298">
        <v>2486467.02</v>
      </c>
      <c r="U469" s="298">
        <v>2486467.02</v>
      </c>
      <c r="V469" s="298">
        <v>2460951.42</v>
      </c>
    </row>
    <row r="470" spans="1:22" s="299" customFormat="1" ht="15" customHeight="1" x14ac:dyDescent="0.25">
      <c r="A470" s="295" t="s">
        <v>597</v>
      </c>
      <c r="B470" s="295">
        <v>2</v>
      </c>
      <c r="C470" s="295">
        <v>2</v>
      </c>
      <c r="D470" s="295" t="s">
        <v>579</v>
      </c>
      <c r="E470" s="295" t="s">
        <v>580</v>
      </c>
      <c r="F470" s="297">
        <v>16</v>
      </c>
      <c r="G470" s="295" t="s">
        <v>25</v>
      </c>
      <c r="H470" s="295">
        <v>1</v>
      </c>
      <c r="I470" s="296">
        <v>13201</v>
      </c>
      <c r="J470" s="295">
        <v>1</v>
      </c>
      <c r="K470" s="295">
        <v>19</v>
      </c>
      <c r="L470" s="295">
        <v>1</v>
      </c>
      <c r="M470" s="295">
        <v>4</v>
      </c>
      <c r="N470" s="295" t="s">
        <v>583</v>
      </c>
      <c r="O470" s="295">
        <v>13</v>
      </c>
      <c r="P470" s="300">
        <v>4510626</v>
      </c>
      <c r="Q470" s="298">
        <f>-663294-686290</f>
        <v>-1349584</v>
      </c>
      <c r="R470" s="298">
        <f t="shared" si="27"/>
        <v>3161042</v>
      </c>
      <c r="S470" s="298">
        <v>4522507.8999999994</v>
      </c>
      <c r="T470" s="298">
        <v>1622760.69</v>
      </c>
      <c r="U470" s="298">
        <v>1622760.69</v>
      </c>
      <c r="V470" s="298">
        <v>1612310.96</v>
      </c>
    </row>
    <row r="471" spans="1:22" s="299" customFormat="1" ht="15" customHeight="1" x14ac:dyDescent="0.25">
      <c r="A471" s="295" t="s">
        <v>597</v>
      </c>
      <c r="B471" s="295">
        <v>2</v>
      </c>
      <c r="C471" s="295">
        <v>2</v>
      </c>
      <c r="D471" s="295" t="s">
        <v>579</v>
      </c>
      <c r="E471" s="295" t="s">
        <v>580</v>
      </c>
      <c r="F471" s="297">
        <v>16</v>
      </c>
      <c r="G471" s="295" t="s">
        <v>25</v>
      </c>
      <c r="H471" s="295">
        <v>1</v>
      </c>
      <c r="I471" s="296">
        <v>13202</v>
      </c>
      <c r="J471" s="295">
        <v>1</v>
      </c>
      <c r="K471" s="295">
        <v>19</v>
      </c>
      <c r="L471" s="295">
        <v>1</v>
      </c>
      <c r="M471" s="295">
        <v>4</v>
      </c>
      <c r="N471" s="295" t="s">
        <v>583</v>
      </c>
      <c r="O471" s="297">
        <v>13</v>
      </c>
      <c r="P471" s="300">
        <v>1461537</v>
      </c>
      <c r="Q471" s="298">
        <v>267959</v>
      </c>
      <c r="R471" s="298">
        <f t="shared" si="27"/>
        <v>1729496</v>
      </c>
      <c r="S471" s="298">
        <v>1287937</v>
      </c>
      <c r="T471" s="298">
        <f>1664675.82-25995.51</f>
        <v>1638680.31</v>
      </c>
      <c r="U471" s="298">
        <f>1664675.82-25995.51</f>
        <v>1638680.31</v>
      </c>
      <c r="V471" s="298">
        <v>1508879.69</v>
      </c>
    </row>
    <row r="472" spans="1:22" s="299" customFormat="1" ht="15" customHeight="1" x14ac:dyDescent="0.25">
      <c r="A472" s="295" t="s">
        <v>597</v>
      </c>
      <c r="B472" s="295">
        <v>2</v>
      </c>
      <c r="C472" s="295">
        <v>2</v>
      </c>
      <c r="D472" s="295" t="s">
        <v>579</v>
      </c>
      <c r="E472" s="295" t="s">
        <v>580</v>
      </c>
      <c r="F472" s="297">
        <v>16</v>
      </c>
      <c r="G472" s="295" t="s">
        <v>25</v>
      </c>
      <c r="H472" s="295">
        <v>1</v>
      </c>
      <c r="I472" s="296">
        <v>13203</v>
      </c>
      <c r="J472" s="295">
        <v>1</v>
      </c>
      <c r="K472" s="295">
        <v>19</v>
      </c>
      <c r="L472" s="295">
        <v>1</v>
      </c>
      <c r="M472" s="295">
        <v>4</v>
      </c>
      <c r="N472" s="295" t="s">
        <v>583</v>
      </c>
      <c r="O472" s="295">
        <v>13</v>
      </c>
      <c r="P472" s="300">
        <v>81720</v>
      </c>
      <c r="Q472" s="298">
        <v>25050</v>
      </c>
      <c r="R472" s="298">
        <f t="shared" si="27"/>
        <v>106770</v>
      </c>
      <c r="S472" s="298">
        <f>80758.08+25995.51</f>
        <v>106753.59</v>
      </c>
      <c r="T472" s="298">
        <f>80758.08+25995.51</f>
        <v>106753.59</v>
      </c>
      <c r="U472" s="298">
        <v>80758.080000000002</v>
      </c>
      <c r="V472" s="298">
        <v>80758.080000000002</v>
      </c>
    </row>
    <row r="473" spans="1:22" s="299" customFormat="1" ht="15" customHeight="1" x14ac:dyDescent="0.25">
      <c r="A473" s="295" t="s">
        <v>597</v>
      </c>
      <c r="B473" s="295">
        <v>2</v>
      </c>
      <c r="C473" s="295">
        <v>2</v>
      </c>
      <c r="D473" s="295" t="s">
        <v>579</v>
      </c>
      <c r="E473" s="295" t="s">
        <v>580</v>
      </c>
      <c r="F473" s="297">
        <v>16</v>
      </c>
      <c r="G473" s="295" t="s">
        <v>25</v>
      </c>
      <c r="H473" s="295">
        <v>1</v>
      </c>
      <c r="I473" s="296">
        <v>13204</v>
      </c>
      <c r="J473" s="295">
        <v>1</v>
      </c>
      <c r="K473" s="295">
        <v>19</v>
      </c>
      <c r="L473" s="295">
        <v>1</v>
      </c>
      <c r="M473" s="295">
        <v>4</v>
      </c>
      <c r="N473" s="295" t="s">
        <v>583</v>
      </c>
      <c r="O473" s="297">
        <v>13</v>
      </c>
      <c r="P473" s="300">
        <v>77655</v>
      </c>
      <c r="Q473" s="298">
        <v>300</v>
      </c>
      <c r="R473" s="298">
        <f t="shared" si="27"/>
        <v>77955</v>
      </c>
      <c r="S473" s="298">
        <v>77955</v>
      </c>
      <c r="T473" s="298">
        <v>77898.429999999993</v>
      </c>
      <c r="U473" s="298">
        <v>77898.429999999993</v>
      </c>
      <c r="V473" s="298">
        <v>77898.429999999993</v>
      </c>
    </row>
    <row r="474" spans="1:22" s="299" customFormat="1" ht="15" customHeight="1" x14ac:dyDescent="0.25">
      <c r="A474" s="295" t="s">
        <v>597</v>
      </c>
      <c r="B474" s="295">
        <v>2</v>
      </c>
      <c r="C474" s="295">
        <v>2</v>
      </c>
      <c r="D474" s="295" t="s">
        <v>579</v>
      </c>
      <c r="E474" s="295" t="s">
        <v>580</v>
      </c>
      <c r="F474" s="297">
        <v>16</v>
      </c>
      <c r="G474" s="295" t="s">
        <v>25</v>
      </c>
      <c r="H474" s="295">
        <v>1</v>
      </c>
      <c r="I474" s="296">
        <v>13301</v>
      </c>
      <c r="J474" s="295">
        <v>1</v>
      </c>
      <c r="K474" s="295">
        <v>19</v>
      </c>
      <c r="L474" s="295">
        <v>1</v>
      </c>
      <c r="M474" s="295">
        <v>4</v>
      </c>
      <c r="N474" s="295" t="s">
        <v>583</v>
      </c>
      <c r="O474" s="295">
        <v>13</v>
      </c>
      <c r="P474" s="300">
        <v>1000000</v>
      </c>
      <c r="Q474" s="298">
        <v>3368209</v>
      </c>
      <c r="R474" s="298">
        <f t="shared" si="27"/>
        <v>4368209</v>
      </c>
      <c r="S474" s="298">
        <v>1000000</v>
      </c>
      <c r="T474" s="298">
        <v>4368209.45</v>
      </c>
      <c r="U474" s="298">
        <v>4368209.45</v>
      </c>
      <c r="V474" s="298">
        <v>4368209.45</v>
      </c>
    </row>
    <row r="475" spans="1:22" s="299" customFormat="1" ht="15" customHeight="1" x14ac:dyDescent="0.25">
      <c r="A475" s="295" t="s">
        <v>597</v>
      </c>
      <c r="B475" s="295">
        <v>2</v>
      </c>
      <c r="C475" s="295">
        <v>2</v>
      </c>
      <c r="D475" s="295" t="s">
        <v>579</v>
      </c>
      <c r="E475" s="295" t="s">
        <v>580</v>
      </c>
      <c r="F475" s="297">
        <v>16</v>
      </c>
      <c r="G475" s="295" t="s">
        <v>25</v>
      </c>
      <c r="H475" s="295">
        <v>1</v>
      </c>
      <c r="I475" s="296">
        <v>13403</v>
      </c>
      <c r="J475" s="295">
        <v>1</v>
      </c>
      <c r="K475" s="295">
        <v>19</v>
      </c>
      <c r="L475" s="295">
        <v>1</v>
      </c>
      <c r="M475" s="295">
        <v>4</v>
      </c>
      <c r="N475" s="295" t="s">
        <v>583</v>
      </c>
      <c r="O475" s="297">
        <v>13</v>
      </c>
      <c r="P475" s="300">
        <v>381599</v>
      </c>
      <c r="Q475" s="298">
        <v>0</v>
      </c>
      <c r="R475" s="298">
        <f t="shared" si="27"/>
        <v>381599</v>
      </c>
      <c r="S475" s="298">
        <v>381600</v>
      </c>
      <c r="T475" s="298">
        <v>117600</v>
      </c>
      <c r="U475" s="298">
        <v>117600</v>
      </c>
      <c r="V475" s="298">
        <v>117600</v>
      </c>
    </row>
    <row r="476" spans="1:22" s="299" customFormat="1" ht="15" customHeight="1" x14ac:dyDescent="0.25">
      <c r="A476" s="295" t="s">
        <v>597</v>
      </c>
      <c r="B476" s="295">
        <v>2</v>
      </c>
      <c r="C476" s="295">
        <v>2</v>
      </c>
      <c r="D476" s="295" t="s">
        <v>579</v>
      </c>
      <c r="E476" s="295" t="s">
        <v>580</v>
      </c>
      <c r="F476" s="297">
        <v>16</v>
      </c>
      <c r="G476" s="295" t="s">
        <v>25</v>
      </c>
      <c r="H476" s="295">
        <v>1</v>
      </c>
      <c r="I476" s="296">
        <v>14101</v>
      </c>
      <c r="J476" s="295">
        <v>1</v>
      </c>
      <c r="K476" s="295">
        <v>19</v>
      </c>
      <c r="L476" s="295">
        <v>1</v>
      </c>
      <c r="M476" s="295">
        <v>4</v>
      </c>
      <c r="N476" s="295" t="s">
        <v>583</v>
      </c>
      <c r="O476" s="297">
        <v>13</v>
      </c>
      <c r="P476" s="300"/>
      <c r="Q476" s="298">
        <v>225823</v>
      </c>
      <c r="R476" s="298">
        <f t="shared" si="27"/>
        <v>225823</v>
      </c>
      <c r="S476" s="298">
        <v>0</v>
      </c>
      <c r="T476" s="298">
        <v>225823.18</v>
      </c>
      <c r="U476" s="298">
        <v>225823.18</v>
      </c>
      <c r="V476" s="298">
        <v>0</v>
      </c>
    </row>
    <row r="477" spans="1:22" s="299" customFormat="1" ht="15" customHeight="1" x14ac:dyDescent="0.25">
      <c r="A477" s="295" t="s">
        <v>597</v>
      </c>
      <c r="B477" s="295">
        <v>2</v>
      </c>
      <c r="C477" s="295">
        <v>2</v>
      </c>
      <c r="D477" s="295" t="s">
        <v>579</v>
      </c>
      <c r="E477" s="295" t="s">
        <v>580</v>
      </c>
      <c r="F477" s="297">
        <v>16</v>
      </c>
      <c r="G477" s="295" t="s">
        <v>25</v>
      </c>
      <c r="H477" s="295">
        <v>1</v>
      </c>
      <c r="I477" s="296">
        <v>14106</v>
      </c>
      <c r="J477" s="295">
        <v>1</v>
      </c>
      <c r="K477" s="295">
        <v>19</v>
      </c>
      <c r="L477" s="295">
        <v>1</v>
      </c>
      <c r="M477" s="295">
        <v>4</v>
      </c>
      <c r="N477" s="295" t="s">
        <v>583</v>
      </c>
      <c r="O477" s="295">
        <v>13</v>
      </c>
      <c r="P477" s="300">
        <v>18655906.52</v>
      </c>
      <c r="Q477" s="298">
        <f>-1733602+2810000-1700</f>
        <v>1074698</v>
      </c>
      <c r="R477" s="298">
        <f t="shared" si="27"/>
        <v>19730604.52</v>
      </c>
      <c r="S477" s="298">
        <v>18655906.52</v>
      </c>
      <c r="T477" s="298">
        <v>19779211.310000002</v>
      </c>
      <c r="U477" s="298">
        <v>19779211.310000002</v>
      </c>
      <c r="V477" s="298">
        <f>17233266.8+172119.51</f>
        <v>17405386.310000002</v>
      </c>
    </row>
    <row r="478" spans="1:22" s="299" customFormat="1" ht="15" customHeight="1" x14ac:dyDescent="0.25">
      <c r="A478" s="295" t="s">
        <v>597</v>
      </c>
      <c r="B478" s="295">
        <v>2</v>
      </c>
      <c r="C478" s="295">
        <v>2</v>
      </c>
      <c r="D478" s="295" t="s">
        <v>579</v>
      </c>
      <c r="E478" s="295" t="s">
        <v>580</v>
      </c>
      <c r="F478" s="297">
        <v>16</v>
      </c>
      <c r="G478" s="295" t="s">
        <v>25</v>
      </c>
      <c r="H478" s="295">
        <v>1</v>
      </c>
      <c r="I478" s="296">
        <v>14109</v>
      </c>
      <c r="J478" s="295">
        <v>1</v>
      </c>
      <c r="K478" s="295">
        <v>19</v>
      </c>
      <c r="L478" s="295">
        <v>1</v>
      </c>
      <c r="M478" s="295">
        <v>4</v>
      </c>
      <c r="N478" s="295" t="s">
        <v>583</v>
      </c>
      <c r="O478" s="297">
        <v>13</v>
      </c>
      <c r="P478" s="300">
        <v>3242732.91</v>
      </c>
      <c r="Q478" s="298">
        <v>0</v>
      </c>
      <c r="R478" s="298">
        <f t="shared" si="27"/>
        <v>3242732.91</v>
      </c>
      <c r="S478" s="298">
        <v>3242732.91</v>
      </c>
      <c r="T478" s="298">
        <v>2817144.13</v>
      </c>
      <c r="U478" s="298">
        <v>2817144.13</v>
      </c>
      <c r="V478" s="298">
        <v>2494522.09</v>
      </c>
    </row>
    <row r="479" spans="1:22" s="299" customFormat="1" ht="15" customHeight="1" x14ac:dyDescent="0.25">
      <c r="A479" s="295" t="s">
        <v>597</v>
      </c>
      <c r="B479" s="295">
        <v>2</v>
      </c>
      <c r="C479" s="295">
        <v>2</v>
      </c>
      <c r="D479" s="295" t="s">
        <v>579</v>
      </c>
      <c r="E479" s="295" t="s">
        <v>580</v>
      </c>
      <c r="F479" s="297">
        <v>16</v>
      </c>
      <c r="G479" s="295" t="s">
        <v>25</v>
      </c>
      <c r="H479" s="295">
        <v>1</v>
      </c>
      <c r="I479" s="296">
        <v>14303</v>
      </c>
      <c r="J479" s="295">
        <v>1</v>
      </c>
      <c r="K479" s="295">
        <v>19</v>
      </c>
      <c r="L479" s="295">
        <v>1</v>
      </c>
      <c r="M479" s="295">
        <v>4</v>
      </c>
      <c r="N479" s="295" t="s">
        <v>583</v>
      </c>
      <c r="O479" s="295">
        <v>13</v>
      </c>
      <c r="P479" s="300">
        <v>0</v>
      </c>
      <c r="Q479" s="298">
        <v>13364</v>
      </c>
      <c r="R479" s="298">
        <f t="shared" si="27"/>
        <v>13364</v>
      </c>
      <c r="S479" s="298">
        <v>0</v>
      </c>
      <c r="T479" s="298">
        <v>0</v>
      </c>
      <c r="U479" s="298">
        <v>0</v>
      </c>
      <c r="V479" s="298">
        <v>0</v>
      </c>
    </row>
    <row r="480" spans="1:22" s="299" customFormat="1" ht="15" customHeight="1" x14ac:dyDescent="0.25">
      <c r="A480" s="295" t="s">
        <v>597</v>
      </c>
      <c r="B480" s="295">
        <v>2</v>
      </c>
      <c r="C480" s="295">
        <v>2</v>
      </c>
      <c r="D480" s="295" t="s">
        <v>579</v>
      </c>
      <c r="E480" s="295" t="s">
        <v>580</v>
      </c>
      <c r="F480" s="297">
        <v>16</v>
      </c>
      <c r="G480" s="295" t="s">
        <v>25</v>
      </c>
      <c r="H480" s="295">
        <v>1</v>
      </c>
      <c r="I480" s="296">
        <v>14403</v>
      </c>
      <c r="J480" s="295">
        <v>1</v>
      </c>
      <c r="K480" s="295">
        <v>19</v>
      </c>
      <c r="L480" s="295">
        <v>1</v>
      </c>
      <c r="M480" s="295">
        <v>4</v>
      </c>
      <c r="N480" s="295" t="s">
        <v>583</v>
      </c>
      <c r="O480" s="295">
        <v>13</v>
      </c>
      <c r="P480" s="300">
        <v>2243490.7999999998</v>
      </c>
      <c r="Q480" s="298">
        <v>82639</v>
      </c>
      <c r="R480" s="298">
        <f t="shared" si="27"/>
        <v>2326129.7999999998</v>
      </c>
      <c r="S480" s="298">
        <v>2286812.7999999998</v>
      </c>
      <c r="T480" s="298">
        <f>2294202.27-699653.27</f>
        <v>1594549</v>
      </c>
      <c r="U480" s="298">
        <v>2294202.27</v>
      </c>
      <c r="V480" s="298">
        <v>2221678</v>
      </c>
    </row>
    <row r="481" spans="1:22" s="299" customFormat="1" ht="15" customHeight="1" x14ac:dyDescent="0.25">
      <c r="A481" s="295" t="s">
        <v>597</v>
      </c>
      <c r="B481" s="295">
        <v>2</v>
      </c>
      <c r="C481" s="295">
        <v>2</v>
      </c>
      <c r="D481" s="295" t="s">
        <v>579</v>
      </c>
      <c r="E481" s="295" t="s">
        <v>580</v>
      </c>
      <c r="F481" s="297">
        <v>16</v>
      </c>
      <c r="G481" s="295" t="s">
        <v>25</v>
      </c>
      <c r="H481" s="295">
        <v>1</v>
      </c>
      <c r="I481" s="296">
        <v>15101</v>
      </c>
      <c r="J481" s="295">
        <v>1</v>
      </c>
      <c r="K481" s="295">
        <v>19</v>
      </c>
      <c r="L481" s="295">
        <v>1</v>
      </c>
      <c r="M481" s="295">
        <v>4</v>
      </c>
      <c r="N481" s="295" t="s">
        <v>583</v>
      </c>
      <c r="O481" s="297">
        <v>13</v>
      </c>
      <c r="P481" s="300">
        <v>5896839.7800000003</v>
      </c>
      <c r="Q481" s="298">
        <v>408921</v>
      </c>
      <c r="R481" s="298">
        <f t="shared" si="27"/>
        <v>6305760.7800000003</v>
      </c>
      <c r="S481" s="298">
        <v>5896839.7800000003</v>
      </c>
      <c r="T481" s="298">
        <v>6062598.1399999997</v>
      </c>
      <c r="U481" s="298">
        <v>6062598.1399999997</v>
      </c>
      <c r="V481" s="298">
        <v>5989010.3799999999</v>
      </c>
    </row>
    <row r="482" spans="1:22" s="299" customFormat="1" ht="15" customHeight="1" x14ac:dyDescent="0.25">
      <c r="A482" s="295" t="s">
        <v>597</v>
      </c>
      <c r="B482" s="295">
        <v>2</v>
      </c>
      <c r="C482" s="295">
        <v>2</v>
      </c>
      <c r="D482" s="295" t="s">
        <v>579</v>
      </c>
      <c r="E482" s="295" t="s">
        <v>580</v>
      </c>
      <c r="F482" s="297">
        <v>16</v>
      </c>
      <c r="G482" s="295" t="s">
        <v>25</v>
      </c>
      <c r="H482" s="295">
        <v>1</v>
      </c>
      <c r="I482" s="296">
        <v>15201</v>
      </c>
      <c r="J482" s="295">
        <v>1</v>
      </c>
      <c r="K482" s="295">
        <v>19</v>
      </c>
      <c r="L482" s="295">
        <v>1</v>
      </c>
      <c r="M482" s="295">
        <v>4</v>
      </c>
      <c r="N482" s="295" t="s">
        <v>583</v>
      </c>
      <c r="O482" s="295">
        <v>13</v>
      </c>
      <c r="P482" s="300">
        <v>95891</v>
      </c>
      <c r="Q482" s="298">
        <v>0</v>
      </c>
      <c r="R482" s="298">
        <f t="shared" si="27"/>
        <v>95891</v>
      </c>
      <c r="S482" s="298">
        <v>95891</v>
      </c>
      <c r="T482" s="298">
        <v>28750</v>
      </c>
      <c r="U482" s="298">
        <v>28750</v>
      </c>
      <c r="V482" s="298">
        <v>28750</v>
      </c>
    </row>
    <row r="483" spans="1:22" s="299" customFormat="1" ht="15" customHeight="1" x14ac:dyDescent="0.25">
      <c r="A483" s="295" t="s">
        <v>597</v>
      </c>
      <c r="B483" s="295">
        <v>2</v>
      </c>
      <c r="C483" s="295">
        <v>2</v>
      </c>
      <c r="D483" s="295" t="s">
        <v>579</v>
      </c>
      <c r="E483" s="295" t="s">
        <v>580</v>
      </c>
      <c r="F483" s="297">
        <v>16</v>
      </c>
      <c r="G483" s="295" t="s">
        <v>25</v>
      </c>
      <c r="H483" s="295">
        <v>1</v>
      </c>
      <c r="I483" s="296">
        <v>15202</v>
      </c>
      <c r="J483" s="295">
        <v>1</v>
      </c>
      <c r="K483" s="295">
        <v>19</v>
      </c>
      <c r="L483" s="295">
        <v>1</v>
      </c>
      <c r="M483" s="295">
        <v>4</v>
      </c>
      <c r="N483" s="295" t="s">
        <v>583</v>
      </c>
      <c r="O483" s="297">
        <v>13</v>
      </c>
      <c r="P483" s="300">
        <v>3911</v>
      </c>
      <c r="Q483" s="298">
        <f>1217490-320050</f>
        <v>897440</v>
      </c>
      <c r="R483" s="298">
        <f t="shared" si="27"/>
        <v>901351</v>
      </c>
      <c r="S483" s="298">
        <v>3911</v>
      </c>
      <c r="T483" s="298">
        <v>1221401.43</v>
      </c>
      <c r="U483" s="298">
        <v>1221401.43</v>
      </c>
      <c r="V483" s="298">
        <v>1221401.43</v>
      </c>
    </row>
    <row r="484" spans="1:22" s="299" customFormat="1" ht="15" customHeight="1" x14ac:dyDescent="0.25">
      <c r="A484" s="295" t="s">
        <v>597</v>
      </c>
      <c r="B484" s="295">
        <v>2</v>
      </c>
      <c r="C484" s="295">
        <v>2</v>
      </c>
      <c r="D484" s="295" t="s">
        <v>579</v>
      </c>
      <c r="E484" s="295" t="s">
        <v>580</v>
      </c>
      <c r="F484" s="297">
        <v>16</v>
      </c>
      <c r="G484" s="295" t="s">
        <v>25</v>
      </c>
      <c r="H484" s="295">
        <v>1</v>
      </c>
      <c r="I484" s="296">
        <v>15409</v>
      </c>
      <c r="J484" s="295">
        <v>1</v>
      </c>
      <c r="K484" s="295">
        <v>19</v>
      </c>
      <c r="L484" s="295">
        <v>1</v>
      </c>
      <c r="M484" s="295">
        <v>4</v>
      </c>
      <c r="N484" s="295" t="s">
        <v>583</v>
      </c>
      <c r="O484" s="295">
        <v>13</v>
      </c>
      <c r="P484" s="300">
        <v>2387702</v>
      </c>
      <c r="Q484" s="298">
        <v>178774</v>
      </c>
      <c r="R484" s="298">
        <f t="shared" si="27"/>
        <v>2566476</v>
      </c>
      <c r="S484" s="298">
        <v>2387702</v>
      </c>
      <c r="T484" s="298">
        <v>2566475.89</v>
      </c>
      <c r="U484" s="298">
        <v>2566475.89</v>
      </c>
      <c r="V484" s="298">
        <v>2566475.89</v>
      </c>
    </row>
    <row r="485" spans="1:22" s="299" customFormat="1" ht="15" customHeight="1" x14ac:dyDescent="0.25">
      <c r="A485" s="295" t="s">
        <v>597</v>
      </c>
      <c r="B485" s="295">
        <v>2</v>
      </c>
      <c r="C485" s="295">
        <v>2</v>
      </c>
      <c r="D485" s="295" t="s">
        <v>579</v>
      </c>
      <c r="E485" s="295" t="s">
        <v>580</v>
      </c>
      <c r="F485" s="297">
        <v>16</v>
      </c>
      <c r="G485" s="295" t="s">
        <v>25</v>
      </c>
      <c r="H485" s="295">
        <v>1</v>
      </c>
      <c r="I485" s="296">
        <v>15419</v>
      </c>
      <c r="J485" s="295">
        <v>1</v>
      </c>
      <c r="K485" s="295">
        <v>19</v>
      </c>
      <c r="L485" s="295">
        <v>1</v>
      </c>
      <c r="M485" s="295">
        <v>4</v>
      </c>
      <c r="N485" s="295" t="s">
        <v>583</v>
      </c>
      <c r="O485" s="297">
        <v>13</v>
      </c>
      <c r="P485" s="300">
        <v>414633</v>
      </c>
      <c r="Q485" s="298">
        <v>510565</v>
      </c>
      <c r="R485" s="298">
        <f t="shared" si="27"/>
        <v>925198</v>
      </c>
      <c r="S485" s="298">
        <v>414633</v>
      </c>
      <c r="T485" s="298">
        <v>925198</v>
      </c>
      <c r="U485" s="298">
        <v>925198</v>
      </c>
      <c r="V485" s="298">
        <v>925198</v>
      </c>
    </row>
    <row r="486" spans="1:22" s="299" customFormat="1" ht="15" customHeight="1" x14ac:dyDescent="0.25">
      <c r="A486" s="295" t="s">
        <v>597</v>
      </c>
      <c r="B486" s="295">
        <v>2</v>
      </c>
      <c r="C486" s="295">
        <v>2</v>
      </c>
      <c r="D486" s="295" t="s">
        <v>579</v>
      </c>
      <c r="E486" s="295" t="s">
        <v>580</v>
      </c>
      <c r="F486" s="297">
        <v>16</v>
      </c>
      <c r="G486" s="295" t="s">
        <v>25</v>
      </c>
      <c r="H486" s="295">
        <v>1</v>
      </c>
      <c r="I486" s="296">
        <v>15901</v>
      </c>
      <c r="J486" s="295">
        <v>1</v>
      </c>
      <c r="K486" s="295">
        <v>19</v>
      </c>
      <c r="L486" s="295">
        <v>1</v>
      </c>
      <c r="M486" s="295">
        <v>4</v>
      </c>
      <c r="N486" s="295" t="s">
        <v>583</v>
      </c>
      <c r="O486" s="295">
        <v>13</v>
      </c>
      <c r="P486" s="300">
        <v>18480462.870000001</v>
      </c>
      <c r="Q486" s="298">
        <v>677120</v>
      </c>
      <c r="R486" s="298">
        <f t="shared" si="27"/>
        <v>19157582.870000001</v>
      </c>
      <c r="S486" s="298">
        <v>18577762.870000001</v>
      </c>
      <c r="T486" s="298">
        <v>18036950.105</v>
      </c>
      <c r="U486" s="298">
        <v>18036950.109999999</v>
      </c>
      <c r="V486" s="298">
        <v>18036950.109999999</v>
      </c>
    </row>
    <row r="487" spans="1:22" s="299" customFormat="1" ht="15" customHeight="1" x14ac:dyDescent="0.25">
      <c r="A487" s="295" t="s">
        <v>597</v>
      </c>
      <c r="B487" s="295">
        <v>2</v>
      </c>
      <c r="C487" s="295">
        <v>2</v>
      </c>
      <c r="D487" s="295" t="s">
        <v>579</v>
      </c>
      <c r="E487" s="295" t="s">
        <v>580</v>
      </c>
      <c r="F487" s="297">
        <v>16</v>
      </c>
      <c r="G487" s="295" t="s">
        <v>25</v>
      </c>
      <c r="H487" s="295">
        <v>1</v>
      </c>
      <c r="I487" s="296">
        <v>17104</v>
      </c>
      <c r="J487" s="295">
        <v>1</v>
      </c>
      <c r="K487" s="295">
        <v>19</v>
      </c>
      <c r="L487" s="295">
        <v>1</v>
      </c>
      <c r="M487" s="295">
        <v>4</v>
      </c>
      <c r="N487" s="295" t="s">
        <v>583</v>
      </c>
      <c r="O487" s="297">
        <v>13</v>
      </c>
      <c r="P487" s="300">
        <v>397403</v>
      </c>
      <c r="Q487" s="298">
        <v>84117</v>
      </c>
      <c r="R487" s="298">
        <f t="shared" si="27"/>
        <v>481520</v>
      </c>
      <c r="S487" s="298">
        <v>401528</v>
      </c>
      <c r="T487" s="298">
        <v>481520</v>
      </c>
      <c r="U487" s="298">
        <v>481520</v>
      </c>
      <c r="V487" s="298">
        <v>333075</v>
      </c>
    </row>
    <row r="488" spans="1:22" s="299" customFormat="1" ht="15" customHeight="1" x14ac:dyDescent="0.25">
      <c r="A488" s="295" t="s">
        <v>597</v>
      </c>
      <c r="B488" s="295">
        <v>2</v>
      </c>
      <c r="C488" s="295">
        <v>2</v>
      </c>
      <c r="D488" s="295" t="s">
        <v>579</v>
      </c>
      <c r="E488" s="295" t="s">
        <v>580</v>
      </c>
      <c r="F488" s="297">
        <v>16</v>
      </c>
      <c r="G488" s="295" t="s">
        <v>25</v>
      </c>
      <c r="H488" s="295">
        <v>1</v>
      </c>
      <c r="I488" s="296">
        <v>21101</v>
      </c>
      <c r="J488" s="295">
        <v>1</v>
      </c>
      <c r="K488" s="295">
        <v>19</v>
      </c>
      <c r="L488" s="295">
        <v>1</v>
      </c>
      <c r="M488" s="295">
        <v>4</v>
      </c>
      <c r="N488" s="295" t="s">
        <v>583</v>
      </c>
      <c r="O488" s="295">
        <v>13</v>
      </c>
      <c r="P488" s="300">
        <v>868774.22</v>
      </c>
      <c r="Q488" s="298">
        <f>17086+22985.22</f>
        <v>40071.22</v>
      </c>
      <c r="R488" s="298">
        <f t="shared" si="27"/>
        <v>908845.44</v>
      </c>
      <c r="S488" s="298">
        <v>944554.01</v>
      </c>
      <c r="T488" s="298">
        <v>393957.36</v>
      </c>
      <c r="U488" s="298">
        <v>393957.36</v>
      </c>
      <c r="V488" s="298">
        <v>388936.47</v>
      </c>
    </row>
    <row r="489" spans="1:22" s="299" customFormat="1" ht="15" customHeight="1" x14ac:dyDescent="0.25">
      <c r="A489" s="295" t="s">
        <v>597</v>
      </c>
      <c r="B489" s="295">
        <v>2</v>
      </c>
      <c r="C489" s="295">
        <v>2</v>
      </c>
      <c r="D489" s="295" t="s">
        <v>579</v>
      </c>
      <c r="E489" s="295" t="s">
        <v>580</v>
      </c>
      <c r="F489" s="297">
        <v>16</v>
      </c>
      <c r="G489" s="295" t="s">
        <v>25</v>
      </c>
      <c r="H489" s="295">
        <v>1</v>
      </c>
      <c r="I489" s="296">
        <v>21201</v>
      </c>
      <c r="J489" s="295">
        <v>1</v>
      </c>
      <c r="K489" s="295">
        <v>19</v>
      </c>
      <c r="L489" s="295">
        <v>1</v>
      </c>
      <c r="M489" s="295">
        <v>4</v>
      </c>
      <c r="N489" s="295" t="s">
        <v>583</v>
      </c>
      <c r="O489" s="297">
        <v>13</v>
      </c>
      <c r="P489" s="300">
        <v>201280.47</v>
      </c>
      <c r="Q489" s="298">
        <v>-67104.87</v>
      </c>
      <c r="R489" s="298">
        <f t="shared" si="27"/>
        <v>134175.6</v>
      </c>
      <c r="S489" s="298">
        <v>24286.989999999998</v>
      </c>
      <c r="T489" s="298">
        <v>24286.989999999998</v>
      </c>
      <c r="U489" s="298">
        <v>24286.989999999998</v>
      </c>
      <c r="V489" s="298">
        <v>21926.980000000003</v>
      </c>
    </row>
    <row r="490" spans="1:22" s="299" customFormat="1" ht="15" customHeight="1" x14ac:dyDescent="0.25">
      <c r="A490" s="295" t="s">
        <v>597</v>
      </c>
      <c r="B490" s="295">
        <v>2</v>
      </c>
      <c r="C490" s="295">
        <v>2</v>
      </c>
      <c r="D490" s="295" t="s">
        <v>579</v>
      </c>
      <c r="E490" s="295" t="s">
        <v>580</v>
      </c>
      <c r="F490" s="297">
        <v>16</v>
      </c>
      <c r="G490" s="295" t="s">
        <v>25</v>
      </c>
      <c r="H490" s="295">
        <v>1</v>
      </c>
      <c r="I490" s="296">
        <v>21401</v>
      </c>
      <c r="J490" s="295">
        <v>1</v>
      </c>
      <c r="K490" s="295">
        <v>19</v>
      </c>
      <c r="L490" s="295">
        <v>1</v>
      </c>
      <c r="M490" s="295">
        <v>4</v>
      </c>
      <c r="N490" s="295" t="s">
        <v>583</v>
      </c>
      <c r="O490" s="295">
        <v>13</v>
      </c>
      <c r="P490" s="300">
        <v>304926.63</v>
      </c>
      <c r="Q490" s="298">
        <v>-7079</v>
      </c>
      <c r="R490" s="298">
        <f t="shared" si="27"/>
        <v>297847.63</v>
      </c>
      <c r="S490" s="298">
        <v>264640.46999999997</v>
      </c>
      <c r="T490" s="298">
        <v>179263.31</v>
      </c>
      <c r="U490" s="298">
        <v>179263.31</v>
      </c>
      <c r="V490" s="298">
        <v>133199.78999999998</v>
      </c>
    </row>
    <row r="491" spans="1:22" s="299" customFormat="1" ht="15" customHeight="1" x14ac:dyDescent="0.25">
      <c r="A491" s="295" t="s">
        <v>597</v>
      </c>
      <c r="B491" s="295">
        <v>2</v>
      </c>
      <c r="C491" s="295">
        <v>2</v>
      </c>
      <c r="D491" s="295" t="s">
        <v>579</v>
      </c>
      <c r="E491" s="295" t="s">
        <v>580</v>
      </c>
      <c r="F491" s="297">
        <v>16</v>
      </c>
      <c r="G491" s="295" t="s">
        <v>25</v>
      </c>
      <c r="H491" s="295">
        <v>1</v>
      </c>
      <c r="I491" s="296">
        <v>21601</v>
      </c>
      <c r="J491" s="295">
        <v>1</v>
      </c>
      <c r="K491" s="295">
        <v>19</v>
      </c>
      <c r="L491" s="295">
        <v>1</v>
      </c>
      <c r="M491" s="295">
        <v>4</v>
      </c>
      <c r="N491" s="295" t="s">
        <v>583</v>
      </c>
      <c r="O491" s="297">
        <v>13</v>
      </c>
      <c r="P491" s="300">
        <v>178577.69</v>
      </c>
      <c r="Q491" s="298">
        <v>349</v>
      </c>
      <c r="R491" s="298">
        <f t="shared" si="27"/>
        <v>178926.69</v>
      </c>
      <c r="S491" s="298">
        <v>141006.46</v>
      </c>
      <c r="T491" s="298">
        <v>141006.46</v>
      </c>
      <c r="U491" s="298">
        <v>141006.46</v>
      </c>
      <c r="V491" s="298">
        <v>125570.17000000001</v>
      </c>
    </row>
    <row r="492" spans="1:22" s="299" customFormat="1" ht="15" customHeight="1" x14ac:dyDescent="0.25">
      <c r="A492" s="295" t="s">
        <v>597</v>
      </c>
      <c r="B492" s="295">
        <v>2</v>
      </c>
      <c r="C492" s="295">
        <v>2</v>
      </c>
      <c r="D492" s="295" t="s">
        <v>579</v>
      </c>
      <c r="E492" s="295" t="s">
        <v>580</v>
      </c>
      <c r="F492" s="297">
        <v>16</v>
      </c>
      <c r="G492" s="295" t="s">
        <v>25</v>
      </c>
      <c r="H492" s="295">
        <v>1</v>
      </c>
      <c r="I492" s="296">
        <v>21801</v>
      </c>
      <c r="J492" s="295">
        <v>1</v>
      </c>
      <c r="K492" s="295">
        <v>19</v>
      </c>
      <c r="L492" s="295">
        <v>1</v>
      </c>
      <c r="M492" s="295">
        <v>4</v>
      </c>
      <c r="N492" s="295" t="s">
        <v>583</v>
      </c>
      <c r="O492" s="295">
        <v>13</v>
      </c>
      <c r="P492" s="300">
        <v>185198.77</v>
      </c>
      <c r="Q492" s="298">
        <v>22888</v>
      </c>
      <c r="R492" s="298">
        <f t="shared" si="27"/>
        <v>208086.77</v>
      </c>
      <c r="S492" s="298">
        <v>202636</v>
      </c>
      <c r="T492" s="298">
        <v>202636</v>
      </c>
      <c r="U492" s="298">
        <v>202636</v>
      </c>
      <c r="V492" s="298">
        <v>202636</v>
      </c>
    </row>
    <row r="493" spans="1:22" s="299" customFormat="1" ht="15" customHeight="1" x14ac:dyDescent="0.25">
      <c r="A493" s="295" t="s">
        <v>597</v>
      </c>
      <c r="B493" s="295">
        <v>2</v>
      </c>
      <c r="C493" s="295">
        <v>2</v>
      </c>
      <c r="D493" s="295" t="s">
        <v>579</v>
      </c>
      <c r="E493" s="295" t="s">
        <v>580</v>
      </c>
      <c r="F493" s="297">
        <v>16</v>
      </c>
      <c r="G493" s="295" t="s">
        <v>25</v>
      </c>
      <c r="H493" s="295">
        <v>1</v>
      </c>
      <c r="I493" s="296">
        <v>22101</v>
      </c>
      <c r="J493" s="295">
        <v>1</v>
      </c>
      <c r="K493" s="295">
        <v>19</v>
      </c>
      <c r="L493" s="295">
        <v>1</v>
      </c>
      <c r="M493" s="295">
        <v>4</v>
      </c>
      <c r="N493" s="295" t="s">
        <v>583</v>
      </c>
      <c r="O493" s="297">
        <v>13</v>
      </c>
      <c r="P493" s="300">
        <v>199830</v>
      </c>
      <c r="Q493" s="298">
        <v>99346</v>
      </c>
      <c r="R493" s="298">
        <f t="shared" si="27"/>
        <v>299176</v>
      </c>
      <c r="S493" s="298">
        <v>271330.16000000003</v>
      </c>
      <c r="T493" s="298">
        <v>271330.16000000003</v>
      </c>
      <c r="U493" s="298">
        <v>271330.16000000003</v>
      </c>
      <c r="V493" s="298">
        <v>252498.17000000004</v>
      </c>
    </row>
    <row r="494" spans="1:22" s="299" customFormat="1" ht="15" customHeight="1" x14ac:dyDescent="0.25">
      <c r="A494" s="295" t="s">
        <v>597</v>
      </c>
      <c r="B494" s="295">
        <v>2</v>
      </c>
      <c r="C494" s="295">
        <v>2</v>
      </c>
      <c r="D494" s="295" t="s">
        <v>579</v>
      </c>
      <c r="E494" s="295" t="s">
        <v>580</v>
      </c>
      <c r="F494" s="297">
        <v>16</v>
      </c>
      <c r="G494" s="295" t="s">
        <v>25</v>
      </c>
      <c r="H494" s="295">
        <v>1</v>
      </c>
      <c r="I494" s="296">
        <v>22106</v>
      </c>
      <c r="J494" s="295">
        <v>1</v>
      </c>
      <c r="K494" s="295">
        <v>19</v>
      </c>
      <c r="L494" s="295">
        <v>1</v>
      </c>
      <c r="M494" s="295">
        <v>4</v>
      </c>
      <c r="N494" s="295" t="s">
        <v>583</v>
      </c>
      <c r="O494" s="295">
        <v>13</v>
      </c>
      <c r="P494" s="300">
        <v>157200</v>
      </c>
      <c r="Q494" s="298">
        <v>35027</v>
      </c>
      <c r="R494" s="298">
        <f t="shared" si="27"/>
        <v>192227</v>
      </c>
      <c r="S494" s="298">
        <v>179212.5</v>
      </c>
      <c r="T494" s="298">
        <v>179212.5</v>
      </c>
      <c r="U494" s="298">
        <v>179212.5</v>
      </c>
      <c r="V494" s="298">
        <v>94524.5</v>
      </c>
    </row>
    <row r="495" spans="1:22" s="299" customFormat="1" ht="15" customHeight="1" x14ac:dyDescent="0.25">
      <c r="A495" s="295" t="s">
        <v>597</v>
      </c>
      <c r="B495" s="295">
        <v>2</v>
      </c>
      <c r="C495" s="295">
        <v>2</v>
      </c>
      <c r="D495" s="295" t="s">
        <v>579</v>
      </c>
      <c r="E495" s="295" t="s">
        <v>580</v>
      </c>
      <c r="F495" s="297">
        <v>16</v>
      </c>
      <c r="G495" s="295" t="s">
        <v>25</v>
      </c>
      <c r="H495" s="295">
        <v>1</v>
      </c>
      <c r="I495" s="296">
        <v>22301</v>
      </c>
      <c r="J495" s="295">
        <v>1</v>
      </c>
      <c r="K495" s="295">
        <v>19</v>
      </c>
      <c r="L495" s="295">
        <v>1</v>
      </c>
      <c r="M495" s="295">
        <v>4</v>
      </c>
      <c r="N495" s="295" t="s">
        <v>583</v>
      </c>
      <c r="O495" s="297">
        <v>13</v>
      </c>
      <c r="P495" s="300">
        <v>0</v>
      </c>
      <c r="Q495" s="298">
        <v>670</v>
      </c>
      <c r="R495" s="298">
        <f t="shared" si="27"/>
        <v>670</v>
      </c>
      <c r="S495" s="298">
        <v>670.19</v>
      </c>
      <c r="T495" s="298">
        <v>670.19</v>
      </c>
      <c r="U495" s="298">
        <v>670.19</v>
      </c>
      <c r="V495" s="298">
        <v>670.19</v>
      </c>
    </row>
    <row r="496" spans="1:22" s="299" customFormat="1" ht="15" customHeight="1" x14ac:dyDescent="0.25">
      <c r="A496" s="295" t="s">
        <v>597</v>
      </c>
      <c r="B496" s="295">
        <v>2</v>
      </c>
      <c r="C496" s="295">
        <v>2</v>
      </c>
      <c r="D496" s="295" t="s">
        <v>579</v>
      </c>
      <c r="E496" s="295" t="s">
        <v>580</v>
      </c>
      <c r="F496" s="297">
        <v>16</v>
      </c>
      <c r="G496" s="295" t="s">
        <v>25</v>
      </c>
      <c r="H496" s="295">
        <v>1</v>
      </c>
      <c r="I496" s="296">
        <v>23901</v>
      </c>
      <c r="J496" s="295">
        <v>1</v>
      </c>
      <c r="K496" s="295">
        <v>19</v>
      </c>
      <c r="L496" s="295">
        <v>1</v>
      </c>
      <c r="M496" s="295">
        <v>4</v>
      </c>
      <c r="N496" s="295" t="s">
        <v>583</v>
      </c>
      <c r="O496" s="295">
        <v>13</v>
      </c>
      <c r="P496" s="300">
        <v>6160974.3700000001</v>
      </c>
      <c r="Q496" s="298">
        <v>403899</v>
      </c>
      <c r="R496" s="298">
        <f t="shared" si="27"/>
        <v>6564873.3700000001</v>
      </c>
      <c r="S496" s="298">
        <v>7316421.6699999999</v>
      </c>
      <c r="T496" s="298">
        <v>6251586.1799999997</v>
      </c>
      <c r="U496" s="298">
        <v>6251586.1799999997</v>
      </c>
      <c r="V496" s="298">
        <v>4495655.9400000004</v>
      </c>
    </row>
    <row r="497" spans="1:22" s="299" customFormat="1" ht="15" customHeight="1" x14ac:dyDescent="0.25">
      <c r="A497" s="295" t="s">
        <v>597</v>
      </c>
      <c r="B497" s="295">
        <v>2</v>
      </c>
      <c r="C497" s="295">
        <v>2</v>
      </c>
      <c r="D497" s="295" t="s">
        <v>579</v>
      </c>
      <c r="E497" s="295" t="s">
        <v>580</v>
      </c>
      <c r="F497" s="297">
        <v>16</v>
      </c>
      <c r="G497" s="295" t="s">
        <v>25</v>
      </c>
      <c r="H497" s="295">
        <v>1</v>
      </c>
      <c r="I497" s="296">
        <v>24201</v>
      </c>
      <c r="J497" s="295">
        <v>1</v>
      </c>
      <c r="K497" s="295">
        <v>19</v>
      </c>
      <c r="L497" s="295">
        <v>1</v>
      </c>
      <c r="M497" s="295">
        <v>4</v>
      </c>
      <c r="N497" s="295" t="s">
        <v>583</v>
      </c>
      <c r="O497" s="297">
        <v>13</v>
      </c>
      <c r="P497" s="300">
        <v>129292</v>
      </c>
      <c r="Q497" s="298">
        <v>-35918</v>
      </c>
      <c r="R497" s="298">
        <f t="shared" si="27"/>
        <v>93374</v>
      </c>
      <c r="S497" s="298">
        <v>83534.64</v>
      </c>
      <c r="T497" s="298">
        <v>83534.64</v>
      </c>
      <c r="U497" s="298">
        <v>83534.64</v>
      </c>
      <c r="V497" s="298">
        <v>77655.960000000006</v>
      </c>
    </row>
    <row r="498" spans="1:22" s="299" customFormat="1" ht="15" customHeight="1" x14ac:dyDescent="0.25">
      <c r="A498" s="295" t="s">
        <v>597</v>
      </c>
      <c r="B498" s="295">
        <v>2</v>
      </c>
      <c r="C498" s="295">
        <v>2</v>
      </c>
      <c r="D498" s="295" t="s">
        <v>579</v>
      </c>
      <c r="E498" s="295" t="s">
        <v>580</v>
      </c>
      <c r="F498" s="297">
        <v>16</v>
      </c>
      <c r="G498" s="295" t="s">
        <v>25</v>
      </c>
      <c r="H498" s="295">
        <v>1</v>
      </c>
      <c r="I498" s="296">
        <v>24601</v>
      </c>
      <c r="J498" s="295">
        <v>1</v>
      </c>
      <c r="K498" s="295">
        <v>19</v>
      </c>
      <c r="L498" s="295">
        <v>1</v>
      </c>
      <c r="M498" s="295">
        <v>4</v>
      </c>
      <c r="N498" s="295" t="s">
        <v>583</v>
      </c>
      <c r="O498" s="295">
        <v>13</v>
      </c>
      <c r="P498" s="300">
        <v>521044</v>
      </c>
      <c r="Q498" s="298">
        <v>-54375</v>
      </c>
      <c r="R498" s="298">
        <f t="shared" si="27"/>
        <v>466669</v>
      </c>
      <c r="S498" s="298">
        <v>393292.34</v>
      </c>
      <c r="T498" s="298">
        <v>393292.34</v>
      </c>
      <c r="U498" s="298">
        <v>393292.34</v>
      </c>
      <c r="V498" s="298">
        <v>392261.79000000004</v>
      </c>
    </row>
    <row r="499" spans="1:22" s="299" customFormat="1" ht="15" customHeight="1" x14ac:dyDescent="0.25">
      <c r="A499" s="295" t="s">
        <v>597</v>
      </c>
      <c r="B499" s="295">
        <v>2</v>
      </c>
      <c r="C499" s="295">
        <v>2</v>
      </c>
      <c r="D499" s="295" t="s">
        <v>579</v>
      </c>
      <c r="E499" s="295" t="s">
        <v>580</v>
      </c>
      <c r="F499" s="297">
        <v>16</v>
      </c>
      <c r="G499" s="295" t="s">
        <v>25</v>
      </c>
      <c r="H499" s="295">
        <v>1</v>
      </c>
      <c r="I499" s="296">
        <v>25301</v>
      </c>
      <c r="J499" s="295">
        <v>1</v>
      </c>
      <c r="K499" s="295">
        <v>19</v>
      </c>
      <c r="L499" s="295">
        <v>1</v>
      </c>
      <c r="M499" s="295">
        <v>4</v>
      </c>
      <c r="N499" s="295" t="s">
        <v>583</v>
      </c>
      <c r="O499" s="297">
        <v>13</v>
      </c>
      <c r="P499" s="300">
        <v>15000</v>
      </c>
      <c r="Q499" s="298">
        <v>-100</v>
      </c>
      <c r="R499" s="298">
        <f t="shared" si="27"/>
        <v>14900</v>
      </c>
      <c r="S499" s="298">
        <v>14899.73</v>
      </c>
      <c r="T499" s="298">
        <v>14899.73</v>
      </c>
      <c r="U499" s="298">
        <v>14899.73</v>
      </c>
      <c r="V499" s="298">
        <v>14899.73</v>
      </c>
    </row>
    <row r="500" spans="1:22" s="299" customFormat="1" ht="15" customHeight="1" x14ac:dyDescent="0.25">
      <c r="A500" s="295" t="s">
        <v>597</v>
      </c>
      <c r="B500" s="295">
        <v>2</v>
      </c>
      <c r="C500" s="295">
        <v>2</v>
      </c>
      <c r="D500" s="295" t="s">
        <v>579</v>
      </c>
      <c r="E500" s="295" t="s">
        <v>580</v>
      </c>
      <c r="F500" s="297">
        <v>16</v>
      </c>
      <c r="G500" s="295" t="s">
        <v>25</v>
      </c>
      <c r="H500" s="295">
        <v>1</v>
      </c>
      <c r="I500" s="296">
        <v>25901</v>
      </c>
      <c r="J500" s="295">
        <v>1</v>
      </c>
      <c r="K500" s="295">
        <v>19</v>
      </c>
      <c r="L500" s="295">
        <v>1</v>
      </c>
      <c r="M500" s="295">
        <v>4</v>
      </c>
      <c r="N500" s="295" t="s">
        <v>583</v>
      </c>
      <c r="O500" s="295">
        <v>13</v>
      </c>
      <c r="P500" s="300">
        <v>7633863.7300000004</v>
      </c>
      <c r="Q500" s="298">
        <f>-729958.96-2775784</f>
        <v>-3505742.96</v>
      </c>
      <c r="R500" s="298">
        <f t="shared" si="27"/>
        <v>4128120.7700000005</v>
      </c>
      <c r="S500" s="298">
        <v>3576669.0799999996</v>
      </c>
      <c r="T500" s="298">
        <v>1932958.1199999999</v>
      </c>
      <c r="U500" s="298">
        <v>1932958.1199999999</v>
      </c>
      <c r="V500" s="298">
        <v>-1180057.1599999999</v>
      </c>
    </row>
    <row r="501" spans="1:22" s="299" customFormat="1" ht="15" customHeight="1" x14ac:dyDescent="0.25">
      <c r="A501" s="295" t="s">
        <v>597</v>
      </c>
      <c r="B501" s="295">
        <v>2</v>
      </c>
      <c r="C501" s="295">
        <v>2</v>
      </c>
      <c r="D501" s="295" t="s">
        <v>579</v>
      </c>
      <c r="E501" s="295" t="s">
        <v>580</v>
      </c>
      <c r="F501" s="297">
        <v>16</v>
      </c>
      <c r="G501" s="295" t="s">
        <v>25</v>
      </c>
      <c r="H501" s="295">
        <v>1</v>
      </c>
      <c r="I501" s="296">
        <v>26101</v>
      </c>
      <c r="J501" s="295">
        <v>1</v>
      </c>
      <c r="K501" s="295">
        <v>19</v>
      </c>
      <c r="L501" s="295">
        <v>1</v>
      </c>
      <c r="M501" s="295">
        <v>4</v>
      </c>
      <c r="N501" s="295" t="s">
        <v>583</v>
      </c>
      <c r="O501" s="297">
        <v>13</v>
      </c>
      <c r="P501" s="300">
        <v>6534694.0499999998</v>
      </c>
      <c r="Q501" s="298">
        <f>328064+2784551.37</f>
        <v>3112615.37</v>
      </c>
      <c r="R501" s="298">
        <f t="shared" si="27"/>
        <v>9647309.4199999999</v>
      </c>
      <c r="S501" s="298">
        <v>9647319.4800000004</v>
      </c>
      <c r="T501" s="298">
        <v>9647319.4800000004</v>
      </c>
      <c r="U501" s="298">
        <v>9647319.4800000004</v>
      </c>
      <c r="V501" s="298">
        <v>8918701.7399999984</v>
      </c>
    </row>
    <row r="502" spans="1:22" s="299" customFormat="1" ht="15" customHeight="1" x14ac:dyDescent="0.25">
      <c r="A502" s="295" t="s">
        <v>597</v>
      </c>
      <c r="B502" s="295">
        <v>2</v>
      </c>
      <c r="C502" s="295">
        <v>2</v>
      </c>
      <c r="D502" s="295" t="s">
        <v>579</v>
      </c>
      <c r="E502" s="295" t="s">
        <v>580</v>
      </c>
      <c r="F502" s="297">
        <v>16</v>
      </c>
      <c r="G502" s="295" t="s">
        <v>25</v>
      </c>
      <c r="H502" s="295">
        <v>1</v>
      </c>
      <c r="I502" s="296">
        <v>26102</v>
      </c>
      <c r="J502" s="295">
        <v>1</v>
      </c>
      <c r="K502" s="295">
        <v>19</v>
      </c>
      <c r="L502" s="295">
        <v>1</v>
      </c>
      <c r="M502" s="295">
        <v>4</v>
      </c>
      <c r="N502" s="295" t="s">
        <v>583</v>
      </c>
      <c r="O502" s="295">
        <v>13</v>
      </c>
      <c r="P502" s="300">
        <v>420764.25</v>
      </c>
      <c r="Q502" s="298">
        <v>263387</v>
      </c>
      <c r="R502" s="298">
        <f t="shared" si="27"/>
        <v>684151.25</v>
      </c>
      <c r="S502" s="298">
        <v>633487.66999999993</v>
      </c>
      <c r="T502" s="298">
        <v>633487.66999999993</v>
      </c>
      <c r="U502" s="298">
        <v>633487.66999999993</v>
      </c>
      <c r="V502" s="298">
        <v>553250.51</v>
      </c>
    </row>
    <row r="503" spans="1:22" s="299" customFormat="1" ht="15" customHeight="1" x14ac:dyDescent="0.25">
      <c r="A503" s="295" t="s">
        <v>597</v>
      </c>
      <c r="B503" s="295">
        <v>2</v>
      </c>
      <c r="C503" s="295">
        <v>2</v>
      </c>
      <c r="D503" s="295" t="s">
        <v>579</v>
      </c>
      <c r="E503" s="295" t="s">
        <v>580</v>
      </c>
      <c r="F503" s="297">
        <v>16</v>
      </c>
      <c r="G503" s="295" t="s">
        <v>25</v>
      </c>
      <c r="H503" s="295">
        <v>1</v>
      </c>
      <c r="I503" s="296">
        <v>27101</v>
      </c>
      <c r="J503" s="295">
        <v>1</v>
      </c>
      <c r="K503" s="295">
        <v>19</v>
      </c>
      <c r="L503" s="295">
        <v>1</v>
      </c>
      <c r="M503" s="295">
        <v>4</v>
      </c>
      <c r="N503" s="295" t="s">
        <v>583</v>
      </c>
      <c r="O503" s="297">
        <v>13</v>
      </c>
      <c r="P503" s="300">
        <v>1878855</v>
      </c>
      <c r="Q503" s="298">
        <v>-36335</v>
      </c>
      <c r="R503" s="298">
        <f t="shared" si="27"/>
        <v>1842520</v>
      </c>
      <c r="S503" s="298">
        <v>1759002.64</v>
      </c>
      <c r="T503" s="298">
        <v>1220511.2899999998</v>
      </c>
      <c r="U503" s="298">
        <v>1220511.2899999998</v>
      </c>
      <c r="V503" s="298">
        <v>1000600.1599999999</v>
      </c>
    </row>
    <row r="504" spans="1:22" s="299" customFormat="1" ht="15" customHeight="1" x14ac:dyDescent="0.25">
      <c r="A504" s="295" t="s">
        <v>597</v>
      </c>
      <c r="B504" s="295">
        <v>2</v>
      </c>
      <c r="C504" s="295">
        <v>2</v>
      </c>
      <c r="D504" s="295" t="s">
        <v>579</v>
      </c>
      <c r="E504" s="295" t="s">
        <v>580</v>
      </c>
      <c r="F504" s="297">
        <v>16</v>
      </c>
      <c r="G504" s="295" t="s">
        <v>25</v>
      </c>
      <c r="H504" s="295">
        <v>1</v>
      </c>
      <c r="I504" s="296">
        <v>27201</v>
      </c>
      <c r="J504" s="295">
        <v>1</v>
      </c>
      <c r="K504" s="295">
        <v>19</v>
      </c>
      <c r="L504" s="295">
        <v>1</v>
      </c>
      <c r="M504" s="295">
        <v>4</v>
      </c>
      <c r="N504" s="295" t="s">
        <v>583</v>
      </c>
      <c r="O504" s="295">
        <v>13</v>
      </c>
      <c r="P504" s="300">
        <v>192671.8</v>
      </c>
      <c r="Q504" s="298">
        <v>-13413</v>
      </c>
      <c r="R504" s="298">
        <f t="shared" si="27"/>
        <v>179258.8</v>
      </c>
      <c r="S504" s="298">
        <v>76545.06</v>
      </c>
      <c r="T504" s="298">
        <v>76545.06</v>
      </c>
      <c r="U504" s="298">
        <v>76545.06</v>
      </c>
      <c r="V504" s="298">
        <v>70161.459999999992</v>
      </c>
    </row>
    <row r="505" spans="1:22" s="299" customFormat="1" ht="15" customHeight="1" x14ac:dyDescent="0.25">
      <c r="A505" s="295" t="s">
        <v>597</v>
      </c>
      <c r="B505" s="295">
        <v>2</v>
      </c>
      <c r="C505" s="295">
        <v>2</v>
      </c>
      <c r="D505" s="295" t="s">
        <v>579</v>
      </c>
      <c r="E505" s="295" t="s">
        <v>580</v>
      </c>
      <c r="F505" s="297">
        <v>16</v>
      </c>
      <c r="G505" s="295" t="s">
        <v>25</v>
      </c>
      <c r="H505" s="295">
        <v>1</v>
      </c>
      <c r="I505" s="296">
        <v>29101</v>
      </c>
      <c r="J505" s="295">
        <v>1</v>
      </c>
      <c r="K505" s="295">
        <v>19</v>
      </c>
      <c r="L505" s="295">
        <v>1</v>
      </c>
      <c r="M505" s="295">
        <v>4</v>
      </c>
      <c r="N505" s="295" t="s">
        <v>583</v>
      </c>
      <c r="O505" s="297">
        <v>13</v>
      </c>
      <c r="P505" s="300">
        <v>257444</v>
      </c>
      <c r="Q505" s="298">
        <v>-109395</v>
      </c>
      <c r="R505" s="298">
        <f t="shared" si="27"/>
        <v>148049</v>
      </c>
      <c r="S505" s="298">
        <v>111347.81999999999</v>
      </c>
      <c r="T505" s="298">
        <v>111347.81999999999</v>
      </c>
      <c r="U505" s="298">
        <v>111347.81999999999</v>
      </c>
      <c r="V505" s="298">
        <v>102877.73000000001</v>
      </c>
    </row>
    <row r="506" spans="1:22" s="299" customFormat="1" ht="15" customHeight="1" x14ac:dyDescent="0.25">
      <c r="A506" s="295" t="s">
        <v>597</v>
      </c>
      <c r="B506" s="295">
        <v>2</v>
      </c>
      <c r="C506" s="295">
        <v>2</v>
      </c>
      <c r="D506" s="295" t="s">
        <v>579</v>
      </c>
      <c r="E506" s="295" t="s">
        <v>580</v>
      </c>
      <c r="F506" s="297">
        <v>16</v>
      </c>
      <c r="G506" s="295" t="s">
        <v>25</v>
      </c>
      <c r="H506" s="295">
        <v>1</v>
      </c>
      <c r="I506" s="296">
        <v>29201</v>
      </c>
      <c r="J506" s="295">
        <v>1</v>
      </c>
      <c r="K506" s="295">
        <v>19</v>
      </c>
      <c r="L506" s="295">
        <v>1</v>
      </c>
      <c r="M506" s="295">
        <v>4</v>
      </c>
      <c r="N506" s="295" t="s">
        <v>583</v>
      </c>
      <c r="O506" s="295">
        <v>13</v>
      </c>
      <c r="P506" s="300">
        <v>8237</v>
      </c>
      <c r="Q506" s="298">
        <v>-3678</v>
      </c>
      <c r="R506" s="298">
        <f t="shared" si="27"/>
        <v>4559</v>
      </c>
      <c r="S506" s="298">
        <v>0</v>
      </c>
      <c r="T506" s="298">
        <v>0</v>
      </c>
      <c r="U506" s="298">
        <v>0</v>
      </c>
      <c r="V506" s="298">
        <v>0</v>
      </c>
    </row>
    <row r="507" spans="1:22" s="299" customFormat="1" ht="15" customHeight="1" x14ac:dyDescent="0.25">
      <c r="A507" s="295" t="s">
        <v>597</v>
      </c>
      <c r="B507" s="295">
        <v>2</v>
      </c>
      <c r="C507" s="295">
        <v>2</v>
      </c>
      <c r="D507" s="295" t="s">
        <v>579</v>
      </c>
      <c r="E507" s="295" t="s">
        <v>580</v>
      </c>
      <c r="F507" s="297">
        <v>16</v>
      </c>
      <c r="G507" s="295" t="s">
        <v>25</v>
      </c>
      <c r="H507" s="295">
        <v>1</v>
      </c>
      <c r="I507" s="296">
        <v>29301</v>
      </c>
      <c r="J507" s="295">
        <v>1</v>
      </c>
      <c r="K507" s="295">
        <v>19</v>
      </c>
      <c r="L507" s="295">
        <v>1</v>
      </c>
      <c r="M507" s="295">
        <v>4</v>
      </c>
      <c r="N507" s="295" t="s">
        <v>583</v>
      </c>
      <c r="O507" s="297">
        <v>13</v>
      </c>
      <c r="P507" s="300">
        <v>264</v>
      </c>
      <c r="Q507" s="298">
        <v>632</v>
      </c>
      <c r="R507" s="298">
        <f t="shared" si="27"/>
        <v>896</v>
      </c>
      <c r="S507" s="298">
        <v>896</v>
      </c>
      <c r="T507" s="298">
        <v>896</v>
      </c>
      <c r="U507" s="298">
        <v>896</v>
      </c>
      <c r="V507" s="298">
        <v>896</v>
      </c>
    </row>
    <row r="508" spans="1:22" s="299" customFormat="1" ht="15" customHeight="1" x14ac:dyDescent="0.25">
      <c r="A508" s="295" t="s">
        <v>597</v>
      </c>
      <c r="B508" s="295">
        <v>2</v>
      </c>
      <c r="C508" s="295">
        <v>2</v>
      </c>
      <c r="D508" s="295" t="s">
        <v>579</v>
      </c>
      <c r="E508" s="295" t="s">
        <v>580</v>
      </c>
      <c r="F508" s="297">
        <v>16</v>
      </c>
      <c r="G508" s="295" t="s">
        <v>25</v>
      </c>
      <c r="H508" s="295">
        <v>1</v>
      </c>
      <c r="I508" s="296">
        <v>29401</v>
      </c>
      <c r="J508" s="295">
        <v>1</v>
      </c>
      <c r="K508" s="295">
        <v>19</v>
      </c>
      <c r="L508" s="295">
        <v>1</v>
      </c>
      <c r="M508" s="295">
        <v>4</v>
      </c>
      <c r="N508" s="295" t="s">
        <v>583</v>
      </c>
      <c r="O508" s="295">
        <v>13</v>
      </c>
      <c r="P508" s="300">
        <v>57365.71</v>
      </c>
      <c r="Q508" s="298">
        <v>-3124</v>
      </c>
      <c r="R508" s="298">
        <f t="shared" si="27"/>
        <v>54241.71</v>
      </c>
      <c r="S508" s="298">
        <v>17207.830000000002</v>
      </c>
      <c r="T508" s="298">
        <v>17207.830000000002</v>
      </c>
      <c r="U508" s="298">
        <v>17207.830000000002</v>
      </c>
      <c r="V508" s="298">
        <v>17207.830000000002</v>
      </c>
    </row>
    <row r="509" spans="1:22" s="299" customFormat="1" ht="15" customHeight="1" x14ac:dyDescent="0.25">
      <c r="A509" s="295" t="s">
        <v>597</v>
      </c>
      <c r="B509" s="295">
        <v>2</v>
      </c>
      <c r="C509" s="295">
        <v>2</v>
      </c>
      <c r="D509" s="295" t="s">
        <v>579</v>
      </c>
      <c r="E509" s="295" t="s">
        <v>580</v>
      </c>
      <c r="F509" s="297">
        <v>16</v>
      </c>
      <c r="G509" s="295" t="s">
        <v>25</v>
      </c>
      <c r="H509" s="295">
        <v>1</v>
      </c>
      <c r="I509" s="296">
        <v>29601</v>
      </c>
      <c r="J509" s="295">
        <v>1</v>
      </c>
      <c r="K509" s="295">
        <v>19</v>
      </c>
      <c r="L509" s="295">
        <v>1</v>
      </c>
      <c r="M509" s="295">
        <v>4</v>
      </c>
      <c r="N509" s="295" t="s">
        <v>583</v>
      </c>
      <c r="O509" s="297">
        <v>13</v>
      </c>
      <c r="P509" s="300">
        <v>1033164</v>
      </c>
      <c r="Q509" s="298">
        <v>237405</v>
      </c>
      <c r="R509" s="298">
        <f t="shared" si="27"/>
        <v>1270569</v>
      </c>
      <c r="S509" s="298">
        <v>1194584.4500000002</v>
      </c>
      <c r="T509" s="298">
        <v>1194584.4500000002</v>
      </c>
      <c r="U509" s="298">
        <v>1194584.4500000002</v>
      </c>
      <c r="V509" s="298">
        <v>1082489.72</v>
      </c>
    </row>
    <row r="510" spans="1:22" s="299" customFormat="1" ht="15" customHeight="1" x14ac:dyDescent="0.25">
      <c r="A510" s="295" t="s">
        <v>597</v>
      </c>
      <c r="B510" s="295">
        <v>2</v>
      </c>
      <c r="C510" s="295">
        <v>2</v>
      </c>
      <c r="D510" s="295" t="s">
        <v>579</v>
      </c>
      <c r="E510" s="295" t="s">
        <v>580</v>
      </c>
      <c r="F510" s="297">
        <v>16</v>
      </c>
      <c r="G510" s="295" t="s">
        <v>25</v>
      </c>
      <c r="H510" s="295">
        <v>1</v>
      </c>
      <c r="I510" s="296">
        <v>29801</v>
      </c>
      <c r="J510" s="295">
        <v>1</v>
      </c>
      <c r="K510" s="295">
        <v>19</v>
      </c>
      <c r="L510" s="295">
        <v>1</v>
      </c>
      <c r="M510" s="295">
        <v>4</v>
      </c>
      <c r="N510" s="295" t="s">
        <v>583</v>
      </c>
      <c r="O510" s="295">
        <v>13</v>
      </c>
      <c r="P510" s="300">
        <v>776762.7300000001</v>
      </c>
      <c r="Q510" s="298">
        <v>422752</v>
      </c>
      <c r="R510" s="298">
        <f t="shared" si="27"/>
        <v>1199514.73</v>
      </c>
      <c r="S510" s="298">
        <v>1193533.19</v>
      </c>
      <c r="T510" s="298">
        <v>1193533.19</v>
      </c>
      <c r="U510" s="298">
        <v>1193533.19</v>
      </c>
      <c r="V510" s="298">
        <v>1160399.42</v>
      </c>
    </row>
    <row r="511" spans="1:22" s="299" customFormat="1" ht="15" customHeight="1" x14ac:dyDescent="0.25">
      <c r="A511" s="295" t="s">
        <v>597</v>
      </c>
      <c r="B511" s="295">
        <v>2</v>
      </c>
      <c r="C511" s="295">
        <v>2</v>
      </c>
      <c r="D511" s="295" t="s">
        <v>579</v>
      </c>
      <c r="E511" s="295" t="s">
        <v>580</v>
      </c>
      <c r="F511" s="297">
        <v>16</v>
      </c>
      <c r="G511" s="295" t="s">
        <v>25</v>
      </c>
      <c r="H511" s="295">
        <v>1</v>
      </c>
      <c r="I511" s="296">
        <v>31101</v>
      </c>
      <c r="J511" s="295">
        <v>1</v>
      </c>
      <c r="K511" s="295">
        <v>19</v>
      </c>
      <c r="L511" s="295">
        <v>1</v>
      </c>
      <c r="M511" s="295">
        <v>4</v>
      </c>
      <c r="N511" s="295" t="s">
        <v>583</v>
      </c>
      <c r="O511" s="297">
        <v>13</v>
      </c>
      <c r="P511" s="300">
        <v>83549966.400000006</v>
      </c>
      <c r="Q511" s="298">
        <f>10107360.82+3542816</f>
        <v>13650176.82</v>
      </c>
      <c r="R511" s="298">
        <f t="shared" si="27"/>
        <v>97200143.219999999</v>
      </c>
      <c r="S511" s="298">
        <v>94758286.669999987</v>
      </c>
      <c r="T511" s="298">
        <v>94758286.669999987</v>
      </c>
      <c r="U511" s="298">
        <v>94758286.669999987</v>
      </c>
      <c r="V511" s="298">
        <v>90369647.099999994</v>
      </c>
    </row>
    <row r="512" spans="1:22" s="299" customFormat="1" ht="15" customHeight="1" x14ac:dyDescent="0.25">
      <c r="A512" s="295" t="s">
        <v>597</v>
      </c>
      <c r="B512" s="295">
        <v>2</v>
      </c>
      <c r="C512" s="295">
        <v>2</v>
      </c>
      <c r="D512" s="295" t="s">
        <v>579</v>
      </c>
      <c r="E512" s="295" t="s">
        <v>580</v>
      </c>
      <c r="F512" s="297">
        <v>16</v>
      </c>
      <c r="G512" s="295" t="s">
        <v>25</v>
      </c>
      <c r="H512" s="295">
        <v>1</v>
      </c>
      <c r="I512" s="296">
        <v>31201</v>
      </c>
      <c r="J512" s="295">
        <v>1</v>
      </c>
      <c r="K512" s="295">
        <v>19</v>
      </c>
      <c r="L512" s="295">
        <v>1</v>
      </c>
      <c r="M512" s="295">
        <v>4</v>
      </c>
      <c r="N512" s="295" t="s">
        <v>583</v>
      </c>
      <c r="O512" s="295">
        <v>13</v>
      </c>
      <c r="P512" s="300">
        <v>4500.3999999999996</v>
      </c>
      <c r="Q512" s="298">
        <v>0</v>
      </c>
      <c r="R512" s="298">
        <f t="shared" si="27"/>
        <v>4500.3999999999996</v>
      </c>
      <c r="S512" s="298">
        <v>1000.37</v>
      </c>
      <c r="T512" s="298">
        <v>1000.37</v>
      </c>
      <c r="U512" s="298">
        <v>1000.37</v>
      </c>
      <c r="V512" s="298">
        <v>1000.37</v>
      </c>
    </row>
    <row r="513" spans="1:22" s="299" customFormat="1" ht="15" customHeight="1" x14ac:dyDescent="0.25">
      <c r="A513" s="295" t="s">
        <v>597</v>
      </c>
      <c r="B513" s="295">
        <v>2</v>
      </c>
      <c r="C513" s="295">
        <v>2</v>
      </c>
      <c r="D513" s="295" t="s">
        <v>579</v>
      </c>
      <c r="E513" s="295" t="s">
        <v>580</v>
      </c>
      <c r="F513" s="297">
        <v>16</v>
      </c>
      <c r="G513" s="295" t="s">
        <v>25</v>
      </c>
      <c r="H513" s="295">
        <v>1</v>
      </c>
      <c r="I513" s="296">
        <v>31301</v>
      </c>
      <c r="J513" s="295">
        <v>1</v>
      </c>
      <c r="K513" s="295">
        <v>19</v>
      </c>
      <c r="L513" s="295">
        <v>1</v>
      </c>
      <c r="M513" s="295">
        <v>4</v>
      </c>
      <c r="N513" s="295" t="s">
        <v>583</v>
      </c>
      <c r="O513" s="297">
        <v>13</v>
      </c>
      <c r="P513" s="300">
        <v>9364.4</v>
      </c>
      <c r="Q513" s="298">
        <v>0</v>
      </c>
      <c r="R513" s="298">
        <f t="shared" si="27"/>
        <v>9364.4</v>
      </c>
      <c r="S513" s="298">
        <v>8360.81</v>
      </c>
      <c r="T513" s="298">
        <v>8360.81</v>
      </c>
      <c r="U513" s="298">
        <v>8360.81</v>
      </c>
      <c r="V513" s="298">
        <v>8360.81</v>
      </c>
    </row>
    <row r="514" spans="1:22" s="299" customFormat="1" ht="15" customHeight="1" x14ac:dyDescent="0.25">
      <c r="A514" s="295" t="s">
        <v>597</v>
      </c>
      <c r="B514" s="295">
        <v>2</v>
      </c>
      <c r="C514" s="295">
        <v>2</v>
      </c>
      <c r="D514" s="295" t="s">
        <v>579</v>
      </c>
      <c r="E514" s="295" t="s">
        <v>580</v>
      </c>
      <c r="F514" s="297">
        <v>16</v>
      </c>
      <c r="G514" s="295" t="s">
        <v>25</v>
      </c>
      <c r="H514" s="295">
        <v>1</v>
      </c>
      <c r="I514" s="296">
        <v>31401</v>
      </c>
      <c r="J514" s="295">
        <v>1</v>
      </c>
      <c r="K514" s="295">
        <v>19</v>
      </c>
      <c r="L514" s="295">
        <v>1</v>
      </c>
      <c r="M514" s="295">
        <v>4</v>
      </c>
      <c r="N514" s="295" t="s">
        <v>583</v>
      </c>
      <c r="O514" s="295">
        <v>13</v>
      </c>
      <c r="P514" s="300">
        <v>293913.62</v>
      </c>
      <c r="Q514" s="298">
        <v>-3864</v>
      </c>
      <c r="R514" s="298">
        <f t="shared" si="27"/>
        <v>290049.62</v>
      </c>
      <c r="S514" s="298">
        <v>283830.06</v>
      </c>
      <c r="T514" s="298">
        <v>283830.06</v>
      </c>
      <c r="U514" s="298">
        <v>283830.06</v>
      </c>
      <c r="V514" s="298">
        <v>241775.7</v>
      </c>
    </row>
    <row r="515" spans="1:22" s="299" customFormat="1" ht="15" customHeight="1" x14ac:dyDescent="0.25">
      <c r="A515" s="295" t="s">
        <v>597</v>
      </c>
      <c r="B515" s="295">
        <v>2</v>
      </c>
      <c r="C515" s="295">
        <v>2</v>
      </c>
      <c r="D515" s="295" t="s">
        <v>579</v>
      </c>
      <c r="E515" s="295" t="s">
        <v>580</v>
      </c>
      <c r="F515" s="297">
        <v>16</v>
      </c>
      <c r="G515" s="295" t="s">
        <v>25</v>
      </c>
      <c r="H515" s="295">
        <v>1</v>
      </c>
      <c r="I515" s="296">
        <v>31501</v>
      </c>
      <c r="J515" s="295">
        <v>1</v>
      </c>
      <c r="K515" s="295">
        <v>19</v>
      </c>
      <c r="L515" s="295">
        <v>1</v>
      </c>
      <c r="M515" s="295">
        <v>4</v>
      </c>
      <c r="N515" s="295" t="s">
        <v>583</v>
      </c>
      <c r="O515" s="297">
        <v>13</v>
      </c>
      <c r="P515" s="300">
        <v>0</v>
      </c>
      <c r="Q515" s="298">
        <v>3657</v>
      </c>
      <c r="R515" s="298">
        <f t="shared" si="27"/>
        <v>3657</v>
      </c>
      <c r="S515" s="298">
        <v>3657.01</v>
      </c>
      <c r="T515" s="298">
        <v>3657.01</v>
      </c>
      <c r="U515" s="298">
        <v>3657.01</v>
      </c>
      <c r="V515" s="298">
        <v>3657.01</v>
      </c>
    </row>
    <row r="516" spans="1:22" s="299" customFormat="1" ht="15" customHeight="1" x14ac:dyDescent="0.25">
      <c r="A516" s="295" t="s">
        <v>597</v>
      </c>
      <c r="B516" s="295">
        <v>2</v>
      </c>
      <c r="C516" s="295">
        <v>2</v>
      </c>
      <c r="D516" s="295" t="s">
        <v>579</v>
      </c>
      <c r="E516" s="295" t="s">
        <v>580</v>
      </c>
      <c r="F516" s="297">
        <v>16</v>
      </c>
      <c r="G516" s="295" t="s">
        <v>25</v>
      </c>
      <c r="H516" s="295">
        <v>1</v>
      </c>
      <c r="I516" s="296">
        <v>31701</v>
      </c>
      <c r="J516" s="295">
        <v>1</v>
      </c>
      <c r="K516" s="295">
        <v>19</v>
      </c>
      <c r="L516" s="295">
        <v>1</v>
      </c>
      <c r="M516" s="295">
        <v>4</v>
      </c>
      <c r="N516" s="295" t="s">
        <v>583</v>
      </c>
      <c r="O516" s="295">
        <v>13</v>
      </c>
      <c r="P516" s="300">
        <v>190405.2</v>
      </c>
      <c r="Q516" s="298">
        <f>16149-215</f>
        <v>15934</v>
      </c>
      <c r="R516" s="298">
        <f t="shared" si="27"/>
        <v>206339.20000000001</v>
      </c>
      <c r="S516" s="298">
        <v>155022.78999999998</v>
      </c>
      <c r="T516" s="298">
        <v>155022.78999999998</v>
      </c>
      <c r="U516" s="298">
        <v>155022.78999999998</v>
      </c>
      <c r="V516" s="298">
        <v>146093.10999999999</v>
      </c>
    </row>
    <row r="517" spans="1:22" s="299" customFormat="1" ht="15" customHeight="1" x14ac:dyDescent="0.25">
      <c r="A517" s="295" t="s">
        <v>597</v>
      </c>
      <c r="B517" s="295">
        <v>2</v>
      </c>
      <c r="C517" s="295">
        <v>2</v>
      </c>
      <c r="D517" s="295" t="s">
        <v>579</v>
      </c>
      <c r="E517" s="295" t="s">
        <v>580</v>
      </c>
      <c r="F517" s="297">
        <v>16</v>
      </c>
      <c r="G517" s="295" t="s">
        <v>25</v>
      </c>
      <c r="H517" s="295">
        <v>1</v>
      </c>
      <c r="I517" s="296">
        <v>31801</v>
      </c>
      <c r="J517" s="295">
        <v>1</v>
      </c>
      <c r="K517" s="295">
        <v>19</v>
      </c>
      <c r="L517" s="295">
        <v>1</v>
      </c>
      <c r="M517" s="295">
        <v>4</v>
      </c>
      <c r="N517" s="295" t="s">
        <v>583</v>
      </c>
      <c r="O517" s="297">
        <v>13</v>
      </c>
      <c r="P517" s="300">
        <v>8878.31</v>
      </c>
      <c r="Q517" s="298">
        <v>-2619</v>
      </c>
      <c r="R517" s="298">
        <f t="shared" si="27"/>
        <v>6259.3099999999995</v>
      </c>
      <c r="S517" s="298">
        <v>1687.44</v>
      </c>
      <c r="T517" s="298">
        <v>1687.44</v>
      </c>
      <c r="U517" s="298">
        <v>1687.44</v>
      </c>
      <c r="V517" s="298">
        <v>1687.44</v>
      </c>
    </row>
    <row r="518" spans="1:22" s="299" customFormat="1" ht="15" customHeight="1" x14ac:dyDescent="0.25">
      <c r="A518" s="295" t="s">
        <v>597</v>
      </c>
      <c r="B518" s="295">
        <v>2</v>
      </c>
      <c r="C518" s="295">
        <v>2</v>
      </c>
      <c r="D518" s="295" t="s">
        <v>579</v>
      </c>
      <c r="E518" s="295" t="s">
        <v>580</v>
      </c>
      <c r="F518" s="297">
        <v>16</v>
      </c>
      <c r="G518" s="295" t="s">
        <v>25</v>
      </c>
      <c r="H518" s="295">
        <v>1</v>
      </c>
      <c r="I518" s="296">
        <v>32101</v>
      </c>
      <c r="J518" s="295">
        <v>1</v>
      </c>
      <c r="K518" s="295">
        <v>19</v>
      </c>
      <c r="L518" s="295">
        <v>1</v>
      </c>
      <c r="M518" s="295">
        <v>4</v>
      </c>
      <c r="N518" s="295" t="s">
        <v>583</v>
      </c>
      <c r="O518" s="295">
        <v>13</v>
      </c>
      <c r="P518" s="300">
        <v>509452.85</v>
      </c>
      <c r="Q518" s="298">
        <v>0</v>
      </c>
      <c r="R518" s="298">
        <f t="shared" si="27"/>
        <v>509452.85</v>
      </c>
      <c r="S518" s="298">
        <v>445049.52</v>
      </c>
      <c r="T518" s="298">
        <v>445049.52</v>
      </c>
      <c r="U518" s="298">
        <v>445049.52</v>
      </c>
      <c r="V518" s="298">
        <v>370874.6</v>
      </c>
    </row>
    <row r="519" spans="1:22" s="299" customFormat="1" ht="15" customHeight="1" x14ac:dyDescent="0.25">
      <c r="A519" s="295" t="s">
        <v>597</v>
      </c>
      <c r="B519" s="295">
        <v>2</v>
      </c>
      <c r="C519" s="295">
        <v>2</v>
      </c>
      <c r="D519" s="295" t="s">
        <v>579</v>
      </c>
      <c r="E519" s="295" t="s">
        <v>580</v>
      </c>
      <c r="F519" s="297">
        <v>16</v>
      </c>
      <c r="G519" s="295" t="s">
        <v>25</v>
      </c>
      <c r="H519" s="295">
        <v>1</v>
      </c>
      <c r="I519" s="296">
        <v>32201</v>
      </c>
      <c r="J519" s="295">
        <v>1</v>
      </c>
      <c r="K519" s="295">
        <v>19</v>
      </c>
      <c r="L519" s="295">
        <v>1</v>
      </c>
      <c r="M519" s="295">
        <v>4</v>
      </c>
      <c r="N519" s="295" t="s">
        <v>583</v>
      </c>
      <c r="O519" s="297">
        <v>13</v>
      </c>
      <c r="P519" s="300">
        <v>1947573.95</v>
      </c>
      <c r="Q519" s="298">
        <v>87020</v>
      </c>
      <c r="R519" s="298">
        <f t="shared" si="27"/>
        <v>2034593.95</v>
      </c>
      <c r="S519" s="298">
        <v>1809857.4000000001</v>
      </c>
      <c r="T519" s="298">
        <f>1850108.29+3.16</f>
        <v>1850111.45</v>
      </c>
      <c r="U519" s="298">
        <v>1850111.45</v>
      </c>
      <c r="V519" s="298">
        <f>1534205.6+3.16</f>
        <v>1534208.76</v>
      </c>
    </row>
    <row r="520" spans="1:22" s="299" customFormat="1" ht="15" customHeight="1" x14ac:dyDescent="0.25">
      <c r="A520" s="295" t="s">
        <v>597</v>
      </c>
      <c r="B520" s="295">
        <v>2</v>
      </c>
      <c r="C520" s="295">
        <v>2</v>
      </c>
      <c r="D520" s="295" t="s">
        <v>579</v>
      </c>
      <c r="E520" s="295" t="s">
        <v>580</v>
      </c>
      <c r="F520" s="297">
        <v>16</v>
      </c>
      <c r="G520" s="295" t="s">
        <v>25</v>
      </c>
      <c r="H520" s="295">
        <v>1</v>
      </c>
      <c r="I520" s="296">
        <v>32301</v>
      </c>
      <c r="J520" s="295">
        <v>1</v>
      </c>
      <c r="K520" s="295">
        <v>19</v>
      </c>
      <c r="L520" s="295">
        <v>1</v>
      </c>
      <c r="M520" s="295">
        <v>4</v>
      </c>
      <c r="N520" s="295" t="s">
        <v>583</v>
      </c>
      <c r="O520" s="295">
        <v>13</v>
      </c>
      <c r="P520" s="300">
        <v>28501</v>
      </c>
      <c r="Q520" s="298">
        <f>123487-56030</f>
        <v>67457</v>
      </c>
      <c r="R520" s="298">
        <f t="shared" ref="R520:R562" si="28">P520+Q520</f>
        <v>95958</v>
      </c>
      <c r="S520" s="298">
        <v>37259.199999999997</v>
      </c>
      <c r="T520" s="298">
        <v>37259.199999999997</v>
      </c>
      <c r="U520" s="298">
        <v>37259.199999999997</v>
      </c>
      <c r="V520" s="298">
        <v>37259.199999999997</v>
      </c>
    </row>
    <row r="521" spans="1:22" s="299" customFormat="1" ht="15" customHeight="1" x14ac:dyDescent="0.25">
      <c r="A521" s="295" t="s">
        <v>597</v>
      </c>
      <c r="B521" s="295">
        <v>2</v>
      </c>
      <c r="C521" s="295">
        <v>2</v>
      </c>
      <c r="D521" s="295" t="s">
        <v>579</v>
      </c>
      <c r="E521" s="295" t="s">
        <v>580</v>
      </c>
      <c r="F521" s="297">
        <v>16</v>
      </c>
      <c r="G521" s="295" t="s">
        <v>25</v>
      </c>
      <c r="H521" s="295">
        <v>1</v>
      </c>
      <c r="I521" s="296">
        <v>32302</v>
      </c>
      <c r="J521" s="295">
        <v>1</v>
      </c>
      <c r="K521" s="295">
        <v>19</v>
      </c>
      <c r="L521" s="295">
        <v>1</v>
      </c>
      <c r="M521" s="295">
        <v>4</v>
      </c>
      <c r="N521" s="295" t="s">
        <v>583</v>
      </c>
      <c r="O521" s="297">
        <v>13</v>
      </c>
      <c r="P521" s="300">
        <f>476769.36-0.4</f>
        <v>476768.95999999996</v>
      </c>
      <c r="Q521" s="298">
        <v>393983</v>
      </c>
      <c r="R521" s="298">
        <f t="shared" si="28"/>
        <v>870751.96</v>
      </c>
      <c r="S521" s="298">
        <v>858502.08000000007</v>
      </c>
      <c r="T521" s="298">
        <v>858502.08000000007</v>
      </c>
      <c r="U521" s="298">
        <v>858502.08000000007</v>
      </c>
      <c r="V521" s="298">
        <v>752632</v>
      </c>
    </row>
    <row r="522" spans="1:22" s="299" customFormat="1" ht="15" customHeight="1" x14ac:dyDescent="0.25">
      <c r="A522" s="295" t="s">
        <v>597</v>
      </c>
      <c r="B522" s="295">
        <v>2</v>
      </c>
      <c r="C522" s="295">
        <v>2</v>
      </c>
      <c r="D522" s="295" t="s">
        <v>579</v>
      </c>
      <c r="E522" s="295" t="s">
        <v>580</v>
      </c>
      <c r="F522" s="297">
        <v>16</v>
      </c>
      <c r="G522" s="295" t="s">
        <v>25</v>
      </c>
      <c r="H522" s="295">
        <v>1</v>
      </c>
      <c r="I522" s="296">
        <v>32601</v>
      </c>
      <c r="J522" s="295">
        <v>1</v>
      </c>
      <c r="K522" s="295">
        <v>19</v>
      </c>
      <c r="L522" s="295">
        <v>1</v>
      </c>
      <c r="M522" s="295">
        <v>4</v>
      </c>
      <c r="N522" s="295" t="s">
        <v>583</v>
      </c>
      <c r="O522" s="295">
        <v>13</v>
      </c>
      <c r="P522" s="300">
        <v>1425713.3399999999</v>
      </c>
      <c r="Q522" s="298">
        <v>172321</v>
      </c>
      <c r="R522" s="298">
        <f t="shared" si="28"/>
        <v>1598034.3399999999</v>
      </c>
      <c r="S522" s="298">
        <v>1554056.2</v>
      </c>
      <c r="T522" s="298">
        <v>1554056.2</v>
      </c>
      <c r="U522" s="298">
        <v>1554056.2</v>
      </c>
      <c r="V522" s="298">
        <v>1335261.92</v>
      </c>
    </row>
    <row r="523" spans="1:22" s="299" customFormat="1" ht="15" customHeight="1" x14ac:dyDescent="0.25">
      <c r="A523" s="295" t="s">
        <v>597</v>
      </c>
      <c r="B523" s="295">
        <v>2</v>
      </c>
      <c r="C523" s="295">
        <v>2</v>
      </c>
      <c r="D523" s="295" t="s">
        <v>579</v>
      </c>
      <c r="E523" s="295" t="s">
        <v>580</v>
      </c>
      <c r="F523" s="297">
        <v>16</v>
      </c>
      <c r="G523" s="295" t="s">
        <v>25</v>
      </c>
      <c r="H523" s="295">
        <v>1</v>
      </c>
      <c r="I523" s="296">
        <v>32901</v>
      </c>
      <c r="J523" s="295">
        <v>1</v>
      </c>
      <c r="K523" s="295">
        <v>19</v>
      </c>
      <c r="L523" s="295">
        <v>1</v>
      </c>
      <c r="M523" s="295">
        <v>4</v>
      </c>
      <c r="N523" s="295" t="s">
        <v>583</v>
      </c>
      <c r="O523" s="297">
        <v>13</v>
      </c>
      <c r="P523" s="300">
        <v>7656</v>
      </c>
      <c r="Q523" s="298">
        <v>0</v>
      </c>
      <c r="R523" s="298">
        <f t="shared" si="28"/>
        <v>7656</v>
      </c>
      <c r="S523" s="298">
        <v>0</v>
      </c>
      <c r="T523" s="298">
        <v>0</v>
      </c>
      <c r="U523" s="298">
        <v>0</v>
      </c>
      <c r="V523" s="298">
        <v>0</v>
      </c>
    </row>
    <row r="524" spans="1:22" s="299" customFormat="1" ht="15" customHeight="1" x14ac:dyDescent="0.25">
      <c r="A524" s="295" t="s">
        <v>597</v>
      </c>
      <c r="B524" s="295">
        <v>2</v>
      </c>
      <c r="C524" s="295">
        <v>2</v>
      </c>
      <c r="D524" s="295" t="s">
        <v>579</v>
      </c>
      <c r="E524" s="295" t="s">
        <v>580</v>
      </c>
      <c r="F524" s="297">
        <v>16</v>
      </c>
      <c r="G524" s="295" t="s">
        <v>25</v>
      </c>
      <c r="H524" s="295">
        <v>1</v>
      </c>
      <c r="I524" s="296">
        <v>33101</v>
      </c>
      <c r="J524" s="295">
        <v>1</v>
      </c>
      <c r="K524" s="295">
        <v>19</v>
      </c>
      <c r="L524" s="295">
        <v>1</v>
      </c>
      <c r="M524" s="295">
        <v>4</v>
      </c>
      <c r="N524" s="295" t="s">
        <v>583</v>
      </c>
      <c r="O524" s="295">
        <v>13</v>
      </c>
      <c r="P524" s="300">
        <v>1578353</v>
      </c>
      <c r="Q524" s="298">
        <v>141341</v>
      </c>
      <c r="R524" s="298">
        <f t="shared" si="28"/>
        <v>1719694</v>
      </c>
      <c r="S524" s="298">
        <v>1663721.1099999999</v>
      </c>
      <c r="T524" s="298">
        <v>1610978.23</v>
      </c>
      <c r="U524" s="298">
        <v>1610978.23</v>
      </c>
      <c r="V524" s="298">
        <v>1193263.5899999999</v>
      </c>
    </row>
    <row r="525" spans="1:22" s="299" customFormat="1" ht="15" customHeight="1" x14ac:dyDescent="0.25">
      <c r="A525" s="295" t="s">
        <v>597</v>
      </c>
      <c r="B525" s="295">
        <v>2</v>
      </c>
      <c r="C525" s="295">
        <v>2</v>
      </c>
      <c r="D525" s="295" t="s">
        <v>579</v>
      </c>
      <c r="E525" s="295" t="s">
        <v>580</v>
      </c>
      <c r="F525" s="297">
        <v>16</v>
      </c>
      <c r="G525" s="295" t="s">
        <v>25</v>
      </c>
      <c r="H525" s="295">
        <v>1</v>
      </c>
      <c r="I525" s="296">
        <v>33201</v>
      </c>
      <c r="J525" s="295">
        <v>1</v>
      </c>
      <c r="K525" s="295">
        <v>19</v>
      </c>
      <c r="L525" s="295">
        <v>1</v>
      </c>
      <c r="M525" s="295">
        <v>4</v>
      </c>
      <c r="N525" s="295" t="s">
        <v>583</v>
      </c>
      <c r="O525" s="297">
        <v>13</v>
      </c>
      <c r="P525" s="300">
        <v>495515</v>
      </c>
      <c r="Q525" s="298">
        <v>187899</v>
      </c>
      <c r="R525" s="298">
        <f t="shared" si="28"/>
        <v>683414</v>
      </c>
      <c r="S525" s="298">
        <v>555599.43000000005</v>
      </c>
      <c r="T525" s="298">
        <v>555599.43000000005</v>
      </c>
      <c r="U525" s="298">
        <v>555599.43000000005</v>
      </c>
      <c r="V525" s="298">
        <v>498009.88999999996</v>
      </c>
    </row>
    <row r="526" spans="1:22" s="299" customFormat="1" ht="15" customHeight="1" x14ac:dyDescent="0.25">
      <c r="A526" s="295" t="s">
        <v>597</v>
      </c>
      <c r="B526" s="295">
        <v>2</v>
      </c>
      <c r="C526" s="295">
        <v>2</v>
      </c>
      <c r="D526" s="295" t="s">
        <v>579</v>
      </c>
      <c r="E526" s="295" t="s">
        <v>580</v>
      </c>
      <c r="F526" s="297">
        <v>16</v>
      </c>
      <c r="G526" s="295" t="s">
        <v>25</v>
      </c>
      <c r="H526" s="295">
        <v>1</v>
      </c>
      <c r="I526" s="296">
        <v>33301</v>
      </c>
      <c r="J526" s="295">
        <v>1</v>
      </c>
      <c r="K526" s="295">
        <v>19</v>
      </c>
      <c r="L526" s="295">
        <v>1</v>
      </c>
      <c r="M526" s="295">
        <v>4</v>
      </c>
      <c r="N526" s="295" t="s">
        <v>583</v>
      </c>
      <c r="O526" s="295">
        <v>13</v>
      </c>
      <c r="P526" s="300">
        <v>246740</v>
      </c>
      <c r="Q526" s="298">
        <v>445374</v>
      </c>
      <c r="R526" s="298">
        <f t="shared" si="28"/>
        <v>692114</v>
      </c>
      <c r="S526" s="298">
        <v>614704.86</v>
      </c>
      <c r="T526" s="298">
        <v>582224.86</v>
      </c>
      <c r="U526" s="298">
        <v>582224.86</v>
      </c>
      <c r="V526" s="298">
        <v>456654.86</v>
      </c>
    </row>
    <row r="527" spans="1:22" s="299" customFormat="1" ht="15" customHeight="1" x14ac:dyDescent="0.25">
      <c r="A527" s="295" t="s">
        <v>597</v>
      </c>
      <c r="B527" s="295">
        <v>2</v>
      </c>
      <c r="C527" s="295">
        <v>2</v>
      </c>
      <c r="D527" s="295" t="s">
        <v>579</v>
      </c>
      <c r="E527" s="295" t="s">
        <v>580</v>
      </c>
      <c r="F527" s="297">
        <v>16</v>
      </c>
      <c r="G527" s="295" t="s">
        <v>25</v>
      </c>
      <c r="H527" s="295">
        <v>1</v>
      </c>
      <c r="I527" s="296">
        <v>33401</v>
      </c>
      <c r="J527" s="295">
        <v>1</v>
      </c>
      <c r="K527" s="295">
        <v>19</v>
      </c>
      <c r="L527" s="295">
        <v>1</v>
      </c>
      <c r="M527" s="295">
        <v>4</v>
      </c>
      <c r="N527" s="295" t="s">
        <v>583</v>
      </c>
      <c r="O527" s="297">
        <v>13</v>
      </c>
      <c r="P527" s="300">
        <v>101478.91</v>
      </c>
      <c r="Q527" s="298">
        <v>14708</v>
      </c>
      <c r="R527" s="298">
        <f t="shared" si="28"/>
        <v>116186.91</v>
      </c>
      <c r="S527" s="298">
        <v>14707.8</v>
      </c>
      <c r="T527" s="298">
        <v>14707.8</v>
      </c>
      <c r="U527" s="298">
        <v>14707.8</v>
      </c>
      <c r="V527" s="298">
        <v>14707.8</v>
      </c>
    </row>
    <row r="528" spans="1:22" s="299" customFormat="1" ht="15" customHeight="1" x14ac:dyDescent="0.25">
      <c r="A528" s="295" t="s">
        <v>597</v>
      </c>
      <c r="B528" s="295">
        <v>2</v>
      </c>
      <c r="C528" s="295">
        <v>2</v>
      </c>
      <c r="D528" s="295" t="s">
        <v>579</v>
      </c>
      <c r="E528" s="295" t="s">
        <v>580</v>
      </c>
      <c r="F528" s="297">
        <v>16</v>
      </c>
      <c r="G528" s="295" t="s">
        <v>25</v>
      </c>
      <c r="H528" s="295">
        <v>1</v>
      </c>
      <c r="I528" s="296">
        <v>33603</v>
      </c>
      <c r="J528" s="295">
        <v>1</v>
      </c>
      <c r="K528" s="295">
        <v>19</v>
      </c>
      <c r="L528" s="295">
        <v>1</v>
      </c>
      <c r="M528" s="295">
        <v>4</v>
      </c>
      <c r="N528" s="295" t="s">
        <v>583</v>
      </c>
      <c r="O528" s="295">
        <v>13</v>
      </c>
      <c r="P528" s="300">
        <v>1065833.68</v>
      </c>
      <c r="Q528" s="298">
        <v>-83178</v>
      </c>
      <c r="R528" s="298">
        <f t="shared" si="28"/>
        <v>982655.67999999993</v>
      </c>
      <c r="S528" s="300">
        <v>944437.95</v>
      </c>
      <c r="T528" s="298">
        <v>788714.91</v>
      </c>
      <c r="U528" s="298">
        <v>788714.91</v>
      </c>
      <c r="V528" s="298">
        <v>707594.46000000008</v>
      </c>
    </row>
    <row r="529" spans="1:22" s="299" customFormat="1" ht="15" customHeight="1" x14ac:dyDescent="0.25">
      <c r="A529" s="295" t="s">
        <v>597</v>
      </c>
      <c r="B529" s="295">
        <v>2</v>
      </c>
      <c r="C529" s="295">
        <v>2</v>
      </c>
      <c r="D529" s="295" t="s">
        <v>579</v>
      </c>
      <c r="E529" s="295" t="s">
        <v>580</v>
      </c>
      <c r="F529" s="297">
        <v>16</v>
      </c>
      <c r="G529" s="295" t="s">
        <v>25</v>
      </c>
      <c r="H529" s="295">
        <v>1</v>
      </c>
      <c r="I529" s="296">
        <v>33801</v>
      </c>
      <c r="J529" s="295">
        <v>1</v>
      </c>
      <c r="K529" s="295">
        <v>19</v>
      </c>
      <c r="L529" s="295">
        <v>1</v>
      </c>
      <c r="M529" s="295">
        <v>4</v>
      </c>
      <c r="N529" s="295" t="s">
        <v>583</v>
      </c>
      <c r="O529" s="297">
        <v>13</v>
      </c>
      <c r="P529" s="300">
        <v>1134987</v>
      </c>
      <c r="Q529" s="298">
        <v>55393</v>
      </c>
      <c r="R529" s="298">
        <f t="shared" si="28"/>
        <v>1190380</v>
      </c>
      <c r="S529" s="298">
        <v>889631.99</v>
      </c>
      <c r="T529" s="298">
        <v>836231.3899999999</v>
      </c>
      <c r="U529" s="298">
        <v>836231.3899999999</v>
      </c>
      <c r="V529" s="298">
        <v>508897.53</v>
      </c>
    </row>
    <row r="530" spans="1:22" s="299" customFormat="1" ht="15" customHeight="1" x14ac:dyDescent="0.25">
      <c r="A530" s="295" t="s">
        <v>597</v>
      </c>
      <c r="B530" s="295">
        <v>2</v>
      </c>
      <c r="C530" s="295">
        <v>2</v>
      </c>
      <c r="D530" s="295" t="s">
        <v>579</v>
      </c>
      <c r="E530" s="295" t="s">
        <v>580</v>
      </c>
      <c r="F530" s="297">
        <v>16</v>
      </c>
      <c r="G530" s="295" t="s">
        <v>25</v>
      </c>
      <c r="H530" s="295">
        <v>1</v>
      </c>
      <c r="I530" s="296">
        <v>33901</v>
      </c>
      <c r="J530" s="295">
        <v>1</v>
      </c>
      <c r="K530" s="295">
        <v>19</v>
      </c>
      <c r="L530" s="295">
        <v>1</v>
      </c>
      <c r="M530" s="295">
        <v>4</v>
      </c>
      <c r="N530" s="295" t="s">
        <v>583</v>
      </c>
      <c r="O530" s="295">
        <v>13</v>
      </c>
      <c r="P530" s="300">
        <v>950040</v>
      </c>
      <c r="Q530" s="298">
        <v>393000</v>
      </c>
      <c r="R530" s="298">
        <f t="shared" si="28"/>
        <v>1343040</v>
      </c>
      <c r="S530" s="298">
        <v>1342761.71</v>
      </c>
      <c r="T530" s="298">
        <v>1247211.71</v>
      </c>
      <c r="U530" s="298">
        <v>1247211.71</v>
      </c>
      <c r="V530" s="298">
        <v>1233738.5</v>
      </c>
    </row>
    <row r="531" spans="1:22" s="299" customFormat="1" ht="15" customHeight="1" x14ac:dyDescent="0.25">
      <c r="A531" s="295" t="s">
        <v>597</v>
      </c>
      <c r="B531" s="295">
        <v>2</v>
      </c>
      <c r="C531" s="295">
        <v>2</v>
      </c>
      <c r="D531" s="295" t="s">
        <v>579</v>
      </c>
      <c r="E531" s="295" t="s">
        <v>580</v>
      </c>
      <c r="F531" s="297">
        <v>16</v>
      </c>
      <c r="G531" s="295" t="s">
        <v>25</v>
      </c>
      <c r="H531" s="295">
        <v>1</v>
      </c>
      <c r="I531" s="296">
        <v>34101</v>
      </c>
      <c r="J531" s="295">
        <v>1</v>
      </c>
      <c r="K531" s="295">
        <v>19</v>
      </c>
      <c r="L531" s="295">
        <v>1</v>
      </c>
      <c r="M531" s="295">
        <v>4</v>
      </c>
      <c r="N531" s="295" t="s">
        <v>583</v>
      </c>
      <c r="O531" s="297">
        <v>13</v>
      </c>
      <c r="P531" s="300">
        <v>397378.31</v>
      </c>
      <c r="Q531" s="298">
        <v>165825</v>
      </c>
      <c r="R531" s="298">
        <f t="shared" si="28"/>
        <v>563203.31000000006</v>
      </c>
      <c r="S531" s="298">
        <v>547410.37</v>
      </c>
      <c r="T531" s="298">
        <v>547410.37</v>
      </c>
      <c r="U531" s="298">
        <v>547410.37</v>
      </c>
      <c r="V531" s="298">
        <v>543528.66</v>
      </c>
    </row>
    <row r="532" spans="1:22" s="299" customFormat="1" ht="15" customHeight="1" x14ac:dyDescent="0.25">
      <c r="A532" s="295" t="s">
        <v>597</v>
      </c>
      <c r="B532" s="295">
        <v>2</v>
      </c>
      <c r="C532" s="295">
        <v>2</v>
      </c>
      <c r="D532" s="295" t="s">
        <v>579</v>
      </c>
      <c r="E532" s="295" t="s">
        <v>580</v>
      </c>
      <c r="F532" s="297">
        <v>16</v>
      </c>
      <c r="G532" s="295" t="s">
        <v>25</v>
      </c>
      <c r="H532" s="295">
        <v>1</v>
      </c>
      <c r="I532" s="296">
        <v>34301</v>
      </c>
      <c r="J532" s="295">
        <v>1</v>
      </c>
      <c r="K532" s="295">
        <v>19</v>
      </c>
      <c r="L532" s="295">
        <v>1</v>
      </c>
      <c r="M532" s="295">
        <v>4</v>
      </c>
      <c r="N532" s="295" t="s">
        <v>583</v>
      </c>
      <c r="O532" s="295">
        <v>13</v>
      </c>
      <c r="P532" s="300">
        <v>18291617.039999999</v>
      </c>
      <c r="Q532" s="298">
        <f>12587.2-4298039.8-12587.2</f>
        <v>-4298039.8</v>
      </c>
      <c r="R532" s="298">
        <f t="shared" si="28"/>
        <v>13993577.239999998</v>
      </c>
      <c r="S532" s="298">
        <v>17587728.400000002</v>
      </c>
      <c r="T532" s="298">
        <v>11701046.270000001</v>
      </c>
      <c r="U532" s="298">
        <v>11701046.270000001</v>
      </c>
      <c r="V532" s="298">
        <v>9880697.5199999996</v>
      </c>
    </row>
    <row r="533" spans="1:22" s="299" customFormat="1" ht="15" customHeight="1" x14ac:dyDescent="0.25">
      <c r="A533" s="295" t="s">
        <v>597</v>
      </c>
      <c r="B533" s="295">
        <v>2</v>
      </c>
      <c r="C533" s="295">
        <v>2</v>
      </c>
      <c r="D533" s="295" t="s">
        <v>579</v>
      </c>
      <c r="E533" s="295" t="s">
        <v>580</v>
      </c>
      <c r="F533" s="297">
        <v>16</v>
      </c>
      <c r="G533" s="295" t="s">
        <v>25</v>
      </c>
      <c r="H533" s="295">
        <v>1</v>
      </c>
      <c r="I533" s="296">
        <v>34401</v>
      </c>
      <c r="J533" s="295">
        <v>1</v>
      </c>
      <c r="K533" s="295">
        <v>19</v>
      </c>
      <c r="L533" s="295">
        <v>1</v>
      </c>
      <c r="M533" s="295">
        <v>4</v>
      </c>
      <c r="N533" s="295" t="s">
        <v>583</v>
      </c>
      <c r="O533" s="297">
        <v>13</v>
      </c>
      <c r="P533" s="300">
        <v>1202645.17</v>
      </c>
      <c r="Q533" s="298">
        <v>6965</v>
      </c>
      <c r="R533" s="298">
        <f t="shared" si="28"/>
        <v>1209610.17</v>
      </c>
      <c r="S533" s="298">
        <v>1050300</v>
      </c>
      <c r="T533" s="298">
        <v>1050300</v>
      </c>
      <c r="U533" s="298">
        <v>1050300</v>
      </c>
      <c r="V533" s="298">
        <v>1050300</v>
      </c>
    </row>
    <row r="534" spans="1:22" s="299" customFormat="1" ht="15" customHeight="1" x14ac:dyDescent="0.25">
      <c r="A534" s="295" t="s">
        <v>597</v>
      </c>
      <c r="B534" s="295">
        <v>2</v>
      </c>
      <c r="C534" s="295">
        <v>2</v>
      </c>
      <c r="D534" s="295" t="s">
        <v>579</v>
      </c>
      <c r="E534" s="295" t="s">
        <v>580</v>
      </c>
      <c r="F534" s="297">
        <v>16</v>
      </c>
      <c r="G534" s="295" t="s">
        <v>25</v>
      </c>
      <c r="H534" s="295">
        <v>1</v>
      </c>
      <c r="I534" s="296">
        <v>34701</v>
      </c>
      <c r="J534" s="295">
        <v>1</v>
      </c>
      <c r="K534" s="295">
        <v>19</v>
      </c>
      <c r="L534" s="295">
        <v>1</v>
      </c>
      <c r="M534" s="295">
        <v>4</v>
      </c>
      <c r="N534" s="295" t="s">
        <v>583</v>
      </c>
      <c r="O534" s="295">
        <v>13</v>
      </c>
      <c r="P534" s="300">
        <v>40395.619999999995</v>
      </c>
      <c r="Q534" s="298">
        <v>-18074</v>
      </c>
      <c r="R534" s="298">
        <f t="shared" si="28"/>
        <v>22321.619999999995</v>
      </c>
      <c r="S534" s="298">
        <v>6236.62</v>
      </c>
      <c r="T534" s="298">
        <v>6236.62</v>
      </c>
      <c r="U534" s="298">
        <v>6236.62</v>
      </c>
      <c r="V534" s="298">
        <v>6236.62</v>
      </c>
    </row>
    <row r="535" spans="1:22" s="299" customFormat="1" ht="15" customHeight="1" x14ac:dyDescent="0.25">
      <c r="A535" s="295" t="s">
        <v>597</v>
      </c>
      <c r="B535" s="295">
        <v>2</v>
      </c>
      <c r="C535" s="295">
        <v>2</v>
      </c>
      <c r="D535" s="295" t="s">
        <v>579</v>
      </c>
      <c r="E535" s="295" t="s">
        <v>580</v>
      </c>
      <c r="F535" s="297">
        <v>16</v>
      </c>
      <c r="G535" s="295" t="s">
        <v>25</v>
      </c>
      <c r="H535" s="295">
        <v>1</v>
      </c>
      <c r="I535" s="296">
        <v>35101</v>
      </c>
      <c r="J535" s="295">
        <v>1</v>
      </c>
      <c r="K535" s="295">
        <v>19</v>
      </c>
      <c r="L535" s="295">
        <v>1</v>
      </c>
      <c r="M535" s="295">
        <v>4</v>
      </c>
      <c r="N535" s="295" t="s">
        <v>583</v>
      </c>
      <c r="O535" s="297">
        <v>13</v>
      </c>
      <c r="P535" s="300">
        <v>185929</v>
      </c>
      <c r="Q535" s="298">
        <v>-14780</v>
      </c>
      <c r="R535" s="298">
        <f t="shared" si="28"/>
        <v>171149</v>
      </c>
      <c r="S535" s="298">
        <v>154112.20000000001</v>
      </c>
      <c r="T535" s="298">
        <v>154112.20000000001</v>
      </c>
      <c r="U535" s="298">
        <v>154112.20000000001</v>
      </c>
      <c r="V535" s="298">
        <v>111405.07</v>
      </c>
    </row>
    <row r="536" spans="1:22" s="299" customFormat="1" ht="15" customHeight="1" x14ac:dyDescent="0.25">
      <c r="A536" s="295" t="s">
        <v>597</v>
      </c>
      <c r="B536" s="295">
        <v>2</v>
      </c>
      <c r="C536" s="295">
        <v>2</v>
      </c>
      <c r="D536" s="295" t="s">
        <v>579</v>
      </c>
      <c r="E536" s="295" t="s">
        <v>580</v>
      </c>
      <c r="F536" s="297">
        <v>16</v>
      </c>
      <c r="G536" s="295" t="s">
        <v>25</v>
      </c>
      <c r="H536" s="295">
        <v>1</v>
      </c>
      <c r="I536" s="296">
        <v>35201</v>
      </c>
      <c r="J536" s="295">
        <v>1</v>
      </c>
      <c r="K536" s="295">
        <v>19</v>
      </c>
      <c r="L536" s="295">
        <v>1</v>
      </c>
      <c r="M536" s="295">
        <v>4</v>
      </c>
      <c r="N536" s="295" t="s">
        <v>583</v>
      </c>
      <c r="O536" s="295">
        <v>13</v>
      </c>
      <c r="P536" s="300">
        <v>72937.14</v>
      </c>
      <c r="Q536" s="298">
        <v>5114</v>
      </c>
      <c r="R536" s="298">
        <f t="shared" si="28"/>
        <v>78051.14</v>
      </c>
      <c r="S536" s="298">
        <v>75389.209999999992</v>
      </c>
      <c r="T536" s="298">
        <v>75389.209999999992</v>
      </c>
      <c r="U536" s="298">
        <v>75389.209999999992</v>
      </c>
      <c r="V536" s="298">
        <v>72499.209999999992</v>
      </c>
    </row>
    <row r="537" spans="1:22" s="299" customFormat="1" ht="15" customHeight="1" x14ac:dyDescent="0.25">
      <c r="A537" s="295" t="s">
        <v>597</v>
      </c>
      <c r="B537" s="295">
        <v>2</v>
      </c>
      <c r="C537" s="295">
        <v>2</v>
      </c>
      <c r="D537" s="295" t="s">
        <v>579</v>
      </c>
      <c r="E537" s="295" t="s">
        <v>580</v>
      </c>
      <c r="F537" s="297">
        <v>16</v>
      </c>
      <c r="G537" s="295" t="s">
        <v>25</v>
      </c>
      <c r="H537" s="295">
        <v>1</v>
      </c>
      <c r="I537" s="296">
        <v>35302</v>
      </c>
      <c r="J537" s="295">
        <v>1</v>
      </c>
      <c r="K537" s="295">
        <v>19</v>
      </c>
      <c r="L537" s="295">
        <v>1</v>
      </c>
      <c r="M537" s="295">
        <v>4</v>
      </c>
      <c r="N537" s="295" t="s">
        <v>583</v>
      </c>
      <c r="O537" s="297">
        <v>13</v>
      </c>
      <c r="P537" s="300">
        <v>19169.260000000002</v>
      </c>
      <c r="Q537" s="298">
        <v>-1000</v>
      </c>
      <c r="R537" s="298">
        <f t="shared" si="28"/>
        <v>18169.260000000002</v>
      </c>
      <c r="S537" s="298">
        <v>4465.3899999999994</v>
      </c>
      <c r="T537" s="298">
        <v>4465.3899999999994</v>
      </c>
      <c r="U537" s="298">
        <v>4465.3899999999994</v>
      </c>
      <c r="V537" s="298">
        <v>2823.99</v>
      </c>
    </row>
    <row r="538" spans="1:22" s="299" customFormat="1" ht="15" customHeight="1" x14ac:dyDescent="0.25">
      <c r="A538" s="295" t="s">
        <v>597</v>
      </c>
      <c r="B538" s="295">
        <v>2</v>
      </c>
      <c r="C538" s="295">
        <v>2</v>
      </c>
      <c r="D538" s="295" t="s">
        <v>579</v>
      </c>
      <c r="E538" s="295" t="s">
        <v>580</v>
      </c>
      <c r="F538" s="297">
        <v>16</v>
      </c>
      <c r="G538" s="295" t="s">
        <v>25</v>
      </c>
      <c r="H538" s="295">
        <v>1</v>
      </c>
      <c r="I538" s="296">
        <v>35501</v>
      </c>
      <c r="J538" s="295">
        <v>1</v>
      </c>
      <c r="K538" s="295">
        <v>19</v>
      </c>
      <c r="L538" s="295">
        <v>1</v>
      </c>
      <c r="M538" s="295">
        <v>4</v>
      </c>
      <c r="N538" s="295" t="s">
        <v>583</v>
      </c>
      <c r="O538" s="295">
        <v>13</v>
      </c>
      <c r="P538" s="300">
        <v>1362739.2200000002</v>
      </c>
      <c r="Q538" s="298">
        <v>-202005</v>
      </c>
      <c r="R538" s="298">
        <f t="shared" si="28"/>
        <v>1160734.2200000002</v>
      </c>
      <c r="S538" s="298">
        <v>1060233.1600000001</v>
      </c>
      <c r="T538" s="298">
        <v>1060233.1600000001</v>
      </c>
      <c r="U538" s="298">
        <v>1060233.1600000001</v>
      </c>
      <c r="V538" s="298">
        <v>883836.75</v>
      </c>
    </row>
    <row r="539" spans="1:22" s="299" customFormat="1" ht="15" customHeight="1" x14ac:dyDescent="0.25">
      <c r="A539" s="295" t="s">
        <v>597</v>
      </c>
      <c r="B539" s="295">
        <v>2</v>
      </c>
      <c r="C539" s="295">
        <v>2</v>
      </c>
      <c r="D539" s="295" t="s">
        <v>579</v>
      </c>
      <c r="E539" s="295" t="s">
        <v>580</v>
      </c>
      <c r="F539" s="297">
        <v>16</v>
      </c>
      <c r="G539" s="295" t="s">
        <v>25</v>
      </c>
      <c r="H539" s="295">
        <v>1</v>
      </c>
      <c r="I539" s="296">
        <v>35701</v>
      </c>
      <c r="J539" s="295">
        <v>1</v>
      </c>
      <c r="K539" s="295">
        <v>19</v>
      </c>
      <c r="L539" s="295">
        <v>1</v>
      </c>
      <c r="M539" s="295">
        <v>4</v>
      </c>
      <c r="N539" s="295" t="s">
        <v>583</v>
      </c>
      <c r="O539" s="297">
        <v>13</v>
      </c>
      <c r="P539" s="300">
        <v>5744772</v>
      </c>
      <c r="Q539" s="298">
        <v>-138115.35999999987</v>
      </c>
      <c r="R539" s="298">
        <f t="shared" si="28"/>
        <v>5606656.6400000006</v>
      </c>
      <c r="S539" s="298">
        <v>4549722.33</v>
      </c>
      <c r="T539" s="298">
        <v>4549722.33</v>
      </c>
      <c r="U539" s="298">
        <v>4549722.33</v>
      </c>
      <c r="V539" s="298">
        <v>3123438.0100000002</v>
      </c>
    </row>
    <row r="540" spans="1:22" s="299" customFormat="1" ht="15" customHeight="1" x14ac:dyDescent="0.25">
      <c r="A540" s="295" t="s">
        <v>597</v>
      </c>
      <c r="B540" s="295">
        <v>2</v>
      </c>
      <c r="C540" s="295">
        <v>2</v>
      </c>
      <c r="D540" s="295" t="s">
        <v>579</v>
      </c>
      <c r="E540" s="295" t="s">
        <v>580</v>
      </c>
      <c r="F540" s="297">
        <v>16</v>
      </c>
      <c r="G540" s="295" t="s">
        <v>25</v>
      </c>
      <c r="H540" s="295">
        <v>1</v>
      </c>
      <c r="I540" s="296">
        <v>35801</v>
      </c>
      <c r="J540" s="295">
        <v>1</v>
      </c>
      <c r="K540" s="295">
        <v>19</v>
      </c>
      <c r="L540" s="295">
        <v>1</v>
      </c>
      <c r="M540" s="295">
        <v>4</v>
      </c>
      <c r="N540" s="295" t="s">
        <v>583</v>
      </c>
      <c r="O540" s="295">
        <v>13</v>
      </c>
      <c r="P540" s="300">
        <v>153920.12</v>
      </c>
      <c r="Q540" s="298">
        <v>-174</v>
      </c>
      <c r="R540" s="298">
        <f t="shared" si="28"/>
        <v>153746.12</v>
      </c>
      <c r="S540" s="298">
        <v>123717.12</v>
      </c>
      <c r="T540" s="298">
        <v>123158.94</v>
      </c>
      <c r="U540" s="298">
        <v>123158.94</v>
      </c>
      <c r="V540" s="298">
        <v>107449.18</v>
      </c>
    </row>
    <row r="541" spans="1:22" s="299" customFormat="1" ht="15" customHeight="1" x14ac:dyDescent="0.25">
      <c r="A541" s="295" t="s">
        <v>597</v>
      </c>
      <c r="B541" s="295">
        <v>2</v>
      </c>
      <c r="C541" s="295">
        <v>2</v>
      </c>
      <c r="D541" s="295" t="s">
        <v>579</v>
      </c>
      <c r="E541" s="295" t="s">
        <v>580</v>
      </c>
      <c r="F541" s="297">
        <v>16</v>
      </c>
      <c r="G541" s="295" t="s">
        <v>25</v>
      </c>
      <c r="H541" s="295">
        <v>1</v>
      </c>
      <c r="I541" s="296">
        <v>35901</v>
      </c>
      <c r="J541" s="295">
        <v>1</v>
      </c>
      <c r="K541" s="295">
        <v>19</v>
      </c>
      <c r="L541" s="295">
        <v>1</v>
      </c>
      <c r="M541" s="295">
        <v>4</v>
      </c>
      <c r="N541" s="295" t="s">
        <v>583</v>
      </c>
      <c r="O541" s="297">
        <v>13</v>
      </c>
      <c r="P541" s="300">
        <v>20000</v>
      </c>
      <c r="Q541" s="298">
        <v>-10464</v>
      </c>
      <c r="R541" s="298">
        <f t="shared" si="28"/>
        <v>9536</v>
      </c>
      <c r="S541" s="298">
        <v>6175</v>
      </c>
      <c r="T541" s="298">
        <v>6175</v>
      </c>
      <c r="U541" s="298">
        <v>6175</v>
      </c>
      <c r="V541" s="298">
        <v>6175</v>
      </c>
    </row>
    <row r="542" spans="1:22" s="299" customFormat="1" ht="15" customHeight="1" x14ac:dyDescent="0.25">
      <c r="A542" s="295" t="s">
        <v>597</v>
      </c>
      <c r="B542" s="295">
        <v>2</v>
      </c>
      <c r="C542" s="295">
        <v>2</v>
      </c>
      <c r="D542" s="295" t="s">
        <v>579</v>
      </c>
      <c r="E542" s="295" t="s">
        <v>580</v>
      </c>
      <c r="F542" s="297">
        <v>16</v>
      </c>
      <c r="G542" s="295" t="s">
        <v>25</v>
      </c>
      <c r="H542" s="295">
        <v>1</v>
      </c>
      <c r="I542" s="296">
        <v>36501</v>
      </c>
      <c r="J542" s="295">
        <v>1</v>
      </c>
      <c r="K542" s="295">
        <v>19</v>
      </c>
      <c r="L542" s="295">
        <v>1</v>
      </c>
      <c r="M542" s="295">
        <v>4</v>
      </c>
      <c r="N542" s="295" t="s">
        <v>583</v>
      </c>
      <c r="O542" s="295">
        <v>13</v>
      </c>
      <c r="P542" s="300">
        <v>0</v>
      </c>
      <c r="Q542" s="298">
        <v>44660</v>
      </c>
      <c r="R542" s="298">
        <f t="shared" si="28"/>
        <v>44660</v>
      </c>
      <c r="S542" s="298">
        <v>44660</v>
      </c>
      <c r="T542" s="298">
        <v>44660</v>
      </c>
      <c r="U542" s="298">
        <v>44660</v>
      </c>
      <c r="V542" s="298">
        <v>44660</v>
      </c>
    </row>
    <row r="543" spans="1:22" s="299" customFormat="1" ht="15" customHeight="1" x14ac:dyDescent="0.25">
      <c r="A543" s="295" t="s">
        <v>597</v>
      </c>
      <c r="B543" s="295">
        <v>2</v>
      </c>
      <c r="C543" s="295">
        <v>2</v>
      </c>
      <c r="D543" s="295" t="s">
        <v>579</v>
      </c>
      <c r="E543" s="295" t="s">
        <v>580</v>
      </c>
      <c r="F543" s="297">
        <v>16</v>
      </c>
      <c r="G543" s="295" t="s">
        <v>25</v>
      </c>
      <c r="H543" s="295">
        <v>1</v>
      </c>
      <c r="I543" s="296">
        <v>36101</v>
      </c>
      <c r="J543" s="295">
        <v>1</v>
      </c>
      <c r="K543" s="295">
        <v>19</v>
      </c>
      <c r="L543" s="295">
        <v>1</v>
      </c>
      <c r="M543" s="295">
        <v>4</v>
      </c>
      <c r="N543" s="295" t="s">
        <v>583</v>
      </c>
      <c r="O543" s="297">
        <v>13</v>
      </c>
      <c r="P543" s="300">
        <v>889600</v>
      </c>
      <c r="Q543" s="298">
        <v>180160</v>
      </c>
      <c r="R543" s="298">
        <f t="shared" si="28"/>
        <v>1069760</v>
      </c>
      <c r="S543" s="298">
        <v>1220320</v>
      </c>
      <c r="T543" s="298">
        <v>1047840.5</v>
      </c>
      <c r="U543" s="298">
        <v>1047840</v>
      </c>
      <c r="V543" s="298">
        <f>407520+30.01</f>
        <v>407550.01</v>
      </c>
    </row>
    <row r="544" spans="1:22" s="299" customFormat="1" ht="15" customHeight="1" x14ac:dyDescent="0.25">
      <c r="A544" s="295" t="s">
        <v>597</v>
      </c>
      <c r="B544" s="295">
        <v>2</v>
      </c>
      <c r="C544" s="295">
        <v>2</v>
      </c>
      <c r="D544" s="295" t="s">
        <v>579</v>
      </c>
      <c r="E544" s="295" t="s">
        <v>580</v>
      </c>
      <c r="F544" s="297">
        <v>16</v>
      </c>
      <c r="G544" s="295" t="s">
        <v>25</v>
      </c>
      <c r="H544" s="295">
        <v>1</v>
      </c>
      <c r="I544" s="296">
        <v>36401</v>
      </c>
      <c r="J544" s="295">
        <v>1</v>
      </c>
      <c r="K544" s="295">
        <v>19</v>
      </c>
      <c r="L544" s="295">
        <v>1</v>
      </c>
      <c r="M544" s="295">
        <v>4</v>
      </c>
      <c r="N544" s="295" t="s">
        <v>583</v>
      </c>
      <c r="O544" s="295">
        <v>13</v>
      </c>
      <c r="P544" s="300">
        <v>402.6</v>
      </c>
      <c r="Q544" s="298">
        <v>0</v>
      </c>
      <c r="R544" s="298">
        <f t="shared" si="28"/>
        <v>402.6</v>
      </c>
      <c r="S544" s="298">
        <v>0</v>
      </c>
      <c r="T544" s="298">
        <v>0</v>
      </c>
      <c r="U544" s="298">
        <v>0</v>
      </c>
      <c r="V544" s="298">
        <v>0</v>
      </c>
    </row>
    <row r="545" spans="1:22" s="299" customFormat="1" ht="15" customHeight="1" x14ac:dyDescent="0.25">
      <c r="A545" s="295" t="s">
        <v>597</v>
      </c>
      <c r="B545" s="295">
        <v>2</v>
      </c>
      <c r="C545" s="295">
        <v>2</v>
      </c>
      <c r="D545" s="295" t="s">
        <v>579</v>
      </c>
      <c r="E545" s="295" t="s">
        <v>580</v>
      </c>
      <c r="F545" s="297">
        <v>16</v>
      </c>
      <c r="G545" s="295" t="s">
        <v>25</v>
      </c>
      <c r="H545" s="295">
        <v>1</v>
      </c>
      <c r="I545" s="296">
        <v>36901</v>
      </c>
      <c r="J545" s="295">
        <v>1</v>
      </c>
      <c r="K545" s="295">
        <v>19</v>
      </c>
      <c r="L545" s="295">
        <v>1</v>
      </c>
      <c r="M545" s="295">
        <v>4</v>
      </c>
      <c r="N545" s="295" t="s">
        <v>583</v>
      </c>
      <c r="O545" s="297">
        <v>13</v>
      </c>
      <c r="P545" s="300">
        <v>159792.94</v>
      </c>
      <c r="Q545" s="298">
        <v>736</v>
      </c>
      <c r="R545" s="298">
        <f>P545+Q545</f>
        <v>160528.94</v>
      </c>
      <c r="S545" s="298">
        <v>3610</v>
      </c>
      <c r="T545" s="298">
        <v>3610</v>
      </c>
      <c r="U545" s="298">
        <v>3610</v>
      </c>
      <c r="V545" s="298">
        <v>3610</v>
      </c>
    </row>
    <row r="546" spans="1:22" s="299" customFormat="1" ht="15" customHeight="1" x14ac:dyDescent="0.25">
      <c r="A546" s="295" t="s">
        <v>597</v>
      </c>
      <c r="B546" s="295">
        <v>2</v>
      </c>
      <c r="C546" s="295">
        <v>2</v>
      </c>
      <c r="D546" s="295" t="s">
        <v>579</v>
      </c>
      <c r="E546" s="295" t="s">
        <v>580</v>
      </c>
      <c r="F546" s="297">
        <v>16</v>
      </c>
      <c r="G546" s="295" t="s">
        <v>25</v>
      </c>
      <c r="H546" s="295">
        <v>1</v>
      </c>
      <c r="I546" s="296">
        <v>37101</v>
      </c>
      <c r="J546" s="295">
        <v>1</v>
      </c>
      <c r="K546" s="295">
        <v>19</v>
      </c>
      <c r="L546" s="295">
        <v>1</v>
      </c>
      <c r="M546" s="295">
        <v>4</v>
      </c>
      <c r="N546" s="295" t="s">
        <v>583</v>
      </c>
      <c r="O546" s="295">
        <v>13</v>
      </c>
      <c r="P546" s="300">
        <v>32884.68</v>
      </c>
      <c r="Q546" s="298">
        <v>-26481</v>
      </c>
      <c r="R546" s="298">
        <f t="shared" si="28"/>
        <v>6403.68</v>
      </c>
      <c r="S546" s="298">
        <v>0</v>
      </c>
      <c r="T546" s="298">
        <v>0</v>
      </c>
      <c r="U546" s="298">
        <v>0</v>
      </c>
      <c r="V546" s="298">
        <v>0</v>
      </c>
    </row>
    <row r="547" spans="1:22" s="299" customFormat="1" ht="15" customHeight="1" x14ac:dyDescent="0.25">
      <c r="A547" s="295" t="s">
        <v>597</v>
      </c>
      <c r="B547" s="295">
        <v>2</v>
      </c>
      <c r="C547" s="295">
        <v>2</v>
      </c>
      <c r="D547" s="295" t="s">
        <v>579</v>
      </c>
      <c r="E547" s="295" t="s">
        <v>580</v>
      </c>
      <c r="F547" s="297">
        <v>16</v>
      </c>
      <c r="G547" s="295" t="s">
        <v>25</v>
      </c>
      <c r="H547" s="295">
        <v>1</v>
      </c>
      <c r="I547" s="296">
        <v>37201</v>
      </c>
      <c r="J547" s="295">
        <v>1</v>
      </c>
      <c r="K547" s="295">
        <v>19</v>
      </c>
      <c r="L547" s="295">
        <v>1</v>
      </c>
      <c r="M547" s="295">
        <v>4</v>
      </c>
      <c r="N547" s="295" t="s">
        <v>583</v>
      </c>
      <c r="O547" s="297">
        <v>13</v>
      </c>
      <c r="P547" s="300">
        <v>0</v>
      </c>
      <c r="Q547" s="298">
        <v>600</v>
      </c>
      <c r="R547" s="298">
        <f t="shared" si="28"/>
        <v>600</v>
      </c>
      <c r="S547" s="298">
        <v>378</v>
      </c>
      <c r="T547" s="298">
        <v>378</v>
      </c>
      <c r="U547" s="298">
        <v>378</v>
      </c>
      <c r="V547" s="298">
        <v>378</v>
      </c>
    </row>
    <row r="548" spans="1:22" s="299" customFormat="1" ht="15" customHeight="1" x14ac:dyDescent="0.25">
      <c r="A548" s="295" t="s">
        <v>597</v>
      </c>
      <c r="B548" s="295">
        <v>2</v>
      </c>
      <c r="C548" s="295">
        <v>2</v>
      </c>
      <c r="D548" s="295" t="s">
        <v>579</v>
      </c>
      <c r="E548" s="295" t="s">
        <v>580</v>
      </c>
      <c r="F548" s="297">
        <v>16</v>
      </c>
      <c r="G548" s="295" t="s">
        <v>25</v>
      </c>
      <c r="H548" s="295">
        <v>1</v>
      </c>
      <c r="I548" s="296">
        <v>37501</v>
      </c>
      <c r="J548" s="295">
        <v>1</v>
      </c>
      <c r="K548" s="295">
        <v>19</v>
      </c>
      <c r="L548" s="295">
        <v>1</v>
      </c>
      <c r="M548" s="295">
        <v>4</v>
      </c>
      <c r="N548" s="295" t="s">
        <v>583</v>
      </c>
      <c r="O548" s="295">
        <v>13</v>
      </c>
      <c r="P548" s="300">
        <v>471400</v>
      </c>
      <c r="Q548" s="298">
        <v>-85759</v>
      </c>
      <c r="R548" s="298">
        <f t="shared" si="28"/>
        <v>385641</v>
      </c>
      <c r="S548" s="298">
        <v>324168.86</v>
      </c>
      <c r="T548" s="298">
        <v>324168.86</v>
      </c>
      <c r="U548" s="298">
        <v>324168.86</v>
      </c>
      <c r="V548" s="298">
        <v>324168.86</v>
      </c>
    </row>
    <row r="549" spans="1:22" s="299" customFormat="1" ht="15" customHeight="1" x14ac:dyDescent="0.25">
      <c r="A549" s="295" t="s">
        <v>597</v>
      </c>
      <c r="B549" s="295">
        <v>2</v>
      </c>
      <c r="C549" s="295">
        <v>2</v>
      </c>
      <c r="D549" s="295" t="s">
        <v>579</v>
      </c>
      <c r="E549" s="295" t="s">
        <v>580</v>
      </c>
      <c r="F549" s="297">
        <v>16</v>
      </c>
      <c r="G549" s="295" t="s">
        <v>25</v>
      </c>
      <c r="H549" s="295">
        <v>1</v>
      </c>
      <c r="I549" s="296">
        <v>37502</v>
      </c>
      <c r="J549" s="295">
        <v>1</v>
      </c>
      <c r="K549" s="295">
        <v>19</v>
      </c>
      <c r="L549" s="295">
        <v>1</v>
      </c>
      <c r="M549" s="295">
        <v>4</v>
      </c>
      <c r="N549" s="295" t="s">
        <v>583</v>
      </c>
      <c r="O549" s="295">
        <v>13</v>
      </c>
      <c r="P549" s="300">
        <v>239058.71</v>
      </c>
      <c r="Q549" s="298">
        <v>8600</v>
      </c>
      <c r="R549" s="298">
        <f t="shared" si="28"/>
        <v>247658.71</v>
      </c>
      <c r="S549" s="298">
        <v>217900</v>
      </c>
      <c r="T549" s="298">
        <v>217900</v>
      </c>
      <c r="U549" s="298">
        <v>217900</v>
      </c>
      <c r="V549" s="298">
        <v>217900</v>
      </c>
    </row>
    <row r="550" spans="1:22" s="299" customFormat="1" ht="15" customHeight="1" x14ac:dyDescent="0.25">
      <c r="A550" s="295" t="s">
        <v>597</v>
      </c>
      <c r="B550" s="295">
        <v>2</v>
      </c>
      <c r="C550" s="295">
        <v>2</v>
      </c>
      <c r="D550" s="295" t="s">
        <v>579</v>
      </c>
      <c r="E550" s="295" t="s">
        <v>580</v>
      </c>
      <c r="F550" s="297">
        <v>16</v>
      </c>
      <c r="G550" s="295" t="s">
        <v>25</v>
      </c>
      <c r="H550" s="295">
        <v>1</v>
      </c>
      <c r="I550" s="296">
        <v>38101</v>
      </c>
      <c r="J550" s="295">
        <v>1</v>
      </c>
      <c r="K550" s="295">
        <v>19</v>
      </c>
      <c r="L550" s="295">
        <v>1</v>
      </c>
      <c r="M550" s="295">
        <v>4</v>
      </c>
      <c r="N550" s="295" t="s">
        <v>583</v>
      </c>
      <c r="O550" s="295">
        <v>13</v>
      </c>
      <c r="P550" s="300">
        <v>0</v>
      </c>
      <c r="Q550" s="298">
        <v>6960</v>
      </c>
      <c r="R550" s="298">
        <f t="shared" si="28"/>
        <v>6960</v>
      </c>
      <c r="S550" s="298">
        <v>6960</v>
      </c>
      <c r="T550" s="298">
        <v>6960</v>
      </c>
      <c r="U550" s="298">
        <v>6960</v>
      </c>
      <c r="V550" s="298">
        <v>6960</v>
      </c>
    </row>
    <row r="551" spans="1:22" s="299" customFormat="1" ht="15" customHeight="1" x14ac:dyDescent="0.25">
      <c r="A551" s="295" t="s">
        <v>597</v>
      </c>
      <c r="B551" s="295">
        <v>2</v>
      </c>
      <c r="C551" s="295">
        <v>2</v>
      </c>
      <c r="D551" s="295" t="s">
        <v>579</v>
      </c>
      <c r="E551" s="295" t="s">
        <v>580</v>
      </c>
      <c r="F551" s="297">
        <v>16</v>
      </c>
      <c r="G551" s="295" t="s">
        <v>25</v>
      </c>
      <c r="H551" s="295">
        <v>1</v>
      </c>
      <c r="I551" s="296">
        <v>38301</v>
      </c>
      <c r="J551" s="295">
        <v>1</v>
      </c>
      <c r="K551" s="295">
        <v>19</v>
      </c>
      <c r="L551" s="295">
        <v>1</v>
      </c>
      <c r="M551" s="295">
        <v>4</v>
      </c>
      <c r="N551" s="295" t="s">
        <v>583</v>
      </c>
      <c r="O551" s="295">
        <v>13</v>
      </c>
      <c r="P551" s="300">
        <v>0</v>
      </c>
      <c r="Q551" s="298">
        <v>3772</v>
      </c>
      <c r="R551" s="298">
        <f t="shared" si="28"/>
        <v>3772</v>
      </c>
      <c r="S551" s="298">
        <v>3771.6</v>
      </c>
      <c r="T551" s="298">
        <v>3771.6</v>
      </c>
      <c r="U551" s="298">
        <v>3771.6</v>
      </c>
      <c r="V551" s="298">
        <v>3771.6</v>
      </c>
    </row>
    <row r="552" spans="1:22" s="299" customFormat="1" ht="15" customHeight="1" x14ac:dyDescent="0.25">
      <c r="A552" s="295" t="s">
        <v>597</v>
      </c>
      <c r="B552" s="295">
        <v>2</v>
      </c>
      <c r="C552" s="295">
        <v>2</v>
      </c>
      <c r="D552" s="295" t="s">
        <v>579</v>
      </c>
      <c r="E552" s="295" t="s">
        <v>580</v>
      </c>
      <c r="F552" s="297">
        <v>16</v>
      </c>
      <c r="G552" s="295" t="s">
        <v>25</v>
      </c>
      <c r="H552" s="295">
        <v>1</v>
      </c>
      <c r="I552" s="296">
        <v>39201</v>
      </c>
      <c r="J552" s="295">
        <v>1</v>
      </c>
      <c r="K552" s="295">
        <v>19</v>
      </c>
      <c r="L552" s="295">
        <v>1</v>
      </c>
      <c r="M552" s="295">
        <v>4</v>
      </c>
      <c r="N552" s="295" t="s">
        <v>583</v>
      </c>
      <c r="O552" s="295">
        <v>13</v>
      </c>
      <c r="P552" s="300">
        <v>4738542.57</v>
      </c>
      <c r="Q552" s="298">
        <v>3831510</v>
      </c>
      <c r="R552" s="298">
        <f t="shared" si="28"/>
        <v>8570052.5700000003</v>
      </c>
      <c r="S552" s="298">
        <v>13539712.6</v>
      </c>
      <c r="T552" s="298">
        <f>13539712.6</f>
        <v>13539712.6</v>
      </c>
      <c r="U552" s="298">
        <v>9688126.5099999998</v>
      </c>
      <c r="V552" s="298">
        <v>51564</v>
      </c>
    </row>
    <row r="553" spans="1:22" s="299" customFormat="1" ht="15" customHeight="1" x14ac:dyDescent="0.25">
      <c r="A553" s="295" t="s">
        <v>597</v>
      </c>
      <c r="B553" s="295">
        <v>2</v>
      </c>
      <c r="C553" s="295">
        <v>2</v>
      </c>
      <c r="D553" s="295" t="s">
        <v>579</v>
      </c>
      <c r="E553" s="295" t="s">
        <v>580</v>
      </c>
      <c r="F553" s="297">
        <v>16</v>
      </c>
      <c r="G553" s="295" t="s">
        <v>25</v>
      </c>
      <c r="H553" s="295">
        <v>1</v>
      </c>
      <c r="I553" s="296">
        <v>39501</v>
      </c>
      <c r="J553" s="295">
        <v>1</v>
      </c>
      <c r="K553" s="295">
        <v>19</v>
      </c>
      <c r="L553" s="295">
        <v>1</v>
      </c>
      <c r="M553" s="295">
        <v>4</v>
      </c>
      <c r="N553" s="295" t="s">
        <v>583</v>
      </c>
      <c r="O553" s="297">
        <v>13</v>
      </c>
      <c r="P553" s="300">
        <f>2036061.95-0.4</f>
        <v>2036061.55</v>
      </c>
      <c r="Q553" s="298">
        <f>-310669+263247</f>
        <v>-47422</v>
      </c>
      <c r="R553" s="298">
        <f t="shared" si="28"/>
        <v>1988639.55</v>
      </c>
      <c r="S553" s="298">
        <v>1907467.9100000001</v>
      </c>
      <c r="T553" s="298">
        <v>1907467.9100000001</v>
      </c>
      <c r="U553" s="298">
        <v>1907467.9100000001</v>
      </c>
      <c r="V553" s="298">
        <v>990852.29999999993</v>
      </c>
    </row>
    <row r="554" spans="1:22" s="299" customFormat="1" ht="15" customHeight="1" x14ac:dyDescent="0.25">
      <c r="A554" s="295" t="s">
        <v>597</v>
      </c>
      <c r="B554" s="295">
        <v>2</v>
      </c>
      <c r="C554" s="295">
        <v>2</v>
      </c>
      <c r="D554" s="295" t="s">
        <v>579</v>
      </c>
      <c r="E554" s="295" t="s">
        <v>580</v>
      </c>
      <c r="F554" s="297">
        <v>16</v>
      </c>
      <c r="G554" s="295" t="s">
        <v>25</v>
      </c>
      <c r="H554" s="295">
        <v>1</v>
      </c>
      <c r="I554" s="296">
        <v>39601</v>
      </c>
      <c r="J554" s="295">
        <v>1</v>
      </c>
      <c r="K554" s="295">
        <v>19</v>
      </c>
      <c r="L554" s="295">
        <v>1</v>
      </c>
      <c r="M554" s="295">
        <v>4</v>
      </c>
      <c r="N554" s="295" t="s">
        <v>583</v>
      </c>
      <c r="O554" s="295">
        <v>13</v>
      </c>
      <c r="P554" s="300">
        <v>7500</v>
      </c>
      <c r="Q554" s="298">
        <v>0</v>
      </c>
      <c r="R554" s="298">
        <f t="shared" si="28"/>
        <v>7500</v>
      </c>
      <c r="S554" s="298">
        <v>0</v>
      </c>
      <c r="T554" s="298">
        <v>0</v>
      </c>
      <c r="U554" s="298">
        <v>0</v>
      </c>
      <c r="V554" s="298">
        <v>0</v>
      </c>
    </row>
    <row r="555" spans="1:22" s="299" customFormat="1" ht="15" customHeight="1" x14ac:dyDescent="0.25">
      <c r="A555" s="295" t="s">
        <v>597</v>
      </c>
      <c r="B555" s="295">
        <v>2</v>
      </c>
      <c r="C555" s="295">
        <v>2</v>
      </c>
      <c r="D555" s="295" t="s">
        <v>579</v>
      </c>
      <c r="E555" s="295" t="s">
        <v>580</v>
      </c>
      <c r="F555" s="297">
        <v>16</v>
      </c>
      <c r="G555" s="295" t="s">
        <v>25</v>
      </c>
      <c r="H555" s="295">
        <v>1</v>
      </c>
      <c r="I555" s="296">
        <v>39801</v>
      </c>
      <c r="J555" s="295">
        <v>1</v>
      </c>
      <c r="K555" s="295">
        <v>19</v>
      </c>
      <c r="L555" s="295">
        <v>1</v>
      </c>
      <c r="M555" s="295">
        <v>4</v>
      </c>
      <c r="N555" s="295" t="s">
        <v>583</v>
      </c>
      <c r="O555" s="295">
        <v>13</v>
      </c>
      <c r="P555" s="300">
        <v>0</v>
      </c>
      <c r="Q555" s="298">
        <f>1867712+504563.71</f>
        <v>2372275.71</v>
      </c>
      <c r="R555" s="298">
        <f t="shared" si="28"/>
        <v>2372275.71</v>
      </c>
      <c r="S555" s="298">
        <v>2365999.48</v>
      </c>
      <c r="T555" s="298">
        <v>2365999.48</v>
      </c>
      <c r="U555" s="298">
        <v>2365999.48</v>
      </c>
      <c r="V555" s="298">
        <v>2099977.69</v>
      </c>
    </row>
    <row r="556" spans="1:22" s="299" customFormat="1" ht="15" customHeight="1" x14ac:dyDescent="0.25">
      <c r="A556" s="295" t="s">
        <v>597</v>
      </c>
      <c r="B556" s="295">
        <v>2</v>
      </c>
      <c r="C556" s="295">
        <v>2</v>
      </c>
      <c r="D556" s="295" t="s">
        <v>579</v>
      </c>
      <c r="E556" s="295" t="s">
        <v>580</v>
      </c>
      <c r="F556" s="297">
        <v>16</v>
      </c>
      <c r="G556" s="295" t="s">
        <v>25</v>
      </c>
      <c r="H556" s="295">
        <v>1</v>
      </c>
      <c r="I556" s="296">
        <v>42401</v>
      </c>
      <c r="J556" s="295">
        <v>1</v>
      </c>
      <c r="K556" s="295">
        <v>19</v>
      </c>
      <c r="L556" s="295">
        <v>1</v>
      </c>
      <c r="M556" s="295">
        <v>4</v>
      </c>
      <c r="N556" s="295" t="s">
        <v>583</v>
      </c>
      <c r="O556" s="295">
        <v>13</v>
      </c>
      <c r="P556" s="300">
        <v>0</v>
      </c>
      <c r="Q556" s="298">
        <v>300000</v>
      </c>
      <c r="R556" s="298">
        <f t="shared" si="28"/>
        <v>300000</v>
      </c>
      <c r="S556" s="298">
        <v>300000</v>
      </c>
      <c r="T556" s="298">
        <v>300000</v>
      </c>
      <c r="U556" s="298">
        <v>300000</v>
      </c>
      <c r="V556" s="298">
        <v>300000</v>
      </c>
    </row>
    <row r="557" spans="1:22" s="299" customFormat="1" ht="15" customHeight="1" x14ac:dyDescent="0.25">
      <c r="A557" s="295" t="s">
        <v>597</v>
      </c>
      <c r="B557" s="295">
        <v>2</v>
      </c>
      <c r="C557" s="295">
        <v>2</v>
      </c>
      <c r="D557" s="295" t="s">
        <v>579</v>
      </c>
      <c r="E557" s="295" t="s">
        <v>580</v>
      </c>
      <c r="F557" s="297">
        <v>16</v>
      </c>
      <c r="G557" s="295" t="s">
        <v>25</v>
      </c>
      <c r="H557" s="295">
        <v>1</v>
      </c>
      <c r="I557" s="296">
        <v>51101</v>
      </c>
      <c r="J557" s="295">
        <v>2</v>
      </c>
      <c r="K557" s="295">
        <v>19</v>
      </c>
      <c r="L557" s="295">
        <v>1</v>
      </c>
      <c r="M557" s="295">
        <v>4</v>
      </c>
      <c r="N557" s="295" t="s">
        <v>583</v>
      </c>
      <c r="O557" s="297">
        <v>13</v>
      </c>
      <c r="P557" s="300">
        <v>500000</v>
      </c>
      <c r="Q557" s="298">
        <v>-500000</v>
      </c>
      <c r="R557" s="298">
        <f t="shared" si="28"/>
        <v>0</v>
      </c>
      <c r="S557" s="298">
        <v>0</v>
      </c>
      <c r="T557" s="298">
        <v>0</v>
      </c>
      <c r="U557" s="298">
        <v>0</v>
      </c>
      <c r="V557" s="298">
        <v>0</v>
      </c>
    </row>
    <row r="558" spans="1:22" s="299" customFormat="1" ht="15" customHeight="1" x14ac:dyDescent="0.25">
      <c r="A558" s="295" t="s">
        <v>597</v>
      </c>
      <c r="B558" s="295">
        <v>2</v>
      </c>
      <c r="C558" s="295">
        <v>2</v>
      </c>
      <c r="D558" s="295" t="s">
        <v>579</v>
      </c>
      <c r="E558" s="295" t="s">
        <v>580</v>
      </c>
      <c r="F558" s="297">
        <v>16</v>
      </c>
      <c r="G558" s="295" t="s">
        <v>25</v>
      </c>
      <c r="H558" s="295">
        <v>1</v>
      </c>
      <c r="I558" s="296">
        <v>51501</v>
      </c>
      <c r="J558" s="295">
        <v>2</v>
      </c>
      <c r="K558" s="295">
        <v>19</v>
      </c>
      <c r="L558" s="295">
        <v>1</v>
      </c>
      <c r="M558" s="295">
        <v>4</v>
      </c>
      <c r="N558" s="295" t="s">
        <v>583</v>
      </c>
      <c r="O558" s="295">
        <v>13</v>
      </c>
      <c r="P558" s="300">
        <v>500000</v>
      </c>
      <c r="Q558" s="298">
        <v>-489100</v>
      </c>
      <c r="R558" s="298">
        <f t="shared" si="28"/>
        <v>10900</v>
      </c>
      <c r="S558" s="298">
        <v>7300</v>
      </c>
      <c r="T558" s="298">
        <v>7300</v>
      </c>
      <c r="U558" s="298">
        <v>7300</v>
      </c>
      <c r="V558" s="298">
        <v>7300</v>
      </c>
    </row>
    <row r="559" spans="1:22" s="299" customFormat="1" ht="15" customHeight="1" x14ac:dyDescent="0.25">
      <c r="A559" s="303">
        <v>4121500700</v>
      </c>
      <c r="B559" s="295">
        <v>2</v>
      </c>
      <c r="C559" s="295">
        <v>2</v>
      </c>
      <c r="D559" s="295" t="s">
        <v>579</v>
      </c>
      <c r="E559" s="295" t="s">
        <v>580</v>
      </c>
      <c r="F559" s="297">
        <v>16</v>
      </c>
      <c r="G559" s="295" t="s">
        <v>25</v>
      </c>
      <c r="H559" s="295">
        <v>1</v>
      </c>
      <c r="I559" s="296">
        <v>51901</v>
      </c>
      <c r="J559" s="295">
        <v>2</v>
      </c>
      <c r="K559" s="295">
        <v>19</v>
      </c>
      <c r="L559" s="295">
        <v>1</v>
      </c>
      <c r="M559" s="295">
        <v>4</v>
      </c>
      <c r="N559" s="295" t="s">
        <v>583</v>
      </c>
      <c r="O559" s="297">
        <v>13</v>
      </c>
      <c r="P559" s="300">
        <v>29997</v>
      </c>
      <c r="Q559" s="298">
        <v>0</v>
      </c>
      <c r="R559" s="298">
        <f t="shared" si="28"/>
        <v>29997</v>
      </c>
      <c r="S559" s="298">
        <v>0</v>
      </c>
      <c r="T559" s="298">
        <v>0</v>
      </c>
      <c r="U559" s="298">
        <v>0</v>
      </c>
      <c r="V559" s="298">
        <v>0</v>
      </c>
    </row>
    <row r="560" spans="1:22" s="299" customFormat="1" ht="15" customHeight="1" x14ac:dyDescent="0.25">
      <c r="A560" s="295" t="s">
        <v>597</v>
      </c>
      <c r="B560" s="295">
        <v>2</v>
      </c>
      <c r="C560" s="295">
        <v>2</v>
      </c>
      <c r="D560" s="295" t="s">
        <v>579</v>
      </c>
      <c r="E560" s="295" t="s">
        <v>580</v>
      </c>
      <c r="F560" s="297">
        <v>16</v>
      </c>
      <c r="G560" s="295" t="s">
        <v>25</v>
      </c>
      <c r="H560" s="295">
        <v>1</v>
      </c>
      <c r="I560" s="296">
        <v>54101</v>
      </c>
      <c r="J560" s="295">
        <v>2</v>
      </c>
      <c r="K560" s="295">
        <v>19</v>
      </c>
      <c r="L560" s="295">
        <v>1</v>
      </c>
      <c r="M560" s="295">
        <v>4</v>
      </c>
      <c r="N560" s="295" t="s">
        <v>583</v>
      </c>
      <c r="O560" s="295">
        <v>13</v>
      </c>
      <c r="P560" s="300">
        <v>500000</v>
      </c>
      <c r="Q560" s="298">
        <v>-500000</v>
      </c>
      <c r="R560" s="298">
        <f t="shared" si="28"/>
        <v>0</v>
      </c>
      <c r="S560" s="298">
        <v>0</v>
      </c>
      <c r="T560" s="298">
        <v>0</v>
      </c>
      <c r="U560" s="298">
        <v>0</v>
      </c>
      <c r="V560" s="298">
        <v>0</v>
      </c>
    </row>
    <row r="561" spans="1:22" s="299" customFormat="1" ht="15" customHeight="1" x14ac:dyDescent="0.25">
      <c r="A561" s="295" t="s">
        <v>597</v>
      </c>
      <c r="B561" s="295">
        <v>2</v>
      </c>
      <c r="C561" s="295">
        <v>2</v>
      </c>
      <c r="D561" s="295" t="s">
        <v>579</v>
      </c>
      <c r="E561" s="295" t="s">
        <v>580</v>
      </c>
      <c r="F561" s="297">
        <v>16</v>
      </c>
      <c r="G561" s="295" t="s">
        <v>25</v>
      </c>
      <c r="H561" s="295">
        <v>1</v>
      </c>
      <c r="I561" s="296">
        <v>56201</v>
      </c>
      <c r="J561" s="295">
        <v>2</v>
      </c>
      <c r="K561" s="295">
        <v>19</v>
      </c>
      <c r="L561" s="295">
        <v>1</v>
      </c>
      <c r="M561" s="295">
        <v>4</v>
      </c>
      <c r="N561" s="295" t="s">
        <v>583</v>
      </c>
      <c r="O561" s="297">
        <v>13</v>
      </c>
      <c r="P561" s="300">
        <v>2241215</v>
      </c>
      <c r="Q561" s="298">
        <v>-471371.84</v>
      </c>
      <c r="R561" s="298">
        <f t="shared" si="28"/>
        <v>1769843.16</v>
      </c>
      <c r="S561" s="298">
        <v>1420014.54</v>
      </c>
      <c r="T561" s="298">
        <v>1186435.7799999998</v>
      </c>
      <c r="U561" s="298">
        <v>1186435.7799999998</v>
      </c>
      <c r="V561" s="298">
        <v>658657.0199999999</v>
      </c>
    </row>
    <row r="562" spans="1:22" s="299" customFormat="1" ht="15" customHeight="1" x14ac:dyDescent="0.25">
      <c r="A562" s="295" t="s">
        <v>597</v>
      </c>
      <c r="B562" s="295">
        <v>2</v>
      </c>
      <c r="C562" s="295">
        <v>2</v>
      </c>
      <c r="D562" s="295" t="s">
        <v>579</v>
      </c>
      <c r="E562" s="295" t="s">
        <v>580</v>
      </c>
      <c r="F562" s="297">
        <v>16</v>
      </c>
      <c r="G562" s="295" t="s">
        <v>25</v>
      </c>
      <c r="H562" s="295">
        <v>1</v>
      </c>
      <c r="I562" s="296">
        <v>56301</v>
      </c>
      <c r="J562" s="295">
        <v>2</v>
      </c>
      <c r="K562" s="295">
        <v>19</v>
      </c>
      <c r="L562" s="295">
        <v>1</v>
      </c>
      <c r="M562" s="295">
        <v>4</v>
      </c>
      <c r="N562" s="295" t="s">
        <v>583</v>
      </c>
      <c r="O562" s="297">
        <v>13</v>
      </c>
      <c r="P562" s="300">
        <v>1540000</v>
      </c>
      <c r="Q562" s="298">
        <v>0</v>
      </c>
      <c r="R562" s="298">
        <f t="shared" si="28"/>
        <v>1540000</v>
      </c>
      <c r="S562" s="298">
        <v>0</v>
      </c>
      <c r="T562" s="298">
        <v>0</v>
      </c>
      <c r="U562" s="298">
        <v>0</v>
      </c>
      <c r="V562" s="298">
        <v>0</v>
      </c>
    </row>
    <row r="563" spans="1:22" s="299" customFormat="1" ht="15" customHeight="1" x14ac:dyDescent="0.25">
      <c r="A563" s="295" t="s">
        <v>597</v>
      </c>
      <c r="B563" s="295">
        <v>2</v>
      </c>
      <c r="C563" s="295">
        <v>2</v>
      </c>
      <c r="D563" s="295" t="s">
        <v>579</v>
      </c>
      <c r="E563" s="295" t="s">
        <v>580</v>
      </c>
      <c r="F563" s="297">
        <v>16</v>
      </c>
      <c r="G563" s="295" t="s">
        <v>25</v>
      </c>
      <c r="H563" s="295">
        <v>1</v>
      </c>
      <c r="I563" s="296">
        <v>56401</v>
      </c>
      <c r="J563" s="295">
        <v>2</v>
      </c>
      <c r="K563" s="295">
        <v>19</v>
      </c>
      <c r="L563" s="295">
        <v>1</v>
      </c>
      <c r="M563" s="295">
        <v>4</v>
      </c>
      <c r="N563" s="295" t="s">
        <v>583</v>
      </c>
      <c r="O563" s="297">
        <v>13</v>
      </c>
      <c r="P563" s="300">
        <v>0</v>
      </c>
      <c r="Q563" s="298">
        <v>28400.01</v>
      </c>
      <c r="R563" s="298">
        <f>P563+Q563</f>
        <v>28400.01</v>
      </c>
      <c r="S563" s="298">
        <v>28400.01</v>
      </c>
      <c r="T563" s="298">
        <v>28400.01</v>
      </c>
      <c r="U563" s="298">
        <v>28400.01</v>
      </c>
      <c r="V563" s="298">
        <v>28400.01</v>
      </c>
    </row>
    <row r="564" spans="1:22" s="299" customFormat="1" ht="15" customHeight="1" x14ac:dyDescent="0.25">
      <c r="A564" s="295" t="s">
        <v>597</v>
      </c>
      <c r="B564" s="295">
        <v>2</v>
      </c>
      <c r="C564" s="295">
        <v>2</v>
      </c>
      <c r="D564" s="295" t="s">
        <v>579</v>
      </c>
      <c r="E564" s="295" t="s">
        <v>580</v>
      </c>
      <c r="F564" s="297">
        <v>16</v>
      </c>
      <c r="G564" s="295" t="s">
        <v>25</v>
      </c>
      <c r="H564" s="295">
        <v>1</v>
      </c>
      <c r="I564" s="296">
        <v>56501</v>
      </c>
      <c r="J564" s="295">
        <v>2</v>
      </c>
      <c r="K564" s="295">
        <v>19</v>
      </c>
      <c r="L564" s="295">
        <v>1</v>
      </c>
      <c r="M564" s="295">
        <v>4</v>
      </c>
      <c r="N564" s="295" t="s">
        <v>583</v>
      </c>
      <c r="O564" s="297">
        <v>13</v>
      </c>
      <c r="P564" s="300">
        <v>0</v>
      </c>
      <c r="Q564" s="298">
        <v>4500</v>
      </c>
      <c r="R564" s="298">
        <f t="shared" ref="R564:R569" si="29">P564+Q564</f>
        <v>4500</v>
      </c>
      <c r="S564" s="298">
        <v>4408</v>
      </c>
      <c r="T564" s="298">
        <v>4408</v>
      </c>
      <c r="U564" s="298">
        <v>4408</v>
      </c>
      <c r="V564" s="298">
        <v>4408</v>
      </c>
    </row>
    <row r="565" spans="1:22" s="299" customFormat="1" ht="15" customHeight="1" x14ac:dyDescent="0.25">
      <c r="A565" s="295" t="s">
        <v>597</v>
      </c>
      <c r="B565" s="295">
        <v>2</v>
      </c>
      <c r="C565" s="295">
        <v>2</v>
      </c>
      <c r="D565" s="295" t="s">
        <v>579</v>
      </c>
      <c r="E565" s="295" t="s">
        <v>580</v>
      </c>
      <c r="F565" s="297">
        <v>16</v>
      </c>
      <c r="G565" s="295" t="s">
        <v>25</v>
      </c>
      <c r="H565" s="295">
        <v>1</v>
      </c>
      <c r="I565" s="296">
        <v>91102</v>
      </c>
      <c r="J565" s="295">
        <v>2</v>
      </c>
      <c r="K565" s="295">
        <v>19</v>
      </c>
      <c r="L565" s="295">
        <v>1</v>
      </c>
      <c r="M565" s="295">
        <v>4</v>
      </c>
      <c r="N565" s="295" t="s">
        <v>583</v>
      </c>
      <c r="O565" s="297">
        <v>13</v>
      </c>
      <c r="P565" s="300">
        <v>0</v>
      </c>
      <c r="Q565" s="298">
        <v>10361808.539999999</v>
      </c>
      <c r="R565" s="298">
        <f t="shared" si="29"/>
        <v>10361808.539999999</v>
      </c>
      <c r="S565" s="298">
        <v>10361808.539999999</v>
      </c>
      <c r="T565" s="298">
        <v>10361808.539999999</v>
      </c>
      <c r="U565" s="298">
        <v>10361808.539999999</v>
      </c>
      <c r="V565" s="298">
        <v>10361808.539999999</v>
      </c>
    </row>
    <row r="566" spans="1:22" s="299" customFormat="1" ht="15" customHeight="1" x14ac:dyDescent="0.25">
      <c r="A566" s="295" t="s">
        <v>597</v>
      </c>
      <c r="B566" s="295">
        <v>2</v>
      </c>
      <c r="C566" s="295">
        <v>2</v>
      </c>
      <c r="D566" s="295" t="s">
        <v>579</v>
      </c>
      <c r="E566" s="295" t="s">
        <v>580</v>
      </c>
      <c r="F566" s="297">
        <v>16</v>
      </c>
      <c r="G566" s="295" t="s">
        <v>25</v>
      </c>
      <c r="H566" s="295">
        <v>1</v>
      </c>
      <c r="I566" s="296">
        <v>92101</v>
      </c>
      <c r="J566" s="295">
        <v>3</v>
      </c>
      <c r="K566" s="295">
        <v>19</v>
      </c>
      <c r="L566" s="295">
        <v>1</v>
      </c>
      <c r="M566" s="295">
        <v>4</v>
      </c>
      <c r="N566" s="295" t="s">
        <v>583</v>
      </c>
      <c r="O566" s="297">
        <v>13</v>
      </c>
      <c r="P566" s="300">
        <v>0</v>
      </c>
      <c r="Q566" s="298">
        <v>0</v>
      </c>
      <c r="R566" s="298">
        <f t="shared" si="29"/>
        <v>0</v>
      </c>
      <c r="S566" s="298">
        <v>0</v>
      </c>
      <c r="T566" s="298">
        <v>0</v>
      </c>
      <c r="U566" s="298">
        <v>0</v>
      </c>
      <c r="V566" s="298">
        <v>0</v>
      </c>
    </row>
    <row r="567" spans="1:22" s="299" customFormat="1" ht="15" customHeight="1" x14ac:dyDescent="0.25">
      <c r="A567" s="295" t="s">
        <v>597</v>
      </c>
      <c r="B567" s="295">
        <v>2</v>
      </c>
      <c r="C567" s="295">
        <v>2</v>
      </c>
      <c r="D567" s="295" t="s">
        <v>579</v>
      </c>
      <c r="E567" s="295" t="s">
        <v>580</v>
      </c>
      <c r="F567" s="297">
        <v>16</v>
      </c>
      <c r="G567" s="295" t="s">
        <v>25</v>
      </c>
      <c r="H567" s="295">
        <v>1</v>
      </c>
      <c r="I567" s="296">
        <v>92102</v>
      </c>
      <c r="J567" s="295">
        <v>3</v>
      </c>
      <c r="K567" s="295">
        <v>19</v>
      </c>
      <c r="L567" s="295">
        <v>1</v>
      </c>
      <c r="M567" s="295">
        <v>4</v>
      </c>
      <c r="N567" s="295" t="s">
        <v>583</v>
      </c>
      <c r="O567" s="295">
        <v>13</v>
      </c>
      <c r="P567" s="300">
        <v>0</v>
      </c>
      <c r="Q567" s="298">
        <f>18360168+8779.92</f>
        <v>18368947.920000002</v>
      </c>
      <c r="R567" s="298">
        <f t="shared" si="29"/>
        <v>18368947.920000002</v>
      </c>
      <c r="S567" s="298">
        <v>18346429.25</v>
      </c>
      <c r="T567" s="305">
        <v>18346429.25</v>
      </c>
      <c r="U567" s="305">
        <v>18346429.25</v>
      </c>
      <c r="V567" s="298">
        <v>18346429.25</v>
      </c>
    </row>
    <row r="568" spans="1:22" s="299" customFormat="1" ht="15" customHeight="1" x14ac:dyDescent="0.25">
      <c r="A568" s="303">
        <v>4121500700</v>
      </c>
      <c r="B568" s="295">
        <v>2</v>
      </c>
      <c r="C568" s="295">
        <v>2</v>
      </c>
      <c r="D568" s="295" t="s">
        <v>579</v>
      </c>
      <c r="E568" s="295" t="s">
        <v>580</v>
      </c>
      <c r="F568" s="297">
        <v>16</v>
      </c>
      <c r="G568" s="295" t="s">
        <v>25</v>
      </c>
      <c r="H568" s="295">
        <v>1</v>
      </c>
      <c r="I568" s="296">
        <v>99101</v>
      </c>
      <c r="J568" s="295">
        <v>3</v>
      </c>
      <c r="K568" s="295">
        <v>19</v>
      </c>
      <c r="L568" s="295">
        <v>1</v>
      </c>
      <c r="M568" s="295">
        <v>4</v>
      </c>
      <c r="N568" s="295" t="s">
        <v>583</v>
      </c>
      <c r="O568" s="297">
        <v>13</v>
      </c>
      <c r="P568" s="300">
        <v>6754608</v>
      </c>
      <c r="Q568" s="298">
        <v>32579700.839999996</v>
      </c>
      <c r="R568" s="298">
        <f t="shared" si="29"/>
        <v>39334308.839999996</v>
      </c>
      <c r="S568" s="298">
        <v>29173409.52</v>
      </c>
      <c r="T568" s="298">
        <v>29173409.52</v>
      </c>
      <c r="U568" s="298">
        <v>29173409.52</v>
      </c>
      <c r="V568" s="298">
        <v>26569246.960000005</v>
      </c>
    </row>
    <row r="569" spans="1:22" s="299" customFormat="1" ht="15" customHeight="1" x14ac:dyDescent="0.25">
      <c r="A569" s="303">
        <v>4121500500</v>
      </c>
      <c r="B569" s="295">
        <v>2</v>
      </c>
      <c r="C569" s="295">
        <v>2</v>
      </c>
      <c r="D569" s="295" t="s">
        <v>579</v>
      </c>
      <c r="E569" s="295" t="s">
        <v>580</v>
      </c>
      <c r="F569" s="295">
        <v>448</v>
      </c>
      <c r="G569" s="295" t="s">
        <v>25</v>
      </c>
      <c r="H569" s="295">
        <v>1</v>
      </c>
      <c r="I569" s="296">
        <v>61405</v>
      </c>
      <c r="J569" s="295">
        <v>2</v>
      </c>
      <c r="K569" s="295">
        <v>19</v>
      </c>
      <c r="L569" s="295">
        <v>1</v>
      </c>
      <c r="M569" s="295">
        <v>1</v>
      </c>
      <c r="N569" s="295" t="s">
        <v>581</v>
      </c>
      <c r="O569" s="297">
        <v>13</v>
      </c>
      <c r="P569" s="298">
        <v>0</v>
      </c>
      <c r="Q569" s="298">
        <v>1339957.76</v>
      </c>
      <c r="R569" s="298">
        <f t="shared" si="29"/>
        <v>1339957.76</v>
      </c>
      <c r="S569" s="298">
        <v>0</v>
      </c>
      <c r="T569" s="298">
        <v>0</v>
      </c>
      <c r="U569" s="298">
        <v>0</v>
      </c>
      <c r="V569" s="298">
        <v>0</v>
      </c>
    </row>
    <row r="570" spans="1:22" s="299" customFormat="1" ht="15" customHeight="1" x14ac:dyDescent="0.25">
      <c r="A570" s="303">
        <v>4121500500</v>
      </c>
      <c r="B570" s="295">
        <v>2</v>
      </c>
      <c r="C570" s="295">
        <v>2</v>
      </c>
      <c r="D570" s="295" t="s">
        <v>579</v>
      </c>
      <c r="E570" s="295" t="s">
        <v>580</v>
      </c>
      <c r="F570" s="295">
        <v>448</v>
      </c>
      <c r="G570" s="295" t="s">
        <v>25</v>
      </c>
      <c r="H570" s="295">
        <v>1</v>
      </c>
      <c r="I570" s="296">
        <v>61305</v>
      </c>
      <c r="J570" s="295">
        <v>2</v>
      </c>
      <c r="K570" s="295">
        <v>19</v>
      </c>
      <c r="L570" s="295">
        <v>1</v>
      </c>
      <c r="M570" s="295">
        <v>1</v>
      </c>
      <c r="N570" s="295" t="s">
        <v>581</v>
      </c>
      <c r="O570" s="295">
        <v>13</v>
      </c>
      <c r="P570" s="298">
        <f>1009785-0.26</f>
        <v>1009784.74</v>
      </c>
      <c r="Q570" s="298">
        <v>0</v>
      </c>
      <c r="R570" s="298">
        <f>P570+Q570</f>
        <v>1009784.74</v>
      </c>
      <c r="S570" s="298">
        <v>0</v>
      </c>
      <c r="T570" s="298">
        <v>0</v>
      </c>
      <c r="U570" s="298">
        <v>0</v>
      </c>
      <c r="V570" s="298">
        <v>0</v>
      </c>
    </row>
    <row r="571" spans="1:22" s="299" customFormat="1" ht="15" customHeight="1" x14ac:dyDescent="0.25">
      <c r="A571" s="303">
        <v>4121500500</v>
      </c>
      <c r="B571" s="295">
        <v>2</v>
      </c>
      <c r="C571" s="295">
        <v>2</v>
      </c>
      <c r="D571" s="295" t="s">
        <v>579</v>
      </c>
      <c r="E571" s="295" t="s">
        <v>580</v>
      </c>
      <c r="F571" s="295">
        <v>448</v>
      </c>
      <c r="G571" s="295" t="s">
        <v>25</v>
      </c>
      <c r="H571" s="295">
        <v>1</v>
      </c>
      <c r="I571" s="296">
        <v>61310</v>
      </c>
      <c r="J571" s="295">
        <v>2</v>
      </c>
      <c r="K571" s="295">
        <v>19</v>
      </c>
      <c r="L571" s="295">
        <v>1</v>
      </c>
      <c r="M571" s="295">
        <v>1</v>
      </c>
      <c r="N571" s="295" t="s">
        <v>581</v>
      </c>
      <c r="O571" s="297">
        <v>13</v>
      </c>
      <c r="P571" s="298">
        <v>2019569</v>
      </c>
      <c r="Q571" s="298">
        <v>0</v>
      </c>
      <c r="R571" s="298">
        <f>Q571+P571</f>
        <v>2019569</v>
      </c>
      <c r="S571" s="298"/>
      <c r="T571" s="298">
        <v>0</v>
      </c>
      <c r="U571" s="298">
        <v>0</v>
      </c>
      <c r="V571" s="298">
        <v>0</v>
      </c>
    </row>
    <row r="572" spans="1:22" s="299" customFormat="1" ht="15" customHeight="1" x14ac:dyDescent="0.25">
      <c r="A572" s="303">
        <v>4121500300</v>
      </c>
      <c r="B572" s="295">
        <v>2</v>
      </c>
      <c r="C572" s="295">
        <v>2</v>
      </c>
      <c r="D572" s="295" t="s">
        <v>579</v>
      </c>
      <c r="E572" s="295" t="s">
        <v>580</v>
      </c>
      <c r="F572" s="295">
        <v>125</v>
      </c>
      <c r="G572" s="295" t="s">
        <v>25</v>
      </c>
      <c r="H572" s="295">
        <v>1</v>
      </c>
      <c r="I572" s="296">
        <v>61406</v>
      </c>
      <c r="J572" s="295">
        <v>2</v>
      </c>
      <c r="K572" s="295">
        <v>19</v>
      </c>
      <c r="L572" s="295">
        <v>1</v>
      </c>
      <c r="M572" s="295">
        <v>1</v>
      </c>
      <c r="N572" s="295" t="s">
        <v>581</v>
      </c>
      <c r="O572" s="295">
        <v>13</v>
      </c>
      <c r="P572" s="298">
        <v>0</v>
      </c>
      <c r="Q572" s="298">
        <v>900000</v>
      </c>
      <c r="R572" s="298">
        <f t="shared" ref="R572:R577" si="30">P572+Q572</f>
        <v>900000</v>
      </c>
      <c r="S572" s="298">
        <v>790638.45</v>
      </c>
      <c r="T572" s="298">
        <v>790638.45</v>
      </c>
      <c r="U572" s="298">
        <v>790638.45</v>
      </c>
      <c r="V572" s="298">
        <v>790638.45</v>
      </c>
    </row>
    <row r="573" spans="1:22" s="299" customFormat="1" ht="15" customHeight="1" x14ac:dyDescent="0.25">
      <c r="A573" s="303">
        <v>4121500300</v>
      </c>
      <c r="B573" s="295">
        <v>2</v>
      </c>
      <c r="C573" s="295">
        <v>2</v>
      </c>
      <c r="D573" s="295" t="s">
        <v>579</v>
      </c>
      <c r="E573" s="295" t="s">
        <v>580</v>
      </c>
      <c r="F573" s="295">
        <v>125</v>
      </c>
      <c r="G573" s="295" t="s">
        <v>25</v>
      </c>
      <c r="H573" s="295">
        <v>1</v>
      </c>
      <c r="I573" s="296">
        <v>61406</v>
      </c>
      <c r="J573" s="295">
        <v>2</v>
      </c>
      <c r="K573" s="295">
        <v>19</v>
      </c>
      <c r="L573" s="295">
        <v>2</v>
      </c>
      <c r="M573" s="295">
        <v>5</v>
      </c>
      <c r="N573" s="295" t="s">
        <v>585</v>
      </c>
      <c r="O573" s="295">
        <v>13</v>
      </c>
      <c r="P573" s="298">
        <v>0</v>
      </c>
      <c r="Q573" s="298">
        <v>800000</v>
      </c>
      <c r="R573" s="298">
        <f t="shared" si="30"/>
        <v>800000</v>
      </c>
      <c r="S573" s="298">
        <v>790638.44</v>
      </c>
      <c r="T573" s="298">
        <v>790638.44</v>
      </c>
      <c r="U573" s="298">
        <v>790638.44</v>
      </c>
      <c r="V573" s="298">
        <v>790638.44</v>
      </c>
    </row>
    <row r="574" spans="1:22" s="299" customFormat="1" ht="15" customHeight="1" x14ac:dyDescent="0.25">
      <c r="A574" s="303">
        <v>4121500300</v>
      </c>
      <c r="B574" s="295">
        <v>2</v>
      </c>
      <c r="C574" s="295">
        <v>2</v>
      </c>
      <c r="D574" s="295" t="s">
        <v>579</v>
      </c>
      <c r="E574" s="295" t="s">
        <v>580</v>
      </c>
      <c r="F574" s="295">
        <v>448</v>
      </c>
      <c r="G574" s="295" t="s">
        <v>25</v>
      </c>
      <c r="H574" s="295">
        <v>1</v>
      </c>
      <c r="I574" s="296">
        <v>61408</v>
      </c>
      <c r="J574" s="295">
        <v>2</v>
      </c>
      <c r="K574" s="295">
        <v>19</v>
      </c>
      <c r="L574" s="295">
        <v>1</v>
      </c>
      <c r="M574" s="295">
        <v>1</v>
      </c>
      <c r="N574" s="295" t="s">
        <v>581</v>
      </c>
      <c r="O574" s="295">
        <v>13</v>
      </c>
      <c r="P574" s="298"/>
      <c r="Q574" s="298">
        <v>1409000</v>
      </c>
      <c r="R574" s="298">
        <f t="shared" si="30"/>
        <v>1409000</v>
      </c>
      <c r="S574" s="298">
        <v>825248.32</v>
      </c>
      <c r="T574" s="298">
        <v>825248.32</v>
      </c>
      <c r="U574" s="298">
        <v>825248.32</v>
      </c>
      <c r="V574" s="298">
        <v>825248.32</v>
      </c>
    </row>
    <row r="575" spans="1:22" s="299" customFormat="1" ht="15" customHeight="1" x14ac:dyDescent="0.25">
      <c r="A575" s="303">
        <v>4121500300</v>
      </c>
      <c r="B575" s="295">
        <v>2</v>
      </c>
      <c r="C575" s="295">
        <v>2</v>
      </c>
      <c r="D575" s="295" t="s">
        <v>579</v>
      </c>
      <c r="E575" s="295" t="s">
        <v>580</v>
      </c>
      <c r="F575" s="295">
        <v>448</v>
      </c>
      <c r="G575" s="295" t="s">
        <v>25</v>
      </c>
      <c r="H575" s="295">
        <v>1</v>
      </c>
      <c r="I575" s="296">
        <v>61408</v>
      </c>
      <c r="J575" s="295">
        <v>2</v>
      </c>
      <c r="K575" s="295">
        <v>19</v>
      </c>
      <c r="L575" s="295">
        <v>2</v>
      </c>
      <c r="M575" s="295">
        <v>5</v>
      </c>
      <c r="N575" s="295" t="s">
        <v>586</v>
      </c>
      <c r="O575" s="295">
        <v>13</v>
      </c>
      <c r="P575" s="298"/>
      <c r="Q575" s="298">
        <v>7011756.3200000003</v>
      </c>
      <c r="R575" s="298">
        <f t="shared" si="30"/>
        <v>7011756.3200000003</v>
      </c>
      <c r="S575" s="298">
        <v>825248.34</v>
      </c>
      <c r="T575" s="298">
        <v>825248.33499999996</v>
      </c>
      <c r="U575" s="298">
        <v>825248.34</v>
      </c>
      <c r="V575" s="298">
        <v>825248.33499999996</v>
      </c>
    </row>
    <row r="576" spans="1:22" s="299" customFormat="1" ht="15" customHeight="1" x14ac:dyDescent="0.25">
      <c r="A576" s="303">
        <v>4121500700</v>
      </c>
      <c r="B576" s="295">
        <v>2</v>
      </c>
      <c r="C576" s="295">
        <v>2</v>
      </c>
      <c r="D576" s="295" t="s">
        <v>579</v>
      </c>
      <c r="E576" s="295" t="s">
        <v>580</v>
      </c>
      <c r="F576" s="295">
        <v>16</v>
      </c>
      <c r="G576" s="295" t="s">
        <v>25</v>
      </c>
      <c r="H576" s="295">
        <v>1</v>
      </c>
      <c r="I576" s="296">
        <v>61305</v>
      </c>
      <c r="J576" s="295">
        <v>2</v>
      </c>
      <c r="K576" s="295">
        <v>18</v>
      </c>
      <c r="L576" s="295">
        <v>2</v>
      </c>
      <c r="M576" s="295">
        <v>5</v>
      </c>
      <c r="N576" s="295" t="s">
        <v>591</v>
      </c>
      <c r="O576" s="297">
        <v>13</v>
      </c>
      <c r="P576" s="300">
        <v>0</v>
      </c>
      <c r="Q576" s="298">
        <f>8934150.5-500000</f>
        <v>8434150.5</v>
      </c>
      <c r="R576" s="298">
        <f t="shared" si="30"/>
        <v>8434150.5</v>
      </c>
      <c r="S576" s="298">
        <v>7385308.5</v>
      </c>
      <c r="T576" s="298">
        <v>7385308.5</v>
      </c>
      <c r="U576" s="298">
        <v>7385308.5</v>
      </c>
      <c r="V576" s="298">
        <v>7350167.6899999995</v>
      </c>
    </row>
    <row r="577" spans="1:25" s="299" customFormat="1" ht="15" customHeight="1" x14ac:dyDescent="0.25">
      <c r="A577" s="303">
        <v>4121500700</v>
      </c>
      <c r="B577" s="295">
        <v>2</v>
      </c>
      <c r="C577" s="295">
        <v>2</v>
      </c>
      <c r="D577" s="295" t="s">
        <v>579</v>
      </c>
      <c r="E577" s="295" t="s">
        <v>580</v>
      </c>
      <c r="F577" s="295">
        <v>16</v>
      </c>
      <c r="G577" s="295" t="s">
        <v>25</v>
      </c>
      <c r="H577" s="295">
        <v>1</v>
      </c>
      <c r="I577" s="296">
        <v>61305</v>
      </c>
      <c r="J577" s="295">
        <v>2</v>
      </c>
      <c r="K577" s="295">
        <v>18</v>
      </c>
      <c r="L577" s="295">
        <v>2</v>
      </c>
      <c r="M577" s="295">
        <v>1</v>
      </c>
      <c r="N577" s="295" t="s">
        <v>583</v>
      </c>
      <c r="O577" s="297">
        <v>13</v>
      </c>
      <c r="P577" s="300">
        <v>0</v>
      </c>
      <c r="Q577" s="298">
        <v>7385308.5</v>
      </c>
      <c r="R577" s="298">
        <f t="shared" si="30"/>
        <v>7385308.5</v>
      </c>
      <c r="S577" s="298">
        <v>7385308.5</v>
      </c>
      <c r="T577" s="298">
        <v>7385308.5</v>
      </c>
      <c r="U577" s="298">
        <v>7385308.5</v>
      </c>
      <c r="V577" s="298">
        <v>7350167.6999999993</v>
      </c>
    </row>
    <row r="578" spans="1:25" ht="15" customHeight="1" x14ac:dyDescent="0.25">
      <c r="P578" s="306">
        <f>SUM(P3:P577)</f>
        <v>578850855.48180044</v>
      </c>
      <c r="Q578" s="306">
        <f t="shared" ref="Q578:V578" si="31">SUM(Q3:Q577)</f>
        <v>370631441.71093374</v>
      </c>
      <c r="R578" s="306">
        <f t="shared" si="31"/>
        <v>949482297.19273388</v>
      </c>
      <c r="S578" s="306">
        <f t="shared" si="31"/>
        <v>745510513.37175786</v>
      </c>
      <c r="T578" s="306">
        <f t="shared" si="31"/>
        <v>693922767.80002034</v>
      </c>
      <c r="U578" s="306">
        <f t="shared" si="31"/>
        <v>689265377.88002026</v>
      </c>
      <c r="V578" s="306">
        <f t="shared" si="31"/>
        <v>646587490.45421481</v>
      </c>
    </row>
    <row r="579" spans="1:25" ht="15" customHeight="1" x14ac:dyDescent="0.25">
      <c r="P579" s="307"/>
      <c r="Q579" s="301"/>
      <c r="R579" s="301"/>
      <c r="S579" s="299"/>
      <c r="T579" s="302"/>
      <c r="U579" s="299"/>
      <c r="V579" s="302"/>
    </row>
    <row r="580" spans="1:25" x14ac:dyDescent="0.25">
      <c r="A580" s="299"/>
      <c r="B580" s="299"/>
      <c r="C580" s="299"/>
      <c r="D580" s="299"/>
      <c r="E580" s="299"/>
      <c r="F580" s="299"/>
      <c r="G580" s="299"/>
      <c r="H580" s="299"/>
      <c r="J580" s="299"/>
      <c r="K580" s="299"/>
      <c r="L580" s="299"/>
      <c r="M580" s="299"/>
      <c r="N580" s="299"/>
      <c r="O580" s="299"/>
      <c r="P580" s="308"/>
      <c r="Q580" s="308"/>
      <c r="R580" s="308"/>
      <c r="S580" s="308"/>
      <c r="T580" s="308"/>
      <c r="U580" s="308"/>
      <c r="V580" s="308"/>
      <c r="W580" s="308"/>
      <c r="X580" s="308"/>
      <c r="Y580" s="308"/>
    </row>
    <row r="581" spans="1:25" x14ac:dyDescent="0.25">
      <c r="A581" s="299"/>
      <c r="B581" s="299"/>
      <c r="C581" s="299"/>
      <c r="D581" s="299"/>
      <c r="E581" s="299"/>
      <c r="F581" s="299"/>
      <c r="G581" s="299"/>
      <c r="H581" s="299"/>
      <c r="J581" s="299"/>
      <c r="K581" s="299"/>
      <c r="L581" s="299"/>
      <c r="M581" s="299"/>
      <c r="N581" s="299"/>
      <c r="O581" s="299"/>
      <c r="P581" s="301"/>
      <c r="Q581" s="301"/>
      <c r="R581" s="301"/>
      <c r="S581" s="301"/>
      <c r="T581" s="301"/>
    </row>
    <row r="582" spans="1:25" x14ac:dyDescent="0.25">
      <c r="A582" s="299"/>
      <c r="B582" s="299"/>
      <c r="C582" s="299"/>
      <c r="D582" s="299"/>
      <c r="E582" s="299"/>
      <c r="F582" s="299"/>
      <c r="G582" s="299"/>
      <c r="H582" s="299"/>
      <c r="J582" s="299"/>
      <c r="K582" s="299"/>
      <c r="L582" s="299"/>
      <c r="M582" s="299"/>
      <c r="N582" s="299"/>
      <c r="O582" s="299"/>
      <c r="P582" s="302"/>
      <c r="Q582" s="302"/>
      <c r="R582" s="302"/>
      <c r="S582" s="302"/>
      <c r="T582" s="302"/>
      <c r="U582" s="302"/>
      <c r="V582" s="302"/>
    </row>
    <row r="583" spans="1:25" x14ac:dyDescent="0.25">
      <c r="A583" s="299"/>
      <c r="B583" s="299"/>
      <c r="C583" s="299"/>
      <c r="D583" s="299"/>
      <c r="E583" s="299"/>
      <c r="F583" s="299"/>
      <c r="G583" s="299"/>
      <c r="H583" s="299"/>
      <c r="J583" s="299"/>
      <c r="K583" s="299"/>
      <c r="L583" s="299"/>
      <c r="M583" s="299"/>
      <c r="N583" s="299"/>
      <c r="O583" s="299"/>
      <c r="P583" s="301"/>
      <c r="Q583" s="301"/>
      <c r="R583" s="301"/>
      <c r="S583" s="301"/>
      <c r="T583" s="301"/>
      <c r="U583" s="301"/>
      <c r="V583" s="301"/>
    </row>
    <row r="584" spans="1:25" x14ac:dyDescent="0.25">
      <c r="P584" s="280"/>
      <c r="Q584" s="280"/>
      <c r="R584" s="280"/>
      <c r="S584" s="280"/>
      <c r="T584" s="280"/>
      <c r="U584" s="280"/>
      <c r="V584" s="280"/>
    </row>
    <row r="585" spans="1:25" x14ac:dyDescent="0.25">
      <c r="P585" s="175"/>
      <c r="Q585" s="175"/>
      <c r="R585" s="175"/>
      <c r="S585" s="175"/>
      <c r="T585" s="175"/>
      <c r="U585" s="175"/>
      <c r="V585" s="175"/>
      <c r="X585" s="280"/>
    </row>
    <row r="586" spans="1:25" x14ac:dyDescent="0.25">
      <c r="P586" s="175"/>
      <c r="T586" s="280"/>
      <c r="U586" s="175"/>
      <c r="V586" s="175"/>
      <c r="X586" s="280"/>
    </row>
    <row r="587" spans="1:25" x14ac:dyDescent="0.25">
      <c r="P587" s="280"/>
      <c r="T587" s="280"/>
      <c r="U587" s="175"/>
      <c r="V587" s="175"/>
      <c r="X587" s="280"/>
    </row>
    <row r="588" spans="1:25" x14ac:dyDescent="0.25">
      <c r="U588" s="175"/>
      <c r="V588" s="175"/>
      <c r="X588" s="280"/>
    </row>
    <row r="589" spans="1:25" x14ac:dyDescent="0.25">
      <c r="U589" s="175"/>
      <c r="V589" s="175"/>
      <c r="X589" s="280"/>
    </row>
    <row r="590" spans="1:25" x14ac:dyDescent="0.25">
      <c r="U590" s="175"/>
      <c r="V590" s="175"/>
      <c r="X590" s="280"/>
    </row>
    <row r="591" spans="1:25" x14ac:dyDescent="0.25">
      <c r="U591" s="175"/>
      <c r="V591" s="175"/>
      <c r="X591" s="280"/>
    </row>
    <row r="592" spans="1:25" x14ac:dyDescent="0.25">
      <c r="U592" s="175"/>
      <c r="V592" s="175"/>
      <c r="X592" s="280"/>
    </row>
    <row r="593" spans="16:21" x14ac:dyDescent="0.25">
      <c r="P593" s="280"/>
      <c r="Q593" s="280"/>
      <c r="R593" s="280"/>
      <c r="U593" s="175"/>
    </row>
    <row r="594" spans="16:21" x14ac:dyDescent="0.25">
      <c r="Q594" s="175"/>
      <c r="R594" s="280"/>
    </row>
    <row r="595" spans="16:21" x14ac:dyDescent="0.25">
      <c r="P595" s="175"/>
      <c r="Q595" s="175"/>
    </row>
    <row r="596" spans="16:21" x14ac:dyDescent="0.25">
      <c r="P596" s="280"/>
    </row>
    <row r="597" spans="16:21" x14ac:dyDescent="0.25">
      <c r="P597" s="280"/>
    </row>
  </sheetData>
  <autoFilter ref="A2:V579" xr:uid="{00000000-0009-0000-0000-000000000000}"/>
  <mergeCells count="4">
    <mergeCell ref="B1:H1"/>
    <mergeCell ref="I1:J1"/>
    <mergeCell ref="K1:O1"/>
    <mergeCell ref="P1:V1"/>
  </mergeCells>
  <pageMargins left="0.70866141732283472" right="0.70866141732283472" top="0.74803149606299213" bottom="0.74803149606299213" header="0.31496062992125984" footer="0.31496062992125984"/>
  <pageSetup paperSize="14"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ETCA-III-01</vt:lpstr>
      <vt:lpstr>ETCA-III-03</vt:lpstr>
      <vt:lpstr>ETCA-III-04</vt:lpstr>
      <vt:lpstr>ETCA-III-05</vt:lpstr>
      <vt:lpstr>ETCA-IV-01</vt:lpstr>
      <vt:lpstr>ETCA-IV-02</vt:lpstr>
      <vt:lpstr>ETCA-IV-03</vt:lpstr>
      <vt:lpstr>ETCA-IV-04</vt:lpstr>
      <vt:lpstr>ANEXO A</vt:lpstr>
      <vt:lpstr>ANEXO B</vt:lpstr>
      <vt:lpstr>ANEXO C</vt:lpstr>
      <vt:lpstr>'ANEXO B'!Área_de_impresión</vt:lpstr>
      <vt:lpstr>'ETCA-III-01'!Área_de_impresión</vt:lpstr>
      <vt:lpstr>'ETCA-III-03'!Área_de_impresión</vt:lpstr>
      <vt:lpstr>'ETCA-IV-01'!Área_de_impresión</vt:lpstr>
      <vt:lpstr>'ETCA-IV-02'!Área_de_impresión</vt:lpstr>
      <vt:lpstr>'ETCA-IV-03'!Área_de_impresión</vt:lpstr>
      <vt:lpstr>'ETCA-IV-04'!Área_de_impresión</vt:lpstr>
      <vt:lpstr>'ETCA-III-03'!Títulos_a_imprimir</vt:lpstr>
      <vt:lpstr>'ETCA-III-04'!Títulos_a_imprimir</vt:lpstr>
      <vt:lpstr>'ETCA-III-05'!Títulos_a_imprimir</vt:lpstr>
      <vt:lpstr>'ETCA-IV-02'!Títulos_a_imprimir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Valeria Lugo</cp:lastModifiedBy>
  <cp:revision/>
  <cp:lastPrinted>2020-01-15T00:35:43Z</cp:lastPrinted>
  <dcterms:created xsi:type="dcterms:W3CDTF">2014-03-28T01:13:38Z</dcterms:created>
  <dcterms:modified xsi:type="dcterms:W3CDTF">2024-11-12T22:00:35Z</dcterms:modified>
</cp:coreProperties>
</file>