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a.lugo\Desktop\Cuenta publica\CEA\2020\1T\"/>
    </mc:Choice>
  </mc:AlternateContent>
  <xr:revisionPtr revIDLastSave="0" documentId="8_{CCBEA6D7-2F4F-46BF-B226-5E565645ECCE}" xr6:coauthVersionLast="47" xr6:coauthVersionMax="47" xr10:uidLastSave="{00000000-0000-0000-0000-000000000000}"/>
  <bookViews>
    <workbookView xWindow="-120" yWindow="-120" windowWidth="29040" windowHeight="15840" firstSheet="6" xr2:uid="{90A336EA-F0D0-49AE-B23E-A910A9CBE1E3}"/>
  </bookViews>
  <sheets>
    <sheet name="ETCA-II-01" sheetId="1" r:id="rId1"/>
    <sheet name="ETCA-II-02" sheetId="2" r:id="rId2"/>
    <sheet name="ETCA-II-03" sheetId="3" r:id="rId3"/>
    <sheet name="ETCA II-04" sheetId="4" r:id="rId4"/>
    <sheet name="ETCA-II-05" sheetId="5" r:id="rId5"/>
    <sheet name="ETCA-II-06" sheetId="6" r:id="rId6"/>
    <sheet name="ETCA-II-07" sheetId="7" r:id="rId7"/>
    <sheet name="ETCA-II-08" sheetId="8" r:id="rId8"/>
    <sheet name="ETCA-II-09" sheetId="9" r:id="rId9"/>
    <sheet name="ETCA-II-10" sheetId="10" r:id="rId10"/>
    <sheet name="ETCA-II-11" sheetId="11" r:id="rId11"/>
    <sheet name="ETCA-II-12" sheetId="12" r:id="rId12"/>
    <sheet name="ETCA-II-13" sheetId="13" r:id="rId13"/>
    <sheet name="ETCA-II-14" sheetId="14" r:id="rId14"/>
    <sheet name="ETCA-II-15" sheetId="15" r:id="rId15"/>
    <sheet name="ETCA-II-16" sheetId="16" r:id="rId16"/>
    <sheet name="ETCA-II-17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'ETCA-II-01'!$A$1:$H$52</definedName>
    <definedName name="_xlnm.Print_Area" localSheetId="1">'ETCA-II-02'!$A$1:$I$86</definedName>
    <definedName name="_xlnm.Print_Area" localSheetId="2">'ETCA-II-03'!$A$1:$D$34</definedName>
    <definedName name="_xlnm.Print_Area" localSheetId="4">'ETCA-II-05'!$A$1:$H$164</definedName>
    <definedName name="_xlnm.Print_Area" localSheetId="5">'ETCA-II-06'!$A$1:$G$25</definedName>
    <definedName name="_xlnm.Print_Area" localSheetId="6">'ETCA-II-07'!$A$1:$G$36</definedName>
    <definedName name="_xlnm.Print_Area" localSheetId="7">'ETCA-II-08'!$A$1:$G$44</definedName>
    <definedName name="_xlnm.Print_Area" localSheetId="8">'ETCA-II-09'!$A$1:$G$20</definedName>
    <definedName name="_xlnm.Print_Area" localSheetId="9">'ETCA-II-10'!$A$1:$G$26</definedName>
    <definedName name="_xlnm.Print_Area" localSheetId="10">'ETCA-II-11'!$A$1:$G$47</definedName>
    <definedName name="_xlnm.Print_Area" localSheetId="11">'ETCA-II-12'!$A$1:$H$85</definedName>
    <definedName name="_xlnm.Print_Area" localSheetId="12">'ETCA-II-13'!$A$1:$I$379</definedName>
    <definedName name="_xlnm.Print_Area" localSheetId="13">'ETCA-II-14'!$A$1:$G$38</definedName>
    <definedName name="_xlnm.Print_Area" localSheetId="14">'ETCA-II-15'!$A$1:$C$46</definedName>
    <definedName name="_xlnm.Print_Area" localSheetId="15">'ETCA-II-16'!$A$1:$E$36</definedName>
    <definedName name="_xlnm.Print_Area" localSheetId="16">'ETCA-II-17'!$A$1:$D$37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6">#REF!</definedName>
    <definedName name="_xlnm.Database" localSheetId="12">#REF!</definedName>
    <definedName name="_xlnm.Database" localSheetId="14">#REF!</definedName>
    <definedName name="_xlnm.Database" localSheetId="16">#REF!</definedName>
    <definedName name="_xlnm.Database">#REF!</definedName>
    <definedName name="ppto" localSheetId="12">[4]Hoja2!$B$3:$M$95</definedName>
    <definedName name="ppto">[3]Hoja2!$B$3:$M$95</definedName>
    <definedName name="qw" localSheetId="12">#REF!</definedName>
    <definedName name="qw">#REF!</definedName>
    <definedName name="_xlnm.Print_Titles" localSheetId="0">'ETCA-II-01'!$1:$4</definedName>
    <definedName name="_xlnm.Print_Titles" localSheetId="1">'ETCA-II-02'!$5:$7</definedName>
    <definedName name="_xlnm.Print_Titles" localSheetId="11">'ETCA-II-12'!$6:$7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7" l="1"/>
  <c r="B3" i="17"/>
  <c r="C19" i="17"/>
  <c r="D19" i="17"/>
  <c r="D32" i="17" s="1"/>
  <c r="C31" i="17"/>
  <c r="D31" i="17"/>
  <c r="C32" i="17"/>
  <c r="A1" i="16"/>
  <c r="A3" i="16"/>
  <c r="D8" i="16"/>
  <c r="E8" i="16"/>
  <c r="E18" i="16" s="1"/>
  <c r="E9" i="16"/>
  <c r="E10" i="16"/>
  <c r="E11" i="16"/>
  <c r="E12" i="16"/>
  <c r="E13" i="16"/>
  <c r="E14" i="16"/>
  <c r="E15" i="16"/>
  <c r="E16" i="16"/>
  <c r="E17" i="16"/>
  <c r="C18" i="16"/>
  <c r="C31" i="16" s="1"/>
  <c r="D18" i="16"/>
  <c r="E20" i="16"/>
  <c r="E21" i="16"/>
  <c r="E22" i="16"/>
  <c r="E23" i="16"/>
  <c r="E24" i="16"/>
  <c r="E25" i="16"/>
  <c r="E26" i="16"/>
  <c r="E27" i="16"/>
  <c r="E28" i="16"/>
  <c r="E29" i="16"/>
  <c r="C30" i="16"/>
  <c r="D30" i="16"/>
  <c r="D31" i="16" s="1"/>
  <c r="A1" i="15"/>
  <c r="A3" i="15"/>
  <c r="C8" i="15"/>
  <c r="C32" i="15"/>
  <c r="D34" i="15"/>
  <c r="A1" i="14"/>
  <c r="A4" i="14"/>
  <c r="B8" i="14"/>
  <c r="F8" i="14"/>
  <c r="D9" i="14"/>
  <c r="G9" i="14"/>
  <c r="D10" i="14"/>
  <c r="G10" i="14" s="1"/>
  <c r="D11" i="14"/>
  <c r="G11" i="14" s="1"/>
  <c r="D12" i="14"/>
  <c r="G12" i="14" s="1"/>
  <c r="D13" i="14"/>
  <c r="G13" i="14" s="1"/>
  <c r="D14" i="14"/>
  <c r="G14" i="14" s="1"/>
  <c r="B15" i="14"/>
  <c r="C15" i="14"/>
  <c r="C8" i="14" s="1"/>
  <c r="C31" i="14" s="1"/>
  <c r="D15" i="14"/>
  <c r="E15" i="14"/>
  <c r="E8" i="14" s="1"/>
  <c r="E31" i="14" s="1"/>
  <c r="F15" i="14"/>
  <c r="D16" i="14"/>
  <c r="G16" i="14" s="1"/>
  <c r="D17" i="14"/>
  <c r="G17" i="14" s="1"/>
  <c r="D18" i="14"/>
  <c r="G18" i="14" s="1"/>
  <c r="D21" i="14"/>
  <c r="G21" i="14"/>
  <c r="D22" i="14"/>
  <c r="G22" i="14" s="1"/>
  <c r="D23" i="14"/>
  <c r="G23" i="14" s="1"/>
  <c r="D24" i="14"/>
  <c r="G24" i="14" s="1"/>
  <c r="D25" i="14"/>
  <c r="G25" i="14"/>
  <c r="D26" i="14"/>
  <c r="G26" i="14" s="1"/>
  <c r="B27" i="14"/>
  <c r="B20" i="14" s="1"/>
  <c r="C27" i="14"/>
  <c r="C20" i="14" s="1"/>
  <c r="E27" i="14"/>
  <c r="E20" i="14" s="1"/>
  <c r="F27" i="14"/>
  <c r="F20" i="14" s="1"/>
  <c r="F31" i="14" s="1"/>
  <c r="D28" i="14"/>
  <c r="G28" i="14" s="1"/>
  <c r="G27" i="14" s="1"/>
  <c r="D29" i="14"/>
  <c r="G29" i="14" s="1"/>
  <c r="D30" i="14"/>
  <c r="G30" i="14" s="1"/>
  <c r="B31" i="14"/>
  <c r="D10" i="13"/>
  <c r="C11" i="13"/>
  <c r="D11" i="13"/>
  <c r="E12" i="13"/>
  <c r="I12" i="13" s="1"/>
  <c r="H12" i="13"/>
  <c r="E13" i="13"/>
  <c r="E14" i="13"/>
  <c r="E15" i="13"/>
  <c r="H15" i="13" s="1"/>
  <c r="I15" i="13"/>
  <c r="E16" i="13"/>
  <c r="H16" i="13"/>
  <c r="I16" i="13"/>
  <c r="E17" i="13"/>
  <c r="H17" i="13"/>
  <c r="I17" i="13"/>
  <c r="E18" i="13"/>
  <c r="I18" i="13" s="1"/>
  <c r="H18" i="13"/>
  <c r="E19" i="13"/>
  <c r="I19" i="13" s="1"/>
  <c r="H19" i="13"/>
  <c r="D20" i="13"/>
  <c r="C21" i="13"/>
  <c r="D21" i="13"/>
  <c r="E22" i="13"/>
  <c r="I22" i="13" s="1"/>
  <c r="H22" i="13"/>
  <c r="D23" i="13"/>
  <c r="C24" i="13"/>
  <c r="E24" i="13" s="1"/>
  <c r="D24" i="13"/>
  <c r="H24" i="13"/>
  <c r="I24" i="13"/>
  <c r="E25" i="13"/>
  <c r="H25" i="13" s="1"/>
  <c r="I25" i="13"/>
  <c r="C26" i="13"/>
  <c r="E26" i="13" s="1"/>
  <c r="H26" i="13" s="1"/>
  <c r="D26" i="13"/>
  <c r="E27" i="13"/>
  <c r="H27" i="13" s="1"/>
  <c r="I27" i="13"/>
  <c r="E28" i="13"/>
  <c r="I28" i="13" s="1"/>
  <c r="H28" i="13"/>
  <c r="E29" i="13"/>
  <c r="I29" i="13" s="1"/>
  <c r="E30" i="13"/>
  <c r="H30" i="13"/>
  <c r="I30" i="13"/>
  <c r="C31" i="13"/>
  <c r="C23" i="13" s="1"/>
  <c r="E23" i="13" s="1"/>
  <c r="D31" i="13"/>
  <c r="E32" i="13"/>
  <c r="H32" i="13"/>
  <c r="I32" i="13"/>
  <c r="C33" i="13"/>
  <c r="E33" i="13" s="1"/>
  <c r="D33" i="13"/>
  <c r="E34" i="13"/>
  <c r="H34" i="13"/>
  <c r="I34" i="13"/>
  <c r="C36" i="13"/>
  <c r="D36" i="13"/>
  <c r="E37" i="13"/>
  <c r="I37" i="13" s="1"/>
  <c r="H37" i="13"/>
  <c r="E38" i="13"/>
  <c r="H38" i="13"/>
  <c r="I38" i="13"/>
  <c r="C39" i="13"/>
  <c r="D39" i="13"/>
  <c r="E39" i="13"/>
  <c r="I39" i="13" s="1"/>
  <c r="E40" i="13"/>
  <c r="H40" i="13"/>
  <c r="I40" i="13"/>
  <c r="C41" i="13"/>
  <c r="E41" i="13" s="1"/>
  <c r="D41" i="13"/>
  <c r="E42" i="13"/>
  <c r="H42" i="13"/>
  <c r="I42" i="13"/>
  <c r="E43" i="13"/>
  <c r="H43" i="13" s="1"/>
  <c r="I43" i="13"/>
  <c r="E44" i="13"/>
  <c r="C46" i="13"/>
  <c r="E46" i="13" s="1"/>
  <c r="I46" i="13" s="1"/>
  <c r="D46" i="13"/>
  <c r="H46" i="13"/>
  <c r="E47" i="13"/>
  <c r="H47" i="13" s="1"/>
  <c r="C48" i="13"/>
  <c r="E48" i="13" s="1"/>
  <c r="I48" i="13" s="1"/>
  <c r="D48" i="13"/>
  <c r="E49" i="13"/>
  <c r="H49" i="13" s="1"/>
  <c r="E50" i="13"/>
  <c r="I50" i="13" s="1"/>
  <c r="H50" i="13"/>
  <c r="C51" i="13"/>
  <c r="D51" i="13"/>
  <c r="E52" i="13"/>
  <c r="I52" i="13" s="1"/>
  <c r="E53" i="13"/>
  <c r="H53" i="13"/>
  <c r="I53" i="13"/>
  <c r="C54" i="13"/>
  <c r="E54" i="13" s="1"/>
  <c r="D54" i="13"/>
  <c r="E55" i="13"/>
  <c r="H55" i="13"/>
  <c r="I55" i="13"/>
  <c r="C56" i="13"/>
  <c r="C57" i="13"/>
  <c r="D57" i="13"/>
  <c r="E58" i="13"/>
  <c r="I58" i="13" s="1"/>
  <c r="E59" i="13"/>
  <c r="H59" i="13"/>
  <c r="I59" i="13"/>
  <c r="E60" i="13"/>
  <c r="H60" i="13" s="1"/>
  <c r="D62" i="13"/>
  <c r="C63" i="13"/>
  <c r="D63" i="13"/>
  <c r="E63" i="13"/>
  <c r="H63" i="13" s="1"/>
  <c r="E64" i="13"/>
  <c r="H64" i="13"/>
  <c r="I64" i="13"/>
  <c r="C65" i="13"/>
  <c r="D65" i="13"/>
  <c r="E65" i="13"/>
  <c r="H65" i="13" s="1"/>
  <c r="I65" i="13"/>
  <c r="E66" i="13"/>
  <c r="H66" i="13"/>
  <c r="I66" i="13"/>
  <c r="C67" i="13"/>
  <c r="D67" i="13"/>
  <c r="E67" i="13"/>
  <c r="H67" i="13" s="1"/>
  <c r="I67" i="13"/>
  <c r="E68" i="13"/>
  <c r="H68" i="13"/>
  <c r="I68" i="13"/>
  <c r="C69" i="13"/>
  <c r="D69" i="13"/>
  <c r="E69" i="13"/>
  <c r="H69" i="13" s="1"/>
  <c r="E70" i="13"/>
  <c r="H70" i="13"/>
  <c r="I70" i="13"/>
  <c r="C71" i="13"/>
  <c r="D71" i="13"/>
  <c r="E71" i="13"/>
  <c r="H71" i="13" s="1"/>
  <c r="I71" i="13"/>
  <c r="E72" i="13"/>
  <c r="H72" i="13"/>
  <c r="I72" i="13"/>
  <c r="C73" i="13"/>
  <c r="D73" i="13"/>
  <c r="E73" i="13"/>
  <c r="H73" i="13" s="1"/>
  <c r="E74" i="13"/>
  <c r="H74" i="13" s="1"/>
  <c r="C75" i="13"/>
  <c r="D75" i="13"/>
  <c r="E76" i="13"/>
  <c r="I76" i="13" s="1"/>
  <c r="H76" i="13"/>
  <c r="E77" i="13"/>
  <c r="H77" i="13" s="1"/>
  <c r="E78" i="13"/>
  <c r="H78" i="13" s="1"/>
  <c r="I78" i="13"/>
  <c r="C79" i="13"/>
  <c r="C78" i="13" s="1"/>
  <c r="D79" i="13"/>
  <c r="D78" i="13" s="1"/>
  <c r="E79" i="13"/>
  <c r="E80" i="13"/>
  <c r="H80" i="13" s="1"/>
  <c r="I80" i="13"/>
  <c r="E81" i="13"/>
  <c r="H81" i="13"/>
  <c r="I81" i="13"/>
  <c r="C82" i="13"/>
  <c r="D82" i="13"/>
  <c r="E82" i="13"/>
  <c r="H82" i="13" s="1"/>
  <c r="E83" i="13"/>
  <c r="H83" i="13"/>
  <c r="I83" i="13"/>
  <c r="C85" i="13"/>
  <c r="C84" i="13" s="1"/>
  <c r="D85" i="13"/>
  <c r="D84" i="13" s="1"/>
  <c r="E84" i="13" s="1"/>
  <c r="E86" i="13"/>
  <c r="H86" i="13" s="1"/>
  <c r="D87" i="13"/>
  <c r="C88" i="13"/>
  <c r="D88" i="13"/>
  <c r="E88" i="13"/>
  <c r="H88" i="13" s="1"/>
  <c r="E89" i="13"/>
  <c r="C90" i="13"/>
  <c r="D90" i="13"/>
  <c r="E90" i="13"/>
  <c r="H90" i="13" s="1"/>
  <c r="E91" i="13"/>
  <c r="H91" i="13"/>
  <c r="C92" i="13"/>
  <c r="E92" i="13"/>
  <c r="H92" i="13"/>
  <c r="E93" i="13"/>
  <c r="H93" i="13"/>
  <c r="C94" i="13"/>
  <c r="E94" i="13"/>
  <c r="H94" i="13"/>
  <c r="E95" i="13"/>
  <c r="H95" i="13"/>
  <c r="C96" i="13"/>
  <c r="D96" i="13"/>
  <c r="E96" i="13"/>
  <c r="H96" i="13" s="1"/>
  <c r="I96" i="13"/>
  <c r="E97" i="13"/>
  <c r="E98" i="13"/>
  <c r="H98" i="13" s="1"/>
  <c r="C99" i="13"/>
  <c r="E99" i="13" s="1"/>
  <c r="H99" i="13" s="1"/>
  <c r="D99" i="13"/>
  <c r="E100" i="13"/>
  <c r="H100" i="13"/>
  <c r="C101" i="13"/>
  <c r="C102" i="13"/>
  <c r="E102" i="13" s="1"/>
  <c r="D102" i="13"/>
  <c r="H102" i="13"/>
  <c r="E103" i="13"/>
  <c r="H103" i="13"/>
  <c r="C104" i="13"/>
  <c r="D104" i="13"/>
  <c r="E104" i="13"/>
  <c r="H104" i="13" s="1"/>
  <c r="E105" i="13"/>
  <c r="H105" i="13"/>
  <c r="C106" i="13"/>
  <c r="D106" i="13"/>
  <c r="E107" i="13"/>
  <c r="H107" i="13"/>
  <c r="I107" i="13"/>
  <c r="C108" i="13"/>
  <c r="E108" i="13" s="1"/>
  <c r="D108" i="13"/>
  <c r="H108" i="13"/>
  <c r="E109" i="13"/>
  <c r="H109" i="13" s="1"/>
  <c r="C110" i="13"/>
  <c r="D110" i="13"/>
  <c r="E110" i="13" s="1"/>
  <c r="I110" i="13" s="1"/>
  <c r="H110" i="13"/>
  <c r="E111" i="13"/>
  <c r="I111" i="13" s="1"/>
  <c r="H111" i="13"/>
  <c r="D112" i="13"/>
  <c r="C113" i="13"/>
  <c r="D113" i="13"/>
  <c r="E114" i="13"/>
  <c r="I114" i="13" s="1"/>
  <c r="H114" i="13"/>
  <c r="E115" i="13"/>
  <c r="I115" i="13" s="1"/>
  <c r="C117" i="13"/>
  <c r="D117" i="13"/>
  <c r="E118" i="13"/>
  <c r="I118" i="13" s="1"/>
  <c r="H118" i="13"/>
  <c r="C119" i="13"/>
  <c r="D119" i="13"/>
  <c r="D116" i="13" s="1"/>
  <c r="E120" i="13"/>
  <c r="I120" i="13" s="1"/>
  <c r="H120" i="13"/>
  <c r="C121" i="13"/>
  <c r="C122" i="13"/>
  <c r="D122" i="13"/>
  <c r="E123" i="13"/>
  <c r="H123" i="13"/>
  <c r="I123" i="13"/>
  <c r="C124" i="13"/>
  <c r="E124" i="13" s="1"/>
  <c r="D124" i="13"/>
  <c r="H124" i="13"/>
  <c r="I124" i="13"/>
  <c r="E125" i="13"/>
  <c r="H125" i="13"/>
  <c r="I125" i="13"/>
  <c r="C126" i="13"/>
  <c r="D126" i="13"/>
  <c r="E127" i="13"/>
  <c r="H127" i="13"/>
  <c r="I127" i="13"/>
  <c r="C128" i="13"/>
  <c r="E128" i="13" s="1"/>
  <c r="D128" i="13"/>
  <c r="E129" i="13"/>
  <c r="H129" i="13"/>
  <c r="I129" i="13"/>
  <c r="C130" i="13"/>
  <c r="D130" i="13"/>
  <c r="E131" i="13"/>
  <c r="H131" i="13"/>
  <c r="I131" i="13"/>
  <c r="C132" i="13"/>
  <c r="D132" i="13"/>
  <c r="D133" i="13"/>
  <c r="E133" i="13"/>
  <c r="I133" i="13" s="1"/>
  <c r="H133" i="13"/>
  <c r="E134" i="13"/>
  <c r="H134" i="13" s="1"/>
  <c r="C137" i="13"/>
  <c r="D137" i="13"/>
  <c r="E137" i="13"/>
  <c r="H137" i="13" s="1"/>
  <c r="I137" i="13"/>
  <c r="D138" i="13"/>
  <c r="E138" i="13"/>
  <c r="I138" i="13" s="1"/>
  <c r="H138" i="13"/>
  <c r="C139" i="13"/>
  <c r="D139" i="13"/>
  <c r="E139" i="13" s="1"/>
  <c r="I139" i="13" s="1"/>
  <c r="H139" i="13"/>
  <c r="E140" i="13"/>
  <c r="I140" i="13" s="1"/>
  <c r="H140" i="13"/>
  <c r="C141" i="13"/>
  <c r="D141" i="13"/>
  <c r="E141" i="13" s="1"/>
  <c r="I141" i="13" s="1"/>
  <c r="H141" i="13"/>
  <c r="E142" i="13"/>
  <c r="I142" i="13" s="1"/>
  <c r="H142" i="13"/>
  <c r="C143" i="13"/>
  <c r="D143" i="13"/>
  <c r="E143" i="13" s="1"/>
  <c r="I143" i="13" s="1"/>
  <c r="H143" i="13"/>
  <c r="E144" i="13"/>
  <c r="C145" i="13"/>
  <c r="E145" i="13" s="1"/>
  <c r="I145" i="13" s="1"/>
  <c r="D145" i="13"/>
  <c r="H145" i="13"/>
  <c r="E146" i="13"/>
  <c r="C147" i="13"/>
  <c r="E147" i="13"/>
  <c r="H147" i="13" s="1"/>
  <c r="E148" i="13"/>
  <c r="H148" i="13" s="1"/>
  <c r="C149" i="13"/>
  <c r="E149" i="13" s="1"/>
  <c r="H149" i="13" s="1"/>
  <c r="D149" i="13"/>
  <c r="I149" i="13"/>
  <c r="E150" i="13"/>
  <c r="I150" i="13" s="1"/>
  <c r="H150" i="13"/>
  <c r="C151" i="13"/>
  <c r="D151" i="13"/>
  <c r="E152" i="13"/>
  <c r="I152" i="13" s="1"/>
  <c r="H152" i="13"/>
  <c r="C154" i="13"/>
  <c r="D154" i="13"/>
  <c r="D153" i="13" s="1"/>
  <c r="E155" i="13"/>
  <c r="H155" i="13"/>
  <c r="I155" i="13"/>
  <c r="C156" i="13"/>
  <c r="D156" i="13"/>
  <c r="E157" i="13"/>
  <c r="H157" i="13"/>
  <c r="I157" i="13"/>
  <c r="C158" i="13"/>
  <c r="E158" i="13" s="1"/>
  <c r="H158" i="13" s="1"/>
  <c r="D158" i="13"/>
  <c r="I158" i="13"/>
  <c r="E159" i="13"/>
  <c r="H159" i="13"/>
  <c r="I159" i="13"/>
  <c r="E160" i="13"/>
  <c r="I160" i="13" s="1"/>
  <c r="H160" i="13"/>
  <c r="C161" i="13"/>
  <c r="D161" i="13"/>
  <c r="E162" i="13"/>
  <c r="I162" i="13" s="1"/>
  <c r="H162" i="13"/>
  <c r="C163" i="13"/>
  <c r="D163" i="13"/>
  <c r="E164" i="13"/>
  <c r="I164" i="13" s="1"/>
  <c r="H164" i="13"/>
  <c r="C165" i="13"/>
  <c r="D165" i="13"/>
  <c r="E166" i="13"/>
  <c r="I166" i="13" s="1"/>
  <c r="H166" i="13"/>
  <c r="C167" i="13"/>
  <c r="C168" i="13"/>
  <c r="E168" i="13" s="1"/>
  <c r="D168" i="13"/>
  <c r="E169" i="13"/>
  <c r="H169" i="13"/>
  <c r="I169" i="13"/>
  <c r="C170" i="13"/>
  <c r="D170" i="13"/>
  <c r="D167" i="13" s="1"/>
  <c r="E171" i="13"/>
  <c r="H171" i="13"/>
  <c r="I171" i="13"/>
  <c r="C172" i="13"/>
  <c r="D172" i="13"/>
  <c r="E173" i="13"/>
  <c r="H173" i="13"/>
  <c r="I173" i="13"/>
  <c r="E174" i="13"/>
  <c r="I174" i="13" s="1"/>
  <c r="H174" i="13"/>
  <c r="C175" i="13"/>
  <c r="D175" i="13"/>
  <c r="E176" i="13"/>
  <c r="I176" i="13" s="1"/>
  <c r="H176" i="13"/>
  <c r="C177" i="13"/>
  <c r="D177" i="13"/>
  <c r="E178" i="13"/>
  <c r="H178" i="13"/>
  <c r="E179" i="13"/>
  <c r="H179" i="13"/>
  <c r="I179" i="13"/>
  <c r="E180" i="13"/>
  <c r="H180" i="13"/>
  <c r="I180" i="13"/>
  <c r="E181" i="13"/>
  <c r="H181" i="13"/>
  <c r="C182" i="13"/>
  <c r="D182" i="13"/>
  <c r="E182" i="13" s="1"/>
  <c r="E183" i="13"/>
  <c r="I183" i="13" s="1"/>
  <c r="H183" i="13"/>
  <c r="C184" i="13"/>
  <c r="D184" i="13"/>
  <c r="E184" i="13" s="1"/>
  <c r="E185" i="13"/>
  <c r="H185" i="13"/>
  <c r="I185" i="13"/>
  <c r="C187" i="13"/>
  <c r="D187" i="13"/>
  <c r="E188" i="13"/>
  <c r="C189" i="13"/>
  <c r="D189" i="13"/>
  <c r="E190" i="13"/>
  <c r="H190" i="13" s="1"/>
  <c r="I190" i="13"/>
  <c r="C191" i="13"/>
  <c r="E191" i="13" s="1"/>
  <c r="H191" i="13" s="1"/>
  <c r="D191" i="13"/>
  <c r="E192" i="13"/>
  <c r="H192" i="13" s="1"/>
  <c r="I192" i="13"/>
  <c r="C193" i="13"/>
  <c r="D193" i="13"/>
  <c r="E193" i="13"/>
  <c r="E194" i="13"/>
  <c r="H194" i="13" s="1"/>
  <c r="I194" i="13"/>
  <c r="C196" i="13"/>
  <c r="D196" i="13"/>
  <c r="E197" i="13"/>
  <c r="H197" i="13" s="1"/>
  <c r="C198" i="13"/>
  <c r="E198" i="13" s="1"/>
  <c r="H198" i="13" s="1"/>
  <c r="D198" i="13"/>
  <c r="I198" i="13"/>
  <c r="E199" i="13"/>
  <c r="H199" i="13" s="1"/>
  <c r="I199" i="13"/>
  <c r="C200" i="13"/>
  <c r="D200" i="13"/>
  <c r="E200" i="13"/>
  <c r="E201" i="13"/>
  <c r="H201" i="13" s="1"/>
  <c r="E202" i="13"/>
  <c r="I202" i="13" s="1"/>
  <c r="H202" i="13"/>
  <c r="C203" i="13"/>
  <c r="D203" i="13"/>
  <c r="E203" i="13"/>
  <c r="E204" i="13"/>
  <c r="I204" i="13" s="1"/>
  <c r="H204" i="13"/>
  <c r="C205" i="13"/>
  <c r="D206" i="13"/>
  <c r="E207" i="13"/>
  <c r="H207" i="13" s="1"/>
  <c r="C208" i="13"/>
  <c r="D208" i="13"/>
  <c r="E208" i="13"/>
  <c r="I208" i="13" s="1"/>
  <c r="H208" i="13"/>
  <c r="E209" i="13"/>
  <c r="H209" i="13"/>
  <c r="I209" i="13"/>
  <c r="C210" i="13"/>
  <c r="D210" i="13"/>
  <c r="E210" i="13"/>
  <c r="I210" i="13" s="1"/>
  <c r="H210" i="13"/>
  <c r="E211" i="13"/>
  <c r="C212" i="13"/>
  <c r="C213" i="13"/>
  <c r="D213" i="13"/>
  <c r="E213" i="13"/>
  <c r="E214" i="13"/>
  <c r="I214" i="13" s="1"/>
  <c r="H214" i="13"/>
  <c r="C215" i="13"/>
  <c r="D215" i="13"/>
  <c r="E215" i="13"/>
  <c r="I215" i="13" s="1"/>
  <c r="H215" i="13"/>
  <c r="E216" i="13"/>
  <c r="C217" i="13"/>
  <c r="D217" i="13"/>
  <c r="E218" i="13"/>
  <c r="I218" i="13" s="1"/>
  <c r="H218" i="13"/>
  <c r="C219" i="13"/>
  <c r="E219" i="13" s="1"/>
  <c r="I219" i="13" s="1"/>
  <c r="D219" i="13"/>
  <c r="E220" i="13"/>
  <c r="I220" i="13" s="1"/>
  <c r="H220" i="13"/>
  <c r="C222" i="13"/>
  <c r="D222" i="13"/>
  <c r="E223" i="13"/>
  <c r="I223" i="13" s="1"/>
  <c r="H223" i="13"/>
  <c r="E224" i="13"/>
  <c r="H224" i="13"/>
  <c r="C225" i="13"/>
  <c r="D225" i="13"/>
  <c r="E225" i="13"/>
  <c r="H225" i="13"/>
  <c r="I225" i="13"/>
  <c r="E226" i="13"/>
  <c r="H226" i="13"/>
  <c r="I226" i="13"/>
  <c r="C227" i="13"/>
  <c r="D227" i="13"/>
  <c r="E227" i="13"/>
  <c r="H227" i="13"/>
  <c r="I227" i="13"/>
  <c r="E228" i="13"/>
  <c r="H228" i="13"/>
  <c r="I228" i="13"/>
  <c r="E229" i="13"/>
  <c r="H229" i="13"/>
  <c r="I229" i="13"/>
  <c r="C230" i="13"/>
  <c r="D230" i="13"/>
  <c r="D221" i="13" s="1"/>
  <c r="E231" i="13"/>
  <c r="H231" i="13"/>
  <c r="I231" i="13"/>
  <c r="C232" i="13"/>
  <c r="E232" i="13" s="1"/>
  <c r="H232" i="13" s="1"/>
  <c r="D232" i="13"/>
  <c r="E233" i="13"/>
  <c r="H233" i="13"/>
  <c r="I233" i="13"/>
  <c r="C234" i="13"/>
  <c r="E234" i="13" s="1"/>
  <c r="H234" i="13" s="1"/>
  <c r="D234" i="13"/>
  <c r="E235" i="13"/>
  <c r="H235" i="13"/>
  <c r="I235" i="13"/>
  <c r="C236" i="13"/>
  <c r="E236" i="13" s="1"/>
  <c r="H236" i="13" s="1"/>
  <c r="D236" i="13"/>
  <c r="C237" i="13"/>
  <c r="D237" i="13"/>
  <c r="E237" i="13"/>
  <c r="H237" i="13"/>
  <c r="I237" i="13"/>
  <c r="E238" i="13"/>
  <c r="H238" i="13"/>
  <c r="I238" i="13"/>
  <c r="C239" i="13"/>
  <c r="E239" i="13"/>
  <c r="H239" i="13"/>
  <c r="E240" i="13"/>
  <c r="H240" i="13"/>
  <c r="C241" i="13"/>
  <c r="D241" i="13"/>
  <c r="E241" i="13"/>
  <c r="E242" i="13"/>
  <c r="H242" i="13"/>
  <c r="I242" i="13"/>
  <c r="C243" i="13"/>
  <c r="E243" i="13"/>
  <c r="H243" i="13"/>
  <c r="E244" i="13"/>
  <c r="H244" i="13"/>
  <c r="C246" i="13"/>
  <c r="D246" i="13"/>
  <c r="E247" i="13"/>
  <c r="C248" i="13"/>
  <c r="D249" i="13"/>
  <c r="C250" i="13"/>
  <c r="D250" i="13"/>
  <c r="E250" i="13"/>
  <c r="H250" i="13"/>
  <c r="I250" i="13"/>
  <c r="E251" i="13"/>
  <c r="H251" i="13"/>
  <c r="I251" i="13"/>
  <c r="C252" i="13"/>
  <c r="D252" i="13"/>
  <c r="E252" i="13"/>
  <c r="H252" i="13"/>
  <c r="I252" i="13"/>
  <c r="E253" i="13"/>
  <c r="H253" i="13"/>
  <c r="I253" i="13"/>
  <c r="H254" i="13"/>
  <c r="D256" i="13"/>
  <c r="D255" i="13" s="1"/>
  <c r="C257" i="13"/>
  <c r="C256" i="13" s="1"/>
  <c r="D257" i="13"/>
  <c r="E257" i="13"/>
  <c r="H257" i="13" s="1"/>
  <c r="E258" i="13"/>
  <c r="H258" i="13"/>
  <c r="C259" i="13"/>
  <c r="D259" i="13"/>
  <c r="E259" i="13"/>
  <c r="H259" i="13"/>
  <c r="E260" i="13"/>
  <c r="H260" i="13" s="1"/>
  <c r="D261" i="13"/>
  <c r="C262" i="13"/>
  <c r="E262" i="13" s="1"/>
  <c r="H262" i="13" s="1"/>
  <c r="D262" i="13"/>
  <c r="E263" i="13"/>
  <c r="H263" i="13"/>
  <c r="I263" i="13"/>
  <c r="C264" i="13"/>
  <c r="E264" i="13"/>
  <c r="H264" i="13" s="1"/>
  <c r="E265" i="13"/>
  <c r="H265" i="13"/>
  <c r="C267" i="13"/>
  <c r="C266" i="13" s="1"/>
  <c r="E266" i="13" s="1"/>
  <c r="H266" i="13" s="1"/>
  <c r="E267" i="13"/>
  <c r="H267" i="13" s="1"/>
  <c r="E268" i="13"/>
  <c r="H268" i="13"/>
  <c r="C270" i="13"/>
  <c r="C269" i="13" s="1"/>
  <c r="E269" i="13" s="1"/>
  <c r="H269" i="13" s="1"/>
  <c r="E270" i="13"/>
  <c r="H270" i="13" s="1"/>
  <c r="E271" i="13"/>
  <c r="H271" i="13"/>
  <c r="E272" i="13"/>
  <c r="H272" i="13"/>
  <c r="C274" i="13"/>
  <c r="C275" i="13"/>
  <c r="D275" i="13"/>
  <c r="D274" i="13" s="1"/>
  <c r="E276" i="13"/>
  <c r="H276" i="13" s="1"/>
  <c r="C277" i="13"/>
  <c r="E277" i="13"/>
  <c r="H277" i="13"/>
  <c r="E278" i="13"/>
  <c r="H278" i="13" s="1"/>
  <c r="C279" i="13"/>
  <c r="E279" i="13"/>
  <c r="H279" i="13" s="1"/>
  <c r="E280" i="13"/>
  <c r="H280" i="13"/>
  <c r="C281" i="13"/>
  <c r="E281" i="13"/>
  <c r="H281" i="13" s="1"/>
  <c r="E282" i="13"/>
  <c r="H282" i="13"/>
  <c r="C284" i="13"/>
  <c r="C283" i="13" s="1"/>
  <c r="E283" i="13" s="1"/>
  <c r="H283" i="13" s="1"/>
  <c r="E284" i="13"/>
  <c r="H284" i="13" s="1"/>
  <c r="E285" i="13"/>
  <c r="H285" i="13"/>
  <c r="C286" i="13"/>
  <c r="E286" i="13"/>
  <c r="H286" i="13"/>
  <c r="E287" i="13"/>
  <c r="H287" i="13"/>
  <c r="C289" i="13"/>
  <c r="C288" i="13" s="1"/>
  <c r="E288" i="13" s="1"/>
  <c r="H288" i="13" s="1"/>
  <c r="E289" i="13"/>
  <c r="H289" i="13"/>
  <c r="E290" i="13"/>
  <c r="H290" i="13"/>
  <c r="E291" i="13"/>
  <c r="C292" i="13"/>
  <c r="C291" i="13" s="1"/>
  <c r="D292" i="13"/>
  <c r="D291" i="13" s="1"/>
  <c r="E292" i="13"/>
  <c r="E293" i="13"/>
  <c r="C294" i="13"/>
  <c r="E294" i="13"/>
  <c r="H294" i="13"/>
  <c r="E295" i="13"/>
  <c r="H295" i="13"/>
  <c r="C297" i="13"/>
  <c r="E297" i="13" s="1"/>
  <c r="I297" i="13" s="1"/>
  <c r="D297" i="13"/>
  <c r="D296" i="13" s="1"/>
  <c r="E298" i="13"/>
  <c r="H298" i="13"/>
  <c r="I298" i="13"/>
  <c r="C299" i="13"/>
  <c r="E299" i="13" s="1"/>
  <c r="H299" i="13" s="1"/>
  <c r="E300" i="13"/>
  <c r="H300" i="13" s="1"/>
  <c r="C301" i="13"/>
  <c r="E301" i="13"/>
  <c r="H301" i="13"/>
  <c r="E302" i="13"/>
  <c r="H302" i="13" s="1"/>
  <c r="C303" i="13"/>
  <c r="E303" i="13"/>
  <c r="H303" i="13" s="1"/>
  <c r="E304" i="13"/>
  <c r="H304" i="13"/>
  <c r="C305" i="13"/>
  <c r="E305" i="13"/>
  <c r="H305" i="13" s="1"/>
  <c r="E306" i="13"/>
  <c r="H306" i="13"/>
  <c r="C307" i="13"/>
  <c r="E307" i="13"/>
  <c r="H307" i="13"/>
  <c r="E308" i="13"/>
  <c r="H308" i="13"/>
  <c r="E309" i="13"/>
  <c r="H309" i="13"/>
  <c r="C310" i="13"/>
  <c r="E310" i="13" s="1"/>
  <c r="H310" i="13" s="1"/>
  <c r="C311" i="13"/>
  <c r="E311" i="13"/>
  <c r="H311" i="13"/>
  <c r="E312" i="13"/>
  <c r="H312" i="13"/>
  <c r="C313" i="13"/>
  <c r="E313" i="13" s="1"/>
  <c r="H313" i="13" s="1"/>
  <c r="C314" i="13"/>
  <c r="E314" i="13"/>
  <c r="H314" i="13"/>
  <c r="E315" i="13"/>
  <c r="H315" i="13"/>
  <c r="E316" i="13"/>
  <c r="H316" i="13" s="1"/>
  <c r="C320" i="13"/>
  <c r="E320" i="13"/>
  <c r="H320" i="13"/>
  <c r="E321" i="13"/>
  <c r="H321" i="13"/>
  <c r="E322" i="13"/>
  <c r="H322" i="13"/>
  <c r="E323" i="13"/>
  <c r="H323" i="13" s="1"/>
  <c r="E324" i="13"/>
  <c r="H324" i="13"/>
  <c r="C325" i="13"/>
  <c r="D325" i="13"/>
  <c r="D319" i="13" s="1"/>
  <c r="D318" i="13" s="1"/>
  <c r="D317" i="13" s="1"/>
  <c r="E326" i="13"/>
  <c r="H326" i="13"/>
  <c r="E327" i="13"/>
  <c r="H327" i="13"/>
  <c r="E328" i="13"/>
  <c r="H328" i="13" s="1"/>
  <c r="E329" i="13"/>
  <c r="I329" i="13" s="1"/>
  <c r="H329" i="13"/>
  <c r="E330" i="13"/>
  <c r="H330" i="13"/>
  <c r="E331" i="13"/>
  <c r="H331" i="13"/>
  <c r="E332" i="13"/>
  <c r="H332" i="13"/>
  <c r="E333" i="13"/>
  <c r="H333" i="13" s="1"/>
  <c r="C335" i="13"/>
  <c r="E336" i="13"/>
  <c r="H336" i="13" s="1"/>
  <c r="E337" i="13"/>
  <c r="H337" i="13"/>
  <c r="E338" i="13"/>
  <c r="H338" i="13"/>
  <c r="D340" i="13"/>
  <c r="D339" i="13" s="1"/>
  <c r="C341" i="13"/>
  <c r="D341" i="13"/>
  <c r="E342" i="13"/>
  <c r="H342" i="13"/>
  <c r="E343" i="13"/>
  <c r="H343" i="13"/>
  <c r="E344" i="13"/>
  <c r="H344" i="13" s="1"/>
  <c r="E345" i="13"/>
  <c r="H345" i="13"/>
  <c r="C346" i="13"/>
  <c r="E346" i="13" s="1"/>
  <c r="H346" i="13" s="1"/>
  <c r="D346" i="13"/>
  <c r="E347" i="13"/>
  <c r="H347" i="13"/>
  <c r="E348" i="13"/>
  <c r="H348" i="13"/>
  <c r="I348" i="13"/>
  <c r="E349" i="13"/>
  <c r="H349" i="13"/>
  <c r="I349" i="13"/>
  <c r="E350" i="13"/>
  <c r="H350" i="13"/>
  <c r="E351" i="13"/>
  <c r="H351" i="13"/>
  <c r="I351" i="13"/>
  <c r="E352" i="13"/>
  <c r="H352" i="13"/>
  <c r="E353" i="13"/>
  <c r="H353" i="13" s="1"/>
  <c r="C356" i="13"/>
  <c r="D356" i="13"/>
  <c r="D355" i="13" s="1"/>
  <c r="D354" i="13" s="1"/>
  <c r="E357" i="13"/>
  <c r="H357" i="13"/>
  <c r="I357" i="13"/>
  <c r="E358" i="13"/>
  <c r="H358" i="13" s="1"/>
  <c r="C361" i="13"/>
  <c r="E362" i="13"/>
  <c r="H362" i="13" s="1"/>
  <c r="D363" i="13"/>
  <c r="D361" i="13" s="1"/>
  <c r="D360" i="13" s="1"/>
  <c r="D359" i="13" s="1"/>
  <c r="E363" i="13"/>
  <c r="D364" i="13"/>
  <c r="C365" i="13"/>
  <c r="D365" i="13"/>
  <c r="E366" i="13"/>
  <c r="H366" i="13" s="1"/>
  <c r="E367" i="13"/>
  <c r="I367" i="13" s="1"/>
  <c r="H367" i="13"/>
  <c r="C368" i="13"/>
  <c r="C369" i="13"/>
  <c r="D369" i="13"/>
  <c r="D368" i="13" s="1"/>
  <c r="E368" i="13" s="1"/>
  <c r="D370" i="13"/>
  <c r="E370" i="13"/>
  <c r="E371" i="13"/>
  <c r="H371" i="13" s="1"/>
  <c r="E372" i="13"/>
  <c r="H372" i="13"/>
  <c r="F373" i="13"/>
  <c r="G373" i="13"/>
  <c r="A1" i="12"/>
  <c r="A4" i="12"/>
  <c r="C10" i="12"/>
  <c r="D10" i="12"/>
  <c r="D9" i="12" s="1"/>
  <c r="D82" i="12" s="1"/>
  <c r="I83" i="12" s="1"/>
  <c r="F10" i="12"/>
  <c r="G10" i="12"/>
  <c r="E11" i="12"/>
  <c r="H11" i="12" s="1"/>
  <c r="E12" i="12"/>
  <c r="H12" i="12"/>
  <c r="E13" i="12"/>
  <c r="H13" i="12"/>
  <c r="E14" i="12"/>
  <c r="H14" i="12"/>
  <c r="E15" i="12"/>
  <c r="H15" i="12" s="1"/>
  <c r="E16" i="12"/>
  <c r="H16" i="12" s="1"/>
  <c r="E17" i="12"/>
  <c r="H17" i="12" s="1"/>
  <c r="E18" i="12"/>
  <c r="H18" i="12"/>
  <c r="C20" i="12"/>
  <c r="C9" i="12" s="1"/>
  <c r="D20" i="12"/>
  <c r="F20" i="12"/>
  <c r="G20" i="12"/>
  <c r="G9" i="12" s="1"/>
  <c r="E21" i="12"/>
  <c r="H21" i="12"/>
  <c r="H20" i="12" s="1"/>
  <c r="E22" i="12"/>
  <c r="H22" i="12" s="1"/>
  <c r="E23" i="12"/>
  <c r="H23" i="12"/>
  <c r="E24" i="12"/>
  <c r="H24" i="12"/>
  <c r="E25" i="12"/>
  <c r="H25" i="12"/>
  <c r="E26" i="12"/>
  <c r="H26" i="12" s="1"/>
  <c r="E27" i="12"/>
  <c r="H27" i="12" s="1"/>
  <c r="C29" i="12"/>
  <c r="D29" i="12"/>
  <c r="F29" i="12"/>
  <c r="G29" i="12"/>
  <c r="E30" i="12"/>
  <c r="H30" i="12" s="1"/>
  <c r="H29" i="12" s="1"/>
  <c r="E31" i="12"/>
  <c r="H31" i="12" s="1"/>
  <c r="E32" i="12"/>
  <c r="H32" i="12"/>
  <c r="E33" i="12"/>
  <c r="H33" i="12" s="1"/>
  <c r="E34" i="12"/>
  <c r="H34" i="12"/>
  <c r="E35" i="12"/>
  <c r="H35" i="12"/>
  <c r="E36" i="12"/>
  <c r="H36" i="12"/>
  <c r="E37" i="12"/>
  <c r="H37" i="12" s="1"/>
  <c r="E38" i="12"/>
  <c r="H38" i="12" s="1"/>
  <c r="C40" i="12"/>
  <c r="D40" i="12"/>
  <c r="F40" i="12"/>
  <c r="G40" i="12"/>
  <c r="E41" i="12"/>
  <c r="H41" i="12" s="1"/>
  <c r="E42" i="12"/>
  <c r="H42" i="12" s="1"/>
  <c r="E43" i="12"/>
  <c r="H43" i="12"/>
  <c r="E44" i="12"/>
  <c r="H44" i="12" s="1"/>
  <c r="F46" i="12"/>
  <c r="C47" i="12"/>
  <c r="C46" i="12" s="1"/>
  <c r="D47" i="12"/>
  <c r="F47" i="12"/>
  <c r="G47" i="12"/>
  <c r="E48" i="12"/>
  <c r="H48" i="12"/>
  <c r="E49" i="12"/>
  <c r="H49" i="12" s="1"/>
  <c r="E50" i="12"/>
  <c r="H50" i="12"/>
  <c r="E51" i="12"/>
  <c r="H51" i="12"/>
  <c r="E52" i="12"/>
  <c r="H52" i="12"/>
  <c r="E53" i="12"/>
  <c r="H53" i="12" s="1"/>
  <c r="E54" i="12"/>
  <c r="H54" i="12" s="1"/>
  <c r="E55" i="12"/>
  <c r="H55" i="12" s="1"/>
  <c r="C57" i="12"/>
  <c r="D57" i="12"/>
  <c r="F57" i="12"/>
  <c r="G57" i="12"/>
  <c r="E58" i="12"/>
  <c r="H58" i="12" s="1"/>
  <c r="E59" i="12"/>
  <c r="H59" i="12" s="1"/>
  <c r="E60" i="12"/>
  <c r="H60" i="12" s="1"/>
  <c r="E61" i="12"/>
  <c r="H61" i="12" s="1"/>
  <c r="E62" i="12"/>
  <c r="H62" i="12" s="1"/>
  <c r="E63" i="12"/>
  <c r="H63" i="12" s="1"/>
  <c r="E64" i="12"/>
  <c r="H64" i="12" s="1"/>
  <c r="C65" i="12"/>
  <c r="D65" i="12"/>
  <c r="F65" i="12"/>
  <c r="G65" i="12"/>
  <c r="E66" i="12"/>
  <c r="H66" i="12" s="1"/>
  <c r="H65" i="12" s="1"/>
  <c r="H67" i="12"/>
  <c r="E68" i="12"/>
  <c r="H68" i="12"/>
  <c r="E69" i="12"/>
  <c r="H69" i="12"/>
  <c r="E70" i="12"/>
  <c r="H70" i="12"/>
  <c r="E71" i="12"/>
  <c r="H71" i="12"/>
  <c r="E72" i="12"/>
  <c r="H72" i="12"/>
  <c r="E73" i="12"/>
  <c r="H73" i="12"/>
  <c r="E74" i="12"/>
  <c r="H74" i="12"/>
  <c r="C76" i="12"/>
  <c r="D76" i="12"/>
  <c r="D46" i="12" s="1"/>
  <c r="F76" i="12"/>
  <c r="G76" i="12"/>
  <c r="E77" i="12"/>
  <c r="E76" i="12" s="1"/>
  <c r="H77" i="12"/>
  <c r="H76" i="12" s="1"/>
  <c r="E78" i="12"/>
  <c r="H78" i="12"/>
  <c r="E79" i="12"/>
  <c r="H79" i="12"/>
  <c r="E80" i="12"/>
  <c r="H80" i="12"/>
  <c r="A1" i="11"/>
  <c r="A4" i="11"/>
  <c r="B9" i="11"/>
  <c r="C9" i="11"/>
  <c r="D9" i="11" s="1"/>
  <c r="G9" i="11" s="1"/>
  <c r="E9" i="11"/>
  <c r="E44" i="11" s="1"/>
  <c r="H46" i="11" s="1"/>
  <c r="F9" i="11"/>
  <c r="D10" i="11"/>
  <c r="G10" i="11"/>
  <c r="D11" i="11"/>
  <c r="G11" i="11"/>
  <c r="D12" i="11"/>
  <c r="G12" i="11"/>
  <c r="D13" i="11"/>
  <c r="G13" i="11"/>
  <c r="D14" i="11"/>
  <c r="G14" i="11"/>
  <c r="D15" i="11"/>
  <c r="G15" i="11"/>
  <c r="D16" i="11"/>
  <c r="G16" i="11"/>
  <c r="D17" i="11"/>
  <c r="G17" i="11"/>
  <c r="D18" i="11"/>
  <c r="G18" i="11"/>
  <c r="B19" i="11"/>
  <c r="C19" i="11"/>
  <c r="D19" i="11" s="1"/>
  <c r="G19" i="11" s="1"/>
  <c r="E19" i="11"/>
  <c r="F19" i="11"/>
  <c r="D20" i="11"/>
  <c r="G20" i="11"/>
  <c r="D21" i="11"/>
  <c r="G21" i="11"/>
  <c r="D22" i="11"/>
  <c r="G22" i="11"/>
  <c r="D23" i="11"/>
  <c r="G23" i="11"/>
  <c r="D24" i="11"/>
  <c r="G24" i="11"/>
  <c r="D25" i="11"/>
  <c r="G25" i="11"/>
  <c r="D26" i="11"/>
  <c r="G26" i="11"/>
  <c r="D27" i="11"/>
  <c r="G27" i="11"/>
  <c r="B28" i="11"/>
  <c r="D28" i="11" s="1"/>
  <c r="G28" i="11" s="1"/>
  <c r="C28" i="11"/>
  <c r="E28" i="11"/>
  <c r="F28" i="11"/>
  <c r="D29" i="11"/>
  <c r="G29" i="11"/>
  <c r="D30" i="11"/>
  <c r="G30" i="11"/>
  <c r="D31" i="11"/>
  <c r="G31" i="11"/>
  <c r="D32" i="11"/>
  <c r="G32" i="11"/>
  <c r="D33" i="11"/>
  <c r="G33" i="11"/>
  <c r="D34" i="11"/>
  <c r="G34" i="11"/>
  <c r="D35" i="11"/>
  <c r="G35" i="11"/>
  <c r="D36" i="11"/>
  <c r="G36" i="11"/>
  <c r="D37" i="11"/>
  <c r="G37" i="11"/>
  <c r="D38" i="11"/>
  <c r="G38" i="11"/>
  <c r="B39" i="11"/>
  <c r="C39" i="11"/>
  <c r="D39" i="11" s="1"/>
  <c r="G39" i="11" s="1"/>
  <c r="E39" i="11"/>
  <c r="F39" i="11"/>
  <c r="D40" i="11"/>
  <c r="G40" i="11"/>
  <c r="D41" i="11"/>
  <c r="G41" i="11"/>
  <c r="D42" i="11"/>
  <c r="G42" i="11"/>
  <c r="D43" i="11"/>
  <c r="G43" i="11"/>
  <c r="B44" i="11"/>
  <c r="C44" i="11"/>
  <c r="H45" i="11" s="1"/>
  <c r="F44" i="11"/>
  <c r="A1" i="10"/>
  <c r="A4" i="10"/>
  <c r="D9" i="10"/>
  <c r="G9" i="10" s="1"/>
  <c r="D10" i="10"/>
  <c r="G10" i="10"/>
  <c r="D11" i="10"/>
  <c r="G11" i="10" s="1"/>
  <c r="D12" i="10"/>
  <c r="G12" i="10"/>
  <c r="D13" i="10"/>
  <c r="G13" i="10" s="1"/>
  <c r="D14" i="10"/>
  <c r="G14" i="10"/>
  <c r="D15" i="10"/>
  <c r="G15" i="10" s="1"/>
  <c r="D16" i="10"/>
  <c r="G16" i="10"/>
  <c r="D17" i="10"/>
  <c r="G17" i="10" s="1"/>
  <c r="D18" i="10"/>
  <c r="G18" i="10"/>
  <c r="D19" i="10"/>
  <c r="G19" i="10" s="1"/>
  <c r="D20" i="10"/>
  <c r="G20" i="10"/>
  <c r="D21" i="10"/>
  <c r="G21" i="10" s="1"/>
  <c r="B22" i="10"/>
  <c r="C22" i="10"/>
  <c r="H23" i="10" s="1"/>
  <c r="D22" i="10"/>
  <c r="E22" i="10"/>
  <c r="F22" i="10"/>
  <c r="A1" i="9"/>
  <c r="A4" i="9"/>
  <c r="D9" i="9"/>
  <c r="G9" i="9" s="1"/>
  <c r="D10" i="9"/>
  <c r="G10" i="9" s="1"/>
  <c r="D11" i="9"/>
  <c r="G11" i="9" s="1"/>
  <c r="D12" i="9"/>
  <c r="G12" i="9" s="1"/>
  <c r="B14" i="9"/>
  <c r="D14" i="9" s="1"/>
  <c r="C14" i="9"/>
  <c r="E14" i="9"/>
  <c r="H17" i="9" s="1"/>
  <c r="F14" i="9"/>
  <c r="H18" i="9" s="1"/>
  <c r="H20" i="9"/>
  <c r="A1" i="8"/>
  <c r="A4" i="8"/>
  <c r="B9" i="8"/>
  <c r="B34" i="8" s="1"/>
  <c r="H34" i="8" s="1"/>
  <c r="C9" i="8"/>
  <c r="E9" i="8"/>
  <c r="E34" i="8" s="1"/>
  <c r="F9" i="8"/>
  <c r="F34" i="8" s="1"/>
  <c r="H38" i="8" s="1"/>
  <c r="D10" i="8"/>
  <c r="G10" i="8" s="1"/>
  <c r="D11" i="8"/>
  <c r="G11" i="8" s="1"/>
  <c r="D12" i="8"/>
  <c r="G12" i="8" s="1"/>
  <c r="D13" i="8"/>
  <c r="G13" i="8" s="1"/>
  <c r="D14" i="8"/>
  <c r="G14" i="8" s="1"/>
  <c r="D15" i="8"/>
  <c r="G15" i="8" s="1"/>
  <c r="D16" i="8"/>
  <c r="G16" i="8" s="1"/>
  <c r="D17" i="8"/>
  <c r="G17" i="8" s="1"/>
  <c r="D18" i="8"/>
  <c r="G18" i="8" s="1"/>
  <c r="B22" i="8"/>
  <c r="C22" i="8"/>
  <c r="E22" i="8"/>
  <c r="F22" i="8"/>
  <c r="D23" i="8"/>
  <c r="G23" i="8" s="1"/>
  <c r="D24" i="8"/>
  <c r="G24" i="8" s="1"/>
  <c r="D25" i="8"/>
  <c r="G25" i="8" s="1"/>
  <c r="D26" i="8"/>
  <c r="G26" i="8" s="1"/>
  <c r="D27" i="8"/>
  <c r="G27" i="8" s="1"/>
  <c r="D28" i="8"/>
  <c r="G28" i="8" s="1"/>
  <c r="D29" i="8"/>
  <c r="G29" i="8" s="1"/>
  <c r="D30" i="8"/>
  <c r="G30" i="8" s="1"/>
  <c r="C34" i="8"/>
  <c r="H35" i="8" s="1"/>
  <c r="A1" i="7"/>
  <c r="A4" i="7"/>
  <c r="D8" i="7"/>
  <c r="G8" i="7" s="1"/>
  <c r="B9" i="7"/>
  <c r="C9" i="7"/>
  <c r="D9" i="7"/>
  <c r="G9" i="7" s="1"/>
  <c r="E9" i="7"/>
  <c r="B10" i="7"/>
  <c r="D10" i="7"/>
  <c r="G10" i="7" s="1"/>
  <c r="B11" i="7"/>
  <c r="C11" i="7"/>
  <c r="D11" i="7"/>
  <c r="G11" i="7" s="1"/>
  <c r="E11" i="7"/>
  <c r="B12" i="7"/>
  <c r="D12" i="7"/>
  <c r="G12" i="7" s="1"/>
  <c r="D13" i="7"/>
  <c r="G13" i="7" s="1"/>
  <c r="D14" i="7"/>
  <c r="G14" i="7" s="1"/>
  <c r="D15" i="7"/>
  <c r="G15" i="7" s="1"/>
  <c r="D16" i="7"/>
  <c r="G16" i="7" s="1"/>
  <c r="D17" i="7"/>
  <c r="G17" i="7"/>
  <c r="D18" i="7"/>
  <c r="G18" i="7"/>
  <c r="D19" i="7"/>
  <c r="G19" i="7"/>
  <c r="D20" i="7"/>
  <c r="G20" i="7"/>
  <c r="D21" i="7"/>
  <c r="G21" i="7"/>
  <c r="D22" i="7"/>
  <c r="G22" i="7"/>
  <c r="D23" i="7"/>
  <c r="G23" i="7"/>
  <c r="D24" i="7"/>
  <c r="G24" i="7"/>
  <c r="D25" i="7"/>
  <c r="G25" i="7"/>
  <c r="D26" i="7"/>
  <c r="G26" i="7"/>
  <c r="D27" i="7"/>
  <c r="G27" i="7"/>
  <c r="D28" i="7"/>
  <c r="G28" i="7"/>
  <c r="D29" i="7"/>
  <c r="G29" i="7"/>
  <c r="D30" i="7"/>
  <c r="G30" i="7"/>
  <c r="B31" i="7"/>
  <c r="C31" i="7"/>
  <c r="H32" i="7" s="1"/>
  <c r="D31" i="7"/>
  <c r="G31" i="7" s="1"/>
  <c r="E31" i="7"/>
  <c r="F31" i="7"/>
  <c r="H35" i="7" s="1"/>
  <c r="H34" i="7"/>
  <c r="A1" i="6"/>
  <c r="A4" i="6"/>
  <c r="D8" i="6"/>
  <c r="G8" i="6"/>
  <c r="D9" i="6"/>
  <c r="G9" i="6"/>
  <c r="D10" i="6"/>
  <c r="G10" i="6"/>
  <c r="D11" i="6"/>
  <c r="G11" i="6"/>
  <c r="D12" i="6"/>
  <c r="G12" i="6"/>
  <c r="B14" i="6"/>
  <c r="C14" i="6"/>
  <c r="D14" i="6" s="1"/>
  <c r="E14" i="6"/>
  <c r="F14" i="6"/>
  <c r="H15" i="6"/>
  <c r="H17" i="6"/>
  <c r="A1" i="5"/>
  <c r="C10" i="5"/>
  <c r="D10" i="5"/>
  <c r="D9" i="5" s="1"/>
  <c r="F10" i="5"/>
  <c r="F9" i="5" s="1"/>
  <c r="F158" i="5" s="1"/>
  <c r="I158" i="5" s="1"/>
  <c r="G10" i="5"/>
  <c r="E11" i="5"/>
  <c r="E10" i="5" s="1"/>
  <c r="H11" i="5"/>
  <c r="H10" i="5" s="1"/>
  <c r="E12" i="5"/>
  <c r="H12" i="5"/>
  <c r="E13" i="5"/>
  <c r="H13" i="5"/>
  <c r="E14" i="5"/>
  <c r="H14" i="5"/>
  <c r="E15" i="5"/>
  <c r="H15" i="5"/>
  <c r="E16" i="5"/>
  <c r="H16" i="5"/>
  <c r="E17" i="5"/>
  <c r="H17" i="5"/>
  <c r="C18" i="5"/>
  <c r="D18" i="5"/>
  <c r="F18" i="5"/>
  <c r="G18" i="5"/>
  <c r="E19" i="5"/>
  <c r="H19" i="5"/>
  <c r="E20" i="5"/>
  <c r="H20" i="5"/>
  <c r="E21" i="5"/>
  <c r="E18" i="5" s="1"/>
  <c r="H21" i="5"/>
  <c r="H18" i="5" s="1"/>
  <c r="E22" i="5"/>
  <c r="H22" i="5"/>
  <c r="E23" i="5"/>
  <c r="H23" i="5"/>
  <c r="E24" i="5"/>
  <c r="H24" i="5"/>
  <c r="E25" i="5"/>
  <c r="H25" i="5"/>
  <c r="E26" i="5"/>
  <c r="H26" i="5"/>
  <c r="E27" i="5"/>
  <c r="H27" i="5"/>
  <c r="C28" i="5"/>
  <c r="D28" i="5"/>
  <c r="F28" i="5"/>
  <c r="G28" i="5"/>
  <c r="E29" i="5"/>
  <c r="H29" i="5"/>
  <c r="E30" i="5"/>
  <c r="H30" i="5"/>
  <c r="E31" i="5"/>
  <c r="E28" i="5" s="1"/>
  <c r="H31" i="5"/>
  <c r="H28" i="5" s="1"/>
  <c r="E32" i="5"/>
  <c r="H32" i="5"/>
  <c r="E33" i="5"/>
  <c r="H33" i="5"/>
  <c r="E34" i="5"/>
  <c r="H34" i="5"/>
  <c r="E35" i="5"/>
  <c r="H35" i="5"/>
  <c r="E36" i="5"/>
  <c r="H36" i="5"/>
  <c r="E37" i="5"/>
  <c r="H37" i="5"/>
  <c r="C38" i="5"/>
  <c r="D38" i="5"/>
  <c r="F38" i="5"/>
  <c r="G38" i="5"/>
  <c r="E39" i="5"/>
  <c r="H39" i="5"/>
  <c r="E40" i="5"/>
  <c r="H40" i="5"/>
  <c r="E41" i="5"/>
  <c r="E38" i="5" s="1"/>
  <c r="H41" i="5"/>
  <c r="H38" i="5" s="1"/>
  <c r="E42" i="5"/>
  <c r="H42" i="5"/>
  <c r="E43" i="5"/>
  <c r="H43" i="5"/>
  <c r="E44" i="5"/>
  <c r="H44" i="5"/>
  <c r="E45" i="5"/>
  <c r="H45" i="5"/>
  <c r="E46" i="5"/>
  <c r="H46" i="5"/>
  <c r="E47" i="5"/>
  <c r="H47" i="5"/>
  <c r="C48" i="5"/>
  <c r="C9" i="5" s="1"/>
  <c r="D48" i="5"/>
  <c r="F48" i="5"/>
  <c r="G48" i="5"/>
  <c r="E49" i="5"/>
  <c r="H49" i="5"/>
  <c r="E50" i="5"/>
  <c r="H50" i="5"/>
  <c r="E51" i="5"/>
  <c r="E48" i="5" s="1"/>
  <c r="H51" i="5"/>
  <c r="H48" i="5" s="1"/>
  <c r="E52" i="5"/>
  <c r="H52" i="5"/>
  <c r="E53" i="5"/>
  <c r="H53" i="5"/>
  <c r="E54" i="5"/>
  <c r="H54" i="5"/>
  <c r="E55" i="5"/>
  <c r="H55" i="5"/>
  <c r="E56" i="5"/>
  <c r="H56" i="5"/>
  <c r="E57" i="5"/>
  <c r="H57" i="5"/>
  <c r="C58" i="5"/>
  <c r="D58" i="5"/>
  <c r="F58" i="5"/>
  <c r="G58" i="5"/>
  <c r="G9" i="5" s="1"/>
  <c r="E59" i="5"/>
  <c r="H59" i="5"/>
  <c r="E60" i="5"/>
  <c r="H60" i="5"/>
  <c r="E61" i="5"/>
  <c r="E58" i="5" s="1"/>
  <c r="H61" i="5"/>
  <c r="H58" i="5" s="1"/>
  <c r="C62" i="5"/>
  <c r="D62" i="5"/>
  <c r="F62" i="5"/>
  <c r="G62" i="5"/>
  <c r="E63" i="5"/>
  <c r="E62" i="5" s="1"/>
  <c r="H63" i="5"/>
  <c r="H62" i="5" s="1"/>
  <c r="E64" i="5"/>
  <c r="H64" i="5"/>
  <c r="E65" i="5"/>
  <c r="H65" i="5"/>
  <c r="E66" i="5"/>
  <c r="H66" i="5"/>
  <c r="E67" i="5"/>
  <c r="H67" i="5"/>
  <c r="E68" i="5"/>
  <c r="H68" i="5"/>
  <c r="E69" i="5"/>
  <c r="H69" i="5"/>
  <c r="E70" i="5"/>
  <c r="H70" i="5"/>
  <c r="C71" i="5"/>
  <c r="D71" i="5"/>
  <c r="F71" i="5"/>
  <c r="G71" i="5"/>
  <c r="E72" i="5"/>
  <c r="E71" i="5" s="1"/>
  <c r="H72" i="5"/>
  <c r="E73" i="5"/>
  <c r="H73" i="5"/>
  <c r="H71" i="5" s="1"/>
  <c r="E74" i="5"/>
  <c r="H74" i="5"/>
  <c r="C75" i="5"/>
  <c r="D75" i="5"/>
  <c r="F75" i="5"/>
  <c r="G75" i="5"/>
  <c r="E76" i="5"/>
  <c r="E75" i="5" s="1"/>
  <c r="H76" i="5"/>
  <c r="E77" i="5"/>
  <c r="H77" i="5"/>
  <c r="E78" i="5"/>
  <c r="H78" i="5"/>
  <c r="E79" i="5"/>
  <c r="H79" i="5"/>
  <c r="H75" i="5" s="1"/>
  <c r="E80" i="5"/>
  <c r="H80" i="5"/>
  <c r="E81" i="5"/>
  <c r="H81" i="5"/>
  <c r="E82" i="5"/>
  <c r="H82" i="5"/>
  <c r="C84" i="5"/>
  <c r="D84" i="5"/>
  <c r="F84" i="5"/>
  <c r="F83" i="5" s="1"/>
  <c r="G84" i="5"/>
  <c r="E85" i="5"/>
  <c r="H85" i="5"/>
  <c r="E86" i="5"/>
  <c r="H86" i="5"/>
  <c r="E87" i="5"/>
  <c r="E84" i="5" s="1"/>
  <c r="H87" i="5"/>
  <c r="H84" i="5" s="1"/>
  <c r="E88" i="5"/>
  <c r="H88" i="5"/>
  <c r="E89" i="5"/>
  <c r="H89" i="5"/>
  <c r="E90" i="5"/>
  <c r="H90" i="5"/>
  <c r="E91" i="5"/>
  <c r="H91" i="5"/>
  <c r="C92" i="5"/>
  <c r="D92" i="5"/>
  <c r="F92" i="5"/>
  <c r="G92" i="5"/>
  <c r="E93" i="5"/>
  <c r="E92" i="5" s="1"/>
  <c r="H93" i="5"/>
  <c r="H92" i="5" s="1"/>
  <c r="E94" i="5"/>
  <c r="H94" i="5"/>
  <c r="E95" i="5"/>
  <c r="H95" i="5"/>
  <c r="E96" i="5"/>
  <c r="H96" i="5"/>
  <c r="E97" i="5"/>
  <c r="H97" i="5"/>
  <c r="E98" i="5"/>
  <c r="H98" i="5"/>
  <c r="E99" i="5"/>
  <c r="H99" i="5"/>
  <c r="E100" i="5"/>
  <c r="H100" i="5"/>
  <c r="E101" i="5"/>
  <c r="H101" i="5"/>
  <c r="C102" i="5"/>
  <c r="D102" i="5"/>
  <c r="F102" i="5"/>
  <c r="G102" i="5"/>
  <c r="E103" i="5"/>
  <c r="E102" i="5" s="1"/>
  <c r="H103" i="5"/>
  <c r="H102" i="5" s="1"/>
  <c r="E104" i="5"/>
  <c r="H104" i="5"/>
  <c r="E105" i="5"/>
  <c r="H105" i="5"/>
  <c r="E106" i="5"/>
  <c r="H106" i="5"/>
  <c r="E107" i="5"/>
  <c r="H107" i="5"/>
  <c r="E108" i="5"/>
  <c r="H108" i="5"/>
  <c r="E109" i="5"/>
  <c r="H109" i="5"/>
  <c r="E110" i="5"/>
  <c r="H110" i="5"/>
  <c r="E111" i="5"/>
  <c r="H111" i="5"/>
  <c r="C112" i="5"/>
  <c r="D112" i="5"/>
  <c r="F112" i="5"/>
  <c r="G112" i="5"/>
  <c r="G83" i="5" s="1"/>
  <c r="E113" i="5"/>
  <c r="E112" i="5" s="1"/>
  <c r="H113" i="5"/>
  <c r="H112" i="5" s="1"/>
  <c r="E114" i="5"/>
  <c r="H114" i="5"/>
  <c r="E115" i="5"/>
  <c r="H115" i="5"/>
  <c r="E116" i="5"/>
  <c r="H116" i="5"/>
  <c r="E117" i="5"/>
  <c r="H117" i="5"/>
  <c r="E118" i="5"/>
  <c r="H118" i="5"/>
  <c r="E119" i="5"/>
  <c r="H119" i="5"/>
  <c r="E120" i="5"/>
  <c r="H120" i="5"/>
  <c r="E121" i="5"/>
  <c r="H121" i="5"/>
  <c r="C122" i="5"/>
  <c r="C83" i="5" s="1"/>
  <c r="D122" i="5"/>
  <c r="F122" i="5"/>
  <c r="G122" i="5"/>
  <c r="E123" i="5"/>
  <c r="E122" i="5" s="1"/>
  <c r="H123" i="5"/>
  <c r="H122" i="5" s="1"/>
  <c r="E124" i="5"/>
  <c r="H124" i="5"/>
  <c r="E125" i="5"/>
  <c r="H125" i="5"/>
  <c r="E126" i="5"/>
  <c r="H126" i="5"/>
  <c r="E127" i="5"/>
  <c r="H127" i="5"/>
  <c r="E128" i="5"/>
  <c r="H128" i="5"/>
  <c r="E129" i="5"/>
  <c r="H129" i="5"/>
  <c r="E130" i="5"/>
  <c r="H130" i="5"/>
  <c r="E131" i="5"/>
  <c r="H131" i="5"/>
  <c r="C132" i="5"/>
  <c r="D132" i="5"/>
  <c r="F132" i="5"/>
  <c r="G132" i="5"/>
  <c r="E133" i="5"/>
  <c r="E132" i="5" s="1"/>
  <c r="H133" i="5"/>
  <c r="H132" i="5" s="1"/>
  <c r="E134" i="5"/>
  <c r="H134" i="5"/>
  <c r="E135" i="5"/>
  <c r="H135" i="5"/>
  <c r="C136" i="5"/>
  <c r="D136" i="5"/>
  <c r="F136" i="5"/>
  <c r="G136" i="5"/>
  <c r="E137" i="5"/>
  <c r="H137" i="5"/>
  <c r="E138" i="5"/>
  <c r="H138" i="5"/>
  <c r="E139" i="5"/>
  <c r="E136" i="5" s="1"/>
  <c r="H139" i="5"/>
  <c r="H136" i="5" s="1"/>
  <c r="E140" i="5"/>
  <c r="H140" i="5"/>
  <c r="E141" i="5"/>
  <c r="H141" i="5"/>
  <c r="E142" i="5"/>
  <c r="H142" i="5"/>
  <c r="E143" i="5"/>
  <c r="H143" i="5"/>
  <c r="E144" i="5"/>
  <c r="H144" i="5"/>
  <c r="C145" i="5"/>
  <c r="D145" i="5"/>
  <c r="F145" i="5"/>
  <c r="G145" i="5"/>
  <c r="H145" i="5"/>
  <c r="E146" i="5"/>
  <c r="E145" i="5" s="1"/>
  <c r="H146" i="5"/>
  <c r="E147" i="5"/>
  <c r="H147" i="5"/>
  <c r="E148" i="5"/>
  <c r="H148" i="5"/>
  <c r="C149" i="5"/>
  <c r="D149" i="5"/>
  <c r="D83" i="5" s="1"/>
  <c r="F149" i="5"/>
  <c r="G149" i="5"/>
  <c r="E150" i="5"/>
  <c r="E149" i="5" s="1"/>
  <c r="H150" i="5"/>
  <c r="E151" i="5"/>
  <c r="H151" i="5"/>
  <c r="E152" i="5"/>
  <c r="H152" i="5"/>
  <c r="E153" i="5"/>
  <c r="H153" i="5"/>
  <c r="E154" i="5"/>
  <c r="H154" i="5"/>
  <c r="E155" i="5"/>
  <c r="H155" i="5" s="1"/>
  <c r="E156" i="5"/>
  <c r="H156" i="5"/>
  <c r="E157" i="5"/>
  <c r="A1" i="4"/>
  <c r="A4" i="4"/>
  <c r="B8" i="4"/>
  <c r="D8" i="4" s="1"/>
  <c r="G8" i="4" s="1"/>
  <c r="C8" i="4"/>
  <c r="E8" i="4"/>
  <c r="F8" i="4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B16" i="4"/>
  <c r="C16" i="4"/>
  <c r="D16" i="4"/>
  <c r="G16" i="4" s="1"/>
  <c r="E16" i="4"/>
  <c r="F16" i="4"/>
  <c r="D17" i="4"/>
  <c r="G17" i="4" s="1"/>
  <c r="D18" i="4"/>
  <c r="G18" i="4" s="1"/>
  <c r="D19" i="4"/>
  <c r="G19" i="4" s="1"/>
  <c r="D20" i="4"/>
  <c r="G20" i="4" s="1"/>
  <c r="D21" i="4"/>
  <c r="G21" i="4" s="1"/>
  <c r="D22" i="4"/>
  <c r="G22" i="4" s="1"/>
  <c r="D23" i="4"/>
  <c r="G23" i="4" s="1"/>
  <c r="D24" i="4"/>
  <c r="G24" i="4" s="1"/>
  <c r="D25" i="4"/>
  <c r="G25" i="4" s="1"/>
  <c r="B26" i="4"/>
  <c r="C26" i="4"/>
  <c r="D26" i="4"/>
  <c r="G26" i="4" s="1"/>
  <c r="E26" i="4"/>
  <c r="F26" i="4"/>
  <c r="D27" i="4"/>
  <c r="G27" i="4" s="1"/>
  <c r="D28" i="4"/>
  <c r="G28" i="4" s="1"/>
  <c r="D29" i="4"/>
  <c r="G29" i="4" s="1"/>
  <c r="D30" i="4"/>
  <c r="G30" i="4" s="1"/>
  <c r="D31" i="4"/>
  <c r="G31" i="4" s="1"/>
  <c r="D32" i="4"/>
  <c r="G32" i="4" s="1"/>
  <c r="D33" i="4"/>
  <c r="G33" i="4" s="1"/>
  <c r="D34" i="4"/>
  <c r="G34" i="4" s="1"/>
  <c r="D35" i="4"/>
  <c r="G35" i="4" s="1"/>
  <c r="B36" i="4"/>
  <c r="C36" i="4"/>
  <c r="D36" i="4"/>
  <c r="G36" i="4" s="1"/>
  <c r="E36" i="4"/>
  <c r="F36" i="4"/>
  <c r="D37" i="4"/>
  <c r="G37" i="4" s="1"/>
  <c r="D38" i="4"/>
  <c r="G38" i="4" s="1"/>
  <c r="D39" i="4"/>
  <c r="G39" i="4" s="1"/>
  <c r="D40" i="4"/>
  <c r="G40" i="4" s="1"/>
  <c r="D41" i="4"/>
  <c r="G41" i="4" s="1"/>
  <c r="D42" i="4"/>
  <c r="G42" i="4" s="1"/>
  <c r="D43" i="4"/>
  <c r="G43" i="4" s="1"/>
  <c r="D44" i="4"/>
  <c r="G44" i="4" s="1"/>
  <c r="D45" i="4"/>
  <c r="G45" i="4" s="1"/>
  <c r="B46" i="4"/>
  <c r="C46" i="4"/>
  <c r="D46" i="4"/>
  <c r="G46" i="4" s="1"/>
  <c r="E46" i="4"/>
  <c r="F46" i="4"/>
  <c r="D47" i="4"/>
  <c r="G47" i="4" s="1"/>
  <c r="D48" i="4"/>
  <c r="G48" i="4" s="1"/>
  <c r="D49" i="4"/>
  <c r="G49" i="4" s="1"/>
  <c r="D50" i="4"/>
  <c r="G50" i="4" s="1"/>
  <c r="D51" i="4"/>
  <c r="G51" i="4" s="1"/>
  <c r="D52" i="4"/>
  <c r="G52" i="4" s="1"/>
  <c r="D53" i="4"/>
  <c r="G53" i="4" s="1"/>
  <c r="D54" i="4"/>
  <c r="G54" i="4" s="1"/>
  <c r="D55" i="4"/>
  <c r="G55" i="4" s="1"/>
  <c r="B56" i="4"/>
  <c r="C56" i="4"/>
  <c r="D56" i="4"/>
  <c r="G56" i="4" s="1"/>
  <c r="E56" i="4"/>
  <c r="F56" i="4"/>
  <c r="D57" i="4"/>
  <c r="G57" i="4" s="1"/>
  <c r="D58" i="4"/>
  <c r="G58" i="4" s="1"/>
  <c r="D59" i="4"/>
  <c r="G59" i="4" s="1"/>
  <c r="B60" i="4"/>
  <c r="D60" i="4" s="1"/>
  <c r="G60" i="4" s="1"/>
  <c r="C60" i="4"/>
  <c r="E60" i="4"/>
  <c r="F60" i="4"/>
  <c r="D61" i="4"/>
  <c r="G61" i="4" s="1"/>
  <c r="D62" i="4"/>
  <c r="G62" i="4" s="1"/>
  <c r="D63" i="4"/>
  <c r="G63" i="4" s="1"/>
  <c r="D64" i="4"/>
  <c r="G64" i="4" s="1"/>
  <c r="D65" i="4"/>
  <c r="G65" i="4" s="1"/>
  <c r="D66" i="4"/>
  <c r="G66" i="4" s="1"/>
  <c r="D67" i="4"/>
  <c r="G67" i="4" s="1"/>
  <c r="B68" i="4"/>
  <c r="C68" i="4"/>
  <c r="D68" i="4"/>
  <c r="G68" i="4" s="1"/>
  <c r="E68" i="4"/>
  <c r="F68" i="4"/>
  <c r="D69" i="4"/>
  <c r="G69" i="4" s="1"/>
  <c r="D70" i="4"/>
  <c r="G70" i="4" s="1"/>
  <c r="D71" i="4"/>
  <c r="G71" i="4" s="1"/>
  <c r="B72" i="4"/>
  <c r="D72" i="4" s="1"/>
  <c r="G72" i="4" s="1"/>
  <c r="C72" i="4"/>
  <c r="E72" i="4"/>
  <c r="F72" i="4"/>
  <c r="D73" i="4"/>
  <c r="G73" i="4" s="1"/>
  <c r="D74" i="4"/>
  <c r="G74" i="4" s="1"/>
  <c r="D75" i="4"/>
  <c r="G75" i="4" s="1"/>
  <c r="D76" i="4"/>
  <c r="G76" i="4" s="1"/>
  <c r="D77" i="4"/>
  <c r="G77" i="4" s="1"/>
  <c r="D78" i="4"/>
  <c r="G78" i="4" s="1"/>
  <c r="D79" i="4"/>
  <c r="G79" i="4" s="1"/>
  <c r="C80" i="4"/>
  <c r="H15" i="9" s="1"/>
  <c r="E80" i="4"/>
  <c r="C5" i="15" s="1"/>
  <c r="F80" i="4"/>
  <c r="H18" i="6" s="1"/>
  <c r="A1" i="3"/>
  <c r="A3" i="3"/>
  <c r="D8" i="3"/>
  <c r="E9" i="3"/>
  <c r="E11" i="3"/>
  <c r="E12" i="3"/>
  <c r="D17" i="3"/>
  <c r="A1" i="2"/>
  <c r="A3" i="2"/>
  <c r="A4" i="5" s="1"/>
  <c r="F10" i="2"/>
  <c r="I10" i="2"/>
  <c r="F11" i="2"/>
  <c r="I11" i="2"/>
  <c r="F12" i="2"/>
  <c r="I12" i="2"/>
  <c r="F13" i="2"/>
  <c r="I13" i="2"/>
  <c r="F14" i="2"/>
  <c r="I14" i="2"/>
  <c r="F15" i="2"/>
  <c r="I15" i="2"/>
  <c r="F16" i="2"/>
  <c r="I16" i="2"/>
  <c r="D17" i="2"/>
  <c r="E17" i="2"/>
  <c r="E43" i="2" s="1"/>
  <c r="E74" i="2" s="1"/>
  <c r="G17" i="2"/>
  <c r="G43" i="2" s="1"/>
  <c r="H17" i="2"/>
  <c r="F19" i="2"/>
  <c r="I19" i="2"/>
  <c r="F20" i="2"/>
  <c r="I20" i="2"/>
  <c r="I17" i="2" s="1"/>
  <c r="F21" i="2"/>
  <c r="F17" i="2" s="1"/>
  <c r="I21" i="2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F29" i="2"/>
  <c r="I29" i="2"/>
  <c r="D30" i="2"/>
  <c r="E30" i="2"/>
  <c r="G30" i="2"/>
  <c r="H30" i="2"/>
  <c r="I30" i="2"/>
  <c r="I31" i="2"/>
  <c r="F32" i="2"/>
  <c r="F30" i="2" s="1"/>
  <c r="I32" i="2"/>
  <c r="F33" i="2"/>
  <c r="I33" i="2"/>
  <c r="F34" i="2"/>
  <c r="I34" i="2"/>
  <c r="F35" i="2"/>
  <c r="I35" i="2"/>
  <c r="F36" i="2"/>
  <c r="I36" i="2"/>
  <c r="D37" i="2"/>
  <c r="D43" i="2" s="1"/>
  <c r="D74" i="2" s="1"/>
  <c r="E37" i="2"/>
  <c r="G37" i="2"/>
  <c r="H37" i="2"/>
  <c r="H43" i="2" s="1"/>
  <c r="I37" i="2"/>
  <c r="F38" i="2"/>
  <c r="F37" i="2" s="1"/>
  <c r="I38" i="2"/>
  <c r="D39" i="2"/>
  <c r="E39" i="2"/>
  <c r="G39" i="2"/>
  <c r="H39" i="2"/>
  <c r="I39" i="2"/>
  <c r="F40" i="2"/>
  <c r="F39" i="2" s="1"/>
  <c r="I40" i="2"/>
  <c r="F41" i="2"/>
  <c r="I41" i="2"/>
  <c r="D49" i="2"/>
  <c r="E49" i="2"/>
  <c r="G49" i="2"/>
  <c r="G69" i="2" s="1"/>
  <c r="H49" i="2"/>
  <c r="F50" i="2"/>
  <c r="F49" i="2" s="1"/>
  <c r="F69" i="2" s="1"/>
  <c r="I50" i="2"/>
  <c r="F51" i="2"/>
  <c r="I51" i="2"/>
  <c r="F52" i="2"/>
  <c r="I52" i="2"/>
  <c r="I49" i="2" s="1"/>
  <c r="F53" i="2"/>
  <c r="I53" i="2"/>
  <c r="F54" i="2"/>
  <c r="I54" i="2"/>
  <c r="F55" i="2"/>
  <c r="I55" i="2"/>
  <c r="F56" i="2"/>
  <c r="I56" i="2"/>
  <c r="F57" i="2"/>
  <c r="I57" i="2"/>
  <c r="D58" i="2"/>
  <c r="E58" i="2"/>
  <c r="G58" i="2"/>
  <c r="H58" i="2"/>
  <c r="I58" i="2"/>
  <c r="F59" i="2"/>
  <c r="F58" i="2" s="1"/>
  <c r="I59" i="2"/>
  <c r="I60" i="2"/>
  <c r="I61" i="2"/>
  <c r="I62" i="2"/>
  <c r="D63" i="2"/>
  <c r="D69" i="2" s="1"/>
  <c r="E63" i="2"/>
  <c r="F63" i="2"/>
  <c r="G63" i="2"/>
  <c r="H63" i="2"/>
  <c r="H69" i="2" s="1"/>
  <c r="F64" i="2"/>
  <c r="I64" i="2"/>
  <c r="I63" i="2" s="1"/>
  <c r="I65" i="2"/>
  <c r="F66" i="2"/>
  <c r="I66" i="2"/>
  <c r="F67" i="2"/>
  <c r="I67" i="2"/>
  <c r="E69" i="2"/>
  <c r="D71" i="2"/>
  <c r="E71" i="2"/>
  <c r="F71" i="2"/>
  <c r="G71" i="2"/>
  <c r="H71" i="2"/>
  <c r="I71" i="2"/>
  <c r="I72" i="2"/>
  <c r="F77" i="2"/>
  <c r="I77" i="2"/>
  <c r="F78" i="2"/>
  <c r="F79" i="2" s="1"/>
  <c r="I78" i="2"/>
  <c r="D79" i="2"/>
  <c r="E79" i="2"/>
  <c r="G79" i="2"/>
  <c r="H79" i="2"/>
  <c r="I79" i="2"/>
  <c r="A1" i="1"/>
  <c r="A3" i="1"/>
  <c r="E9" i="1"/>
  <c r="H9" i="1"/>
  <c r="E10" i="1"/>
  <c r="H10" i="1"/>
  <c r="E11" i="1"/>
  <c r="H11" i="1"/>
  <c r="E12" i="1"/>
  <c r="H12" i="1"/>
  <c r="E13" i="1"/>
  <c r="H13" i="1"/>
  <c r="E14" i="1"/>
  <c r="H14" i="1"/>
  <c r="D15" i="1"/>
  <c r="E15" i="1" s="1"/>
  <c r="F15" i="1"/>
  <c r="F19" i="1" s="1"/>
  <c r="D5" i="3" s="1"/>
  <c r="H15" i="1"/>
  <c r="E16" i="1"/>
  <c r="H16" i="1"/>
  <c r="E17" i="1"/>
  <c r="H17" i="1"/>
  <c r="E18" i="1"/>
  <c r="H18" i="1"/>
  <c r="C19" i="1"/>
  <c r="G19" i="1"/>
  <c r="H19" i="1" s="1"/>
  <c r="C25" i="1"/>
  <c r="D25" i="1"/>
  <c r="F25" i="1"/>
  <c r="G25" i="1"/>
  <c r="H25" i="1"/>
  <c r="E26" i="1"/>
  <c r="H26" i="1"/>
  <c r="E28" i="1"/>
  <c r="E25" i="1" s="1"/>
  <c r="H28" i="1"/>
  <c r="E29" i="1"/>
  <c r="H29" i="1"/>
  <c r="E30" i="1"/>
  <c r="H30" i="1"/>
  <c r="E31" i="1"/>
  <c r="H31" i="1"/>
  <c r="E32" i="1"/>
  <c r="H32" i="1"/>
  <c r="E33" i="1"/>
  <c r="H33" i="1"/>
  <c r="C35" i="1"/>
  <c r="D35" i="1"/>
  <c r="D44" i="1" s="1"/>
  <c r="F35" i="1"/>
  <c r="F44" i="1" s="1"/>
  <c r="G35" i="1"/>
  <c r="E36" i="1"/>
  <c r="E35" i="1" s="1"/>
  <c r="H36" i="1"/>
  <c r="E38" i="1"/>
  <c r="H38" i="1"/>
  <c r="H35" i="1" s="1"/>
  <c r="H44" i="1" s="1"/>
  <c r="E39" i="1"/>
  <c r="H39" i="1"/>
  <c r="C41" i="1"/>
  <c r="D41" i="1"/>
  <c r="E41" i="1"/>
  <c r="F41" i="1"/>
  <c r="G41" i="1"/>
  <c r="H41" i="1"/>
  <c r="E42" i="1"/>
  <c r="H42" i="1"/>
  <c r="C44" i="1"/>
  <c r="G44" i="1"/>
  <c r="H45" i="1" s="1"/>
  <c r="G14" i="6" l="1"/>
  <c r="G9" i="8"/>
  <c r="I69" i="2"/>
  <c r="I43" i="2"/>
  <c r="D158" i="5"/>
  <c r="I155" i="5" s="1"/>
  <c r="D22" i="3"/>
  <c r="E22" i="3" s="1"/>
  <c r="E5" i="3"/>
  <c r="J79" i="2"/>
  <c r="J85" i="2"/>
  <c r="G74" i="2"/>
  <c r="E19" i="1"/>
  <c r="J80" i="2"/>
  <c r="J86" i="2"/>
  <c r="G22" i="8"/>
  <c r="G14" i="9"/>
  <c r="H47" i="12"/>
  <c r="C82" i="12"/>
  <c r="I82" i="12" s="1"/>
  <c r="F43" i="2"/>
  <c r="F74" i="2" s="1"/>
  <c r="H149" i="5"/>
  <c r="H83" i="5" s="1"/>
  <c r="G158" i="5"/>
  <c r="I159" i="5" s="1"/>
  <c r="H9" i="5"/>
  <c r="H57" i="12"/>
  <c r="I368" i="13"/>
  <c r="H368" i="13"/>
  <c r="C158" i="5"/>
  <c r="I154" i="5" s="1"/>
  <c r="E83" i="5"/>
  <c r="E9" i="5"/>
  <c r="E158" i="5" s="1"/>
  <c r="E44" i="1"/>
  <c r="I46" i="2"/>
  <c r="H74" i="2"/>
  <c r="H40" i="12"/>
  <c r="E249" i="13"/>
  <c r="D248" i="13"/>
  <c r="D245" i="13" s="1"/>
  <c r="H200" i="13"/>
  <c r="I200" i="13"/>
  <c r="H168" i="13"/>
  <c r="I168" i="13"/>
  <c r="I146" i="13"/>
  <c r="H146" i="13"/>
  <c r="H28" i="6"/>
  <c r="G22" i="10"/>
  <c r="E341" i="13"/>
  <c r="H341" i="13" s="1"/>
  <c r="C340" i="13"/>
  <c r="H292" i="13"/>
  <c r="I292" i="13"/>
  <c r="D273" i="13"/>
  <c r="E248" i="13"/>
  <c r="H211" i="13"/>
  <c r="I211" i="13"/>
  <c r="E189" i="13"/>
  <c r="H184" i="13"/>
  <c r="I184" i="13"/>
  <c r="E167" i="13"/>
  <c r="E57" i="12"/>
  <c r="B80" i="4"/>
  <c r="H14" i="9"/>
  <c r="G46" i="12"/>
  <c r="G82" i="12" s="1"/>
  <c r="I86" i="12" s="1"/>
  <c r="E40" i="12"/>
  <c r="E20" i="12"/>
  <c r="H10" i="12"/>
  <c r="H9" i="12" s="1"/>
  <c r="E356" i="13"/>
  <c r="C355" i="13"/>
  <c r="E335" i="13"/>
  <c r="H335" i="13" s="1"/>
  <c r="C334" i="13"/>
  <c r="E334" i="13" s="1"/>
  <c r="H334" i="13" s="1"/>
  <c r="C296" i="13"/>
  <c r="E296" i="13" s="1"/>
  <c r="E275" i="13"/>
  <c r="H275" i="13" s="1"/>
  <c r="H247" i="13"/>
  <c r="I247" i="13"/>
  <c r="I232" i="13"/>
  <c r="E230" i="13"/>
  <c r="I203" i="13"/>
  <c r="H203" i="13"/>
  <c r="H188" i="13"/>
  <c r="I188" i="13"/>
  <c r="H128" i="13"/>
  <c r="I128" i="13"/>
  <c r="E365" i="13"/>
  <c r="C364" i="13"/>
  <c r="E364" i="13" s="1"/>
  <c r="H293" i="13"/>
  <c r="I293" i="13"/>
  <c r="D19" i="1"/>
  <c r="D44" i="11"/>
  <c r="G44" i="11" s="1"/>
  <c r="H363" i="13"/>
  <c r="I363" i="13"/>
  <c r="E325" i="13"/>
  <c r="E274" i="13"/>
  <c r="H274" i="13" s="1"/>
  <c r="C273" i="13"/>
  <c r="E273" i="13" s="1"/>
  <c r="E256" i="13"/>
  <c r="H256" i="13" s="1"/>
  <c r="C255" i="13"/>
  <c r="E255" i="13" s="1"/>
  <c r="E222" i="13"/>
  <c r="C221" i="13"/>
  <c r="E221" i="13" s="1"/>
  <c r="E196" i="13"/>
  <c r="C195" i="13"/>
  <c r="I191" i="13"/>
  <c r="D186" i="13"/>
  <c r="D121" i="13"/>
  <c r="E121" i="13" s="1"/>
  <c r="H25" i="6"/>
  <c r="H26" i="10"/>
  <c r="H47" i="11"/>
  <c r="E65" i="12"/>
  <c r="E47" i="12"/>
  <c r="F9" i="12"/>
  <c r="F82" i="12" s="1"/>
  <c r="I85" i="12" s="1"/>
  <c r="H370" i="13"/>
  <c r="I370" i="13"/>
  <c r="H291" i="13"/>
  <c r="I291" i="13"/>
  <c r="E246" i="13"/>
  <c r="C245" i="13"/>
  <c r="E245" i="13" s="1"/>
  <c r="I234" i="13"/>
  <c r="I144" i="13"/>
  <c r="H144" i="13"/>
  <c r="H23" i="13"/>
  <c r="I23" i="13"/>
  <c r="H25" i="10"/>
  <c r="E10" i="12"/>
  <c r="E217" i="13"/>
  <c r="I213" i="13"/>
  <c r="H213" i="13"/>
  <c r="H182" i="13"/>
  <c r="I182" i="13"/>
  <c r="E165" i="13"/>
  <c r="C153" i="13"/>
  <c r="E153" i="13" s="1"/>
  <c r="H84" i="13"/>
  <c r="I84" i="13"/>
  <c r="I41" i="13"/>
  <c r="H41" i="13"/>
  <c r="D20" i="14"/>
  <c r="H20" i="1"/>
  <c r="D22" i="8"/>
  <c r="D9" i="8"/>
  <c r="D34" i="8" s="1"/>
  <c r="E29" i="12"/>
  <c r="I346" i="13"/>
  <c r="I262" i="13"/>
  <c r="H241" i="13"/>
  <c r="I241" i="13"/>
  <c r="I236" i="13"/>
  <c r="I216" i="13"/>
  <c r="H216" i="13"/>
  <c r="E206" i="13"/>
  <c r="D205" i="13"/>
  <c r="E205" i="13" s="1"/>
  <c r="H193" i="13"/>
  <c r="I193" i="13"/>
  <c r="I54" i="13"/>
  <c r="H54" i="13"/>
  <c r="D5" i="15"/>
  <c r="C41" i="15"/>
  <c r="D42" i="15" s="1"/>
  <c r="E369" i="13"/>
  <c r="E361" i="13"/>
  <c r="C360" i="13"/>
  <c r="H297" i="13"/>
  <c r="H219" i="13"/>
  <c r="I33" i="13"/>
  <c r="H33" i="13"/>
  <c r="C319" i="13"/>
  <c r="D212" i="13"/>
  <c r="E212" i="13" s="1"/>
  <c r="E177" i="13"/>
  <c r="I197" i="13"/>
  <c r="E187" i="13"/>
  <c r="E163" i="13"/>
  <c r="C136" i="13"/>
  <c r="E122" i="13"/>
  <c r="E119" i="13"/>
  <c r="H115" i="13"/>
  <c r="E106" i="13"/>
  <c r="I86" i="13"/>
  <c r="H58" i="13"/>
  <c r="C35" i="13"/>
  <c r="I26" i="13"/>
  <c r="H14" i="13"/>
  <c r="I14" i="13"/>
  <c r="H89" i="13"/>
  <c r="I89" i="13"/>
  <c r="E21" i="13"/>
  <c r="C20" i="13"/>
  <c r="E20" i="13" s="1"/>
  <c r="C186" i="13"/>
  <c r="E186" i="13" s="1"/>
  <c r="D136" i="13"/>
  <c r="E126" i="13"/>
  <c r="I88" i="13"/>
  <c r="E85" i="13"/>
  <c r="I82" i="13"/>
  <c r="I63" i="13"/>
  <c r="H52" i="13"/>
  <c r="H48" i="13"/>
  <c r="H39" i="13"/>
  <c r="H29" i="13"/>
  <c r="H79" i="13"/>
  <c r="I79" i="13"/>
  <c r="E57" i="13"/>
  <c r="D56" i="13"/>
  <c r="E56" i="13" s="1"/>
  <c r="C261" i="13"/>
  <c r="E261" i="13" s="1"/>
  <c r="E175" i="13"/>
  <c r="E170" i="13"/>
  <c r="E154" i="13"/>
  <c r="E151" i="13"/>
  <c r="E130" i="13"/>
  <c r="D101" i="13"/>
  <c r="E101" i="13" s="1"/>
  <c r="C45" i="13"/>
  <c r="E45" i="13" s="1"/>
  <c r="E36" i="13"/>
  <c r="D35" i="13"/>
  <c r="D9" i="13" s="1"/>
  <c r="E31" i="13"/>
  <c r="E172" i="13"/>
  <c r="E161" i="13"/>
  <c r="E156" i="13"/>
  <c r="E132" i="13"/>
  <c r="E117" i="13"/>
  <c r="C116" i="13"/>
  <c r="E116" i="13" s="1"/>
  <c r="H97" i="13"/>
  <c r="I97" i="13"/>
  <c r="C87" i="13"/>
  <c r="E87" i="13" s="1"/>
  <c r="I69" i="13"/>
  <c r="D45" i="13"/>
  <c r="E51" i="13"/>
  <c r="I47" i="13"/>
  <c r="H44" i="13"/>
  <c r="I44" i="13"/>
  <c r="D27" i="14"/>
  <c r="G15" i="14"/>
  <c r="G8" i="14" s="1"/>
  <c r="G31" i="14" s="1"/>
  <c r="D8" i="14"/>
  <c r="E113" i="13"/>
  <c r="C112" i="13"/>
  <c r="E112" i="13" s="1"/>
  <c r="E75" i="13"/>
  <c r="C62" i="13"/>
  <c r="E11" i="13"/>
  <c r="C10" i="13"/>
  <c r="G20" i="14"/>
  <c r="E30" i="16"/>
  <c r="E31" i="16" s="1"/>
  <c r="H121" i="13" l="1"/>
  <c r="I121" i="13"/>
  <c r="I212" i="13"/>
  <c r="H212" i="13"/>
  <c r="H11" i="13"/>
  <c r="I11" i="13"/>
  <c r="H153" i="13"/>
  <c r="I153" i="13"/>
  <c r="H221" i="13"/>
  <c r="I221" i="13"/>
  <c r="E62" i="13"/>
  <c r="C61" i="13"/>
  <c r="I116" i="13"/>
  <c r="H116" i="13"/>
  <c r="I36" i="13"/>
  <c r="H36" i="13"/>
  <c r="H261" i="13"/>
  <c r="I261" i="13"/>
  <c r="I20" i="13"/>
  <c r="H20" i="13"/>
  <c r="E35" i="13"/>
  <c r="H163" i="13"/>
  <c r="I163" i="13"/>
  <c r="H165" i="13"/>
  <c r="I165" i="13"/>
  <c r="H222" i="13"/>
  <c r="I222" i="13"/>
  <c r="J81" i="2"/>
  <c r="J87" i="2"/>
  <c r="I74" i="2"/>
  <c r="H186" i="13"/>
  <c r="I186" i="13"/>
  <c r="H75" i="13"/>
  <c r="I75" i="13"/>
  <c r="H117" i="13"/>
  <c r="I117" i="13"/>
  <c r="I255" i="13"/>
  <c r="H255" i="13"/>
  <c r="C339" i="13"/>
  <c r="E339" i="13" s="1"/>
  <c r="E340" i="13"/>
  <c r="J89" i="2"/>
  <c r="J83" i="2"/>
  <c r="J88" i="2"/>
  <c r="J82" i="2"/>
  <c r="I112" i="13"/>
  <c r="H112" i="13"/>
  <c r="I51" i="13"/>
  <c r="H51" i="13"/>
  <c r="I132" i="13"/>
  <c r="H132" i="13"/>
  <c r="H101" i="13"/>
  <c r="I101" i="13"/>
  <c r="I57" i="13"/>
  <c r="H57" i="13"/>
  <c r="C359" i="13"/>
  <c r="E360" i="13"/>
  <c r="H296" i="13"/>
  <c r="I296" i="13"/>
  <c r="H189" i="13"/>
  <c r="I189" i="13"/>
  <c r="H46" i="12"/>
  <c r="H82" i="12" s="1"/>
  <c r="I87" i="12" s="1"/>
  <c r="E136" i="13"/>
  <c r="C135" i="13"/>
  <c r="I56" i="13"/>
  <c r="H56" i="13"/>
  <c r="H187" i="13"/>
  <c r="I187" i="13"/>
  <c r="H113" i="13"/>
  <c r="I113" i="13"/>
  <c r="H130" i="13"/>
  <c r="I130" i="13"/>
  <c r="H177" i="13"/>
  <c r="I177" i="13"/>
  <c r="I205" i="13"/>
  <c r="H205" i="13"/>
  <c r="H273" i="13"/>
  <c r="I273" i="13"/>
  <c r="H158" i="5"/>
  <c r="G34" i="8"/>
  <c r="H39" i="8" s="1"/>
  <c r="H167" i="13"/>
  <c r="I167" i="13"/>
  <c r="H45" i="13"/>
  <c r="I45" i="13"/>
  <c r="H21" i="13"/>
  <c r="I21" i="13"/>
  <c r="I156" i="13"/>
  <c r="H156" i="13"/>
  <c r="H85" i="13"/>
  <c r="I85" i="13"/>
  <c r="H106" i="13"/>
  <c r="I106" i="13"/>
  <c r="H361" i="13"/>
  <c r="I361" i="13"/>
  <c r="D31" i="14"/>
  <c r="H161" i="13"/>
  <c r="I161" i="13"/>
  <c r="H151" i="13"/>
  <c r="I151" i="13"/>
  <c r="H369" i="13"/>
  <c r="I369" i="13"/>
  <c r="H206" i="13"/>
  <c r="I206" i="13"/>
  <c r="E46" i="12"/>
  <c r="E195" i="13"/>
  <c r="H31" i="7"/>
  <c r="D80" i="4"/>
  <c r="I156" i="5" s="1"/>
  <c r="H22" i="10"/>
  <c r="H14" i="6"/>
  <c r="H44" i="11"/>
  <c r="H175" i="13"/>
  <c r="I175" i="13"/>
  <c r="H87" i="13"/>
  <c r="I87" i="13"/>
  <c r="H154" i="13"/>
  <c r="I154" i="13"/>
  <c r="H126" i="13"/>
  <c r="I126" i="13"/>
  <c r="H119" i="13"/>
  <c r="I119" i="13"/>
  <c r="E319" i="13"/>
  <c r="C318" i="13"/>
  <c r="H36" i="8"/>
  <c r="H37" i="8"/>
  <c r="I172" i="13"/>
  <c r="H172" i="13"/>
  <c r="I217" i="13"/>
  <c r="H217" i="13"/>
  <c r="H245" i="13"/>
  <c r="I245" i="13"/>
  <c r="I196" i="13"/>
  <c r="H196" i="13"/>
  <c r="H325" i="13"/>
  <c r="I325" i="13"/>
  <c r="H364" i="13"/>
  <c r="I364" i="13"/>
  <c r="H230" i="13"/>
  <c r="I230" i="13"/>
  <c r="E355" i="13"/>
  <c r="C354" i="13"/>
  <c r="E354" i="13" s="1"/>
  <c r="H248" i="13"/>
  <c r="I248" i="13"/>
  <c r="H249" i="13"/>
  <c r="I249" i="13"/>
  <c r="E10" i="13"/>
  <c r="C9" i="13"/>
  <c r="E9" i="13" s="1"/>
  <c r="I31" i="13"/>
  <c r="H31" i="13"/>
  <c r="H170" i="13"/>
  <c r="I170" i="13"/>
  <c r="D135" i="13"/>
  <c r="D373" i="13" s="1"/>
  <c r="I122" i="13"/>
  <c r="H122" i="13"/>
  <c r="E9" i="12"/>
  <c r="H246" i="13"/>
  <c r="I246" i="13"/>
  <c r="D195" i="13"/>
  <c r="H365" i="13"/>
  <c r="I365" i="13"/>
  <c r="H356" i="13"/>
  <c r="I356" i="13"/>
  <c r="D61" i="13"/>
  <c r="I10" i="13" l="1"/>
  <c r="H10" i="13"/>
  <c r="E318" i="13"/>
  <c r="C317" i="13"/>
  <c r="E317" i="13" s="1"/>
  <c r="H319" i="13"/>
  <c r="I319" i="13"/>
  <c r="G80" i="4"/>
  <c r="H16" i="6"/>
  <c r="H24" i="10"/>
  <c r="H26" i="6"/>
  <c r="H16" i="9"/>
  <c r="H27" i="6"/>
  <c r="J90" i="2"/>
  <c r="J84" i="2"/>
  <c r="I35" i="13"/>
  <c r="H35" i="13"/>
  <c r="E61" i="13"/>
  <c r="I62" i="13"/>
  <c r="H62" i="13"/>
  <c r="H195" i="13"/>
  <c r="I195" i="13"/>
  <c r="H360" i="13"/>
  <c r="I360" i="13"/>
  <c r="H340" i="13"/>
  <c r="I340" i="13"/>
  <c r="I354" i="13"/>
  <c r="H354" i="13"/>
  <c r="I157" i="5"/>
  <c r="E135" i="13"/>
  <c r="E359" i="13"/>
  <c r="C373" i="13"/>
  <c r="H339" i="13"/>
  <c r="I339" i="13"/>
  <c r="E82" i="12"/>
  <c r="I84" i="12" s="1"/>
  <c r="I9" i="13"/>
  <c r="H9" i="13"/>
  <c r="H355" i="13"/>
  <c r="I355" i="13"/>
  <c r="H136" i="13"/>
  <c r="I136" i="13"/>
  <c r="H36" i="7" l="1"/>
  <c r="H27" i="10"/>
  <c r="H19" i="9"/>
  <c r="H21" i="9"/>
  <c r="H29" i="6"/>
  <c r="H48" i="11"/>
  <c r="H135" i="13"/>
  <c r="I135" i="13"/>
  <c r="I317" i="13"/>
  <c r="H317" i="13"/>
  <c r="E373" i="13"/>
  <c r="H359" i="13"/>
  <c r="I359" i="13"/>
  <c r="H318" i="13"/>
  <c r="I318" i="13"/>
  <c r="H61" i="13"/>
  <c r="I61" i="13"/>
  <c r="H37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G2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Evaluación:
</t>
        </r>
        <r>
          <rPr>
            <sz val="9"/>
            <color indexed="81"/>
            <rFont val="Tahoma"/>
            <family val="2"/>
          </rPr>
          <t xml:space="preserve">Total Ingreso Recaudado Anual - Total Ingreso Estimado Anual
</t>
        </r>
      </text>
    </comment>
    <comment ref="G45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Evaluación:
Total Ingreso Recaudado Anual - Total Ingreso Estimado Anual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D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ETCA-II-01 EN EL TOTAL DE LA COLUMNA DE TOTAL DE INGRESOS DEVENGADO ANUAL (4)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ETCA-I-03 EN EL MISMO RUBRO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C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EGRESOS CON LO REPORTADO EN EL FORMATO ETCA-II-04 EN EL TOTAL DE LA COLUMNA DE EGRESOS DEVENGADO ANUAL.</t>
        </r>
      </text>
    </comment>
    <comment ref="C41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DEL TOTAL GASTO CONTABLE CON LO REPORTADO EN EL FORMATO ETCA-I-03 EN EL TOTAL DE GASTOS Y OTRAS PÉRDIDAS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<sst xmlns="http://schemas.openxmlformats.org/spreadsheetml/2006/main" count="1150" uniqueCount="751">
  <si>
    <t>El importe reflejado siempre debe ser mayor a cero. Nunca en rojo.</t>
  </si>
  <si>
    <t>Los Ingresos Excedentes  se presentan para efectos de cumplimiento de la Ley de Ingresos del Estado y Ley de Contabilidad Gubernamental.</t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</si>
  <si>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</si>
  <si>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</si>
  <si>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</si>
  <si>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t xml:space="preserve">Ingresos Excedentes </t>
  </si>
  <si>
    <t>Total</t>
  </si>
  <si>
    <t>Ingresos Derivados de Financiamientos</t>
  </si>
  <si>
    <t>Ingresos  derivados de Financiamiento</t>
  </si>
  <si>
    <t xml:space="preserve">Transferencias, Asignaciones, Subsidios y Subvenciones, y Pensiones y Jubilaciones </t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</si>
  <si>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</si>
  <si>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</si>
  <si>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t>Cuotas y Aportaciones de Seguridad Social</t>
  </si>
  <si>
    <t>Ingresos De los Entes Públicos de los Poderes Legislativo y Judicial, de los Órganos Autonomos y del Sector Paraestatal o Paramunicipal, asi como de las Empresas Productivas del Estado</t>
  </si>
  <si>
    <t xml:space="preserve">Participaciones, Aportaciones, Convenios, Incentivos Derivados de la Colaboracción Fiscal y Fondos Distintos de Aportaciones </t>
  </si>
  <si>
    <t>Capital</t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</si>
  <si>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</si>
  <si>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t>Derechos</t>
  </si>
  <si>
    <t>Contribuciones de Mejoras</t>
  </si>
  <si>
    <t xml:space="preserve">Impuestos </t>
  </si>
  <si>
    <t xml:space="preserve">Ingresos del Poder Ejecutivo Federal o Estatal y de los Municipios </t>
  </si>
  <si>
    <t>(6= 5 - 1 )</t>
  </si>
  <si>
    <t>(5)</t>
  </si>
  <si>
    <t>(4)</t>
  </si>
  <si>
    <t>(3= 1 +2)</t>
  </si>
  <si>
    <t>(2)</t>
  </si>
  <si>
    <t>(1)</t>
  </si>
  <si>
    <t>Diferencia</t>
  </si>
  <si>
    <t xml:space="preserve">Recaudado </t>
  </si>
  <si>
    <t xml:space="preserve">Devengado </t>
  </si>
  <si>
    <t>Modificado</t>
  </si>
  <si>
    <t>Ampliaciones y Reducciones           (+ ó -)</t>
  </si>
  <si>
    <t>Estimado</t>
  </si>
  <si>
    <t>Ingreso</t>
  </si>
  <si>
    <t>Estado Analitico de Ingresos Por Fuente de Financiamiento</t>
  </si>
  <si>
    <t>Ingresos por Ventas de Bienes, Prestacion de Servicios y Otros Ingresos</t>
  </si>
  <si>
    <t>Aprovechamientos</t>
  </si>
  <si>
    <t>Productos</t>
  </si>
  <si>
    <t>Impuestos</t>
  </si>
  <si>
    <t>Rubros de  Ingresos</t>
  </si>
  <si>
    <t>Estado Analítico de Ingresos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</si>
  <si>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</si>
  <si>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</si>
  <si>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</si>
  <si>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 xml:space="preserve"> 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</si>
  <si>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</si>
  <si>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</si>
  <si>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</si>
  <si>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</si>
  <si>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</si>
  <si>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</si>
  <si>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</si>
  <si>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</si>
  <si>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</si>
  <si>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</si>
  <si>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</si>
  <si>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</si>
  <si>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</si>
  <si>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</si>
  <si>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</si>
  <si>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</si>
  <si>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</si>
  <si>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</si>
  <si>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</si>
  <si>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</si>
  <si>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</si>
  <si>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</si>
  <si>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</si>
  <si>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</si>
  <si>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</si>
  <si>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</si>
  <si>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</si>
  <si>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 xml:space="preserve">I. Total de Ingresos de Libre Disposición                                                 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</si>
  <si>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</si>
  <si>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</si>
  <si>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</si>
  <si>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</si>
  <si>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</si>
  <si>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</si>
  <si>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</si>
  <si>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</si>
  <si>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</si>
  <si>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</si>
  <si>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</si>
  <si>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</si>
  <si>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</si>
  <si>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</si>
  <si>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</si>
  <si>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</si>
  <si>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</si>
  <si>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</si>
  <si>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</si>
  <si>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</si>
  <si>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</si>
  <si>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</si>
  <si>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</si>
  <si>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</si>
  <si>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</si>
  <si>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</si>
  <si>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</si>
  <si>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</si>
  <si>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</si>
  <si>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</si>
  <si>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</si>
  <si>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</si>
  <si>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</si>
  <si>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</si>
  <si>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Recaudado</t>
  </si>
  <si>
    <t>Devengado</t>
  </si>
  <si>
    <t>Ampliaciones/ (Reducciones)</t>
  </si>
  <si>
    <t>Estimado (d)</t>
  </si>
  <si>
    <t>Concepto</t>
  </si>
  <si>
    <t>Diferencia (e)</t>
  </si>
  <si>
    <t>Estado Analítico de Ingresos Detallado – LDF</t>
  </si>
  <si>
    <r>
      <rPr>
        <b/>
        <sz val="9"/>
        <color theme="0" tint="-0.34998626667073579"/>
        <rFont val="Arial Narrow"/>
        <family val="2"/>
      </rPr>
      <t>2</t>
    </r>
    <r>
      <rPr>
        <sz val="9"/>
        <color theme="0" tint="-0.34998626667073579"/>
        <rFont val="Arial Narrow"/>
        <family val="2"/>
      </rPr>
      <t>. Los Ingresos Financieros y otros ingresos se regularizarán presupuestariamente de acuerdo a la legislacion aplicable</t>
    </r>
  </si>
  <si>
    <r>
      <rPr>
        <b/>
        <sz val="9"/>
        <color theme="0" tint="-0.34998626667073579"/>
        <rFont val="Arial Narrow"/>
        <family val="2"/>
      </rPr>
      <t>1</t>
    </r>
    <r>
      <rPr>
        <sz val="9"/>
        <color theme="0" tint="-0.34998626667073579"/>
        <rFont val="Arial Narrow"/>
        <family val="2"/>
      </rPr>
      <t>. Se deberán incluir los Ingresos Contables No Presupuestarios que no se regularizaron presupuestariamente durante el ejercicio</t>
    </r>
  </si>
  <si>
    <t>4. Total de Ingresos Contables  (4=  1  +  2  -  3 )</t>
  </si>
  <si>
    <t>Otros Ingresos Presupuestarios No Contables</t>
  </si>
  <si>
    <t xml:space="preserve">Aprovechamientos Patrimoniales </t>
  </si>
  <si>
    <t>3.Menos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</si>
  <si>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</si>
  <si>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</si>
  <si>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</si>
  <si>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</si>
  <si>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</si>
  <si>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Finanacieros</t>
  </si>
  <si>
    <t>2.Mas Ingresos contables No Presupuestarios</t>
  </si>
  <si>
    <t>1. Total de Ingresos Presupuestarios</t>
  </si>
  <si>
    <t xml:space="preserve">                                                            </t>
  </si>
  <si>
    <t>Conciliacion entre los Ingresos Presupuestarios y Contables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</si>
  <si>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</si>
  <si>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</si>
  <si>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</si>
  <si>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</si>
  <si>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</si>
  <si>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</si>
  <si>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</si>
  <si>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</si>
  <si>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</si>
  <si>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</si>
  <si>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</si>
  <si>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</si>
  <si>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</si>
  <si>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</si>
  <si>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</si>
  <si>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</si>
  <si>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</si>
  <si>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</si>
  <si>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</si>
  <si>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</si>
  <si>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</si>
  <si>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</si>
  <si>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</si>
  <si>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</si>
  <si>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</si>
  <si>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</si>
  <si>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</si>
  <si>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</si>
  <si>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</si>
  <si>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</si>
  <si>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</si>
  <si>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</si>
  <si>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</si>
  <si>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</si>
  <si>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</si>
  <si>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</si>
  <si>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</si>
  <si>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</si>
  <si>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</si>
  <si>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</si>
  <si>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</si>
  <si>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</si>
  <si>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</si>
  <si>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</si>
  <si>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</si>
  <si>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</si>
  <si>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</si>
  <si>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</si>
  <si>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</si>
  <si>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</si>
  <si>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</si>
  <si>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</si>
  <si>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</si>
  <si>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</si>
  <si>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</si>
  <si>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</si>
  <si>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</si>
  <si>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</si>
  <si>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</si>
  <si>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</si>
  <si>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</si>
  <si>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</si>
  <si>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</si>
  <si>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</si>
  <si>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</si>
  <si>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</si>
  <si>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</si>
  <si>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</si>
  <si>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</si>
  <si>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</si>
  <si>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</si>
  <si>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</si>
  <si>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</si>
  <si>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( 6 = 3 - 4 )</t>
  </si>
  <si>
    <t>(3=1+2)</t>
  </si>
  <si>
    <t>Subejercicio</t>
  </si>
  <si>
    <t>Egresos Pagado     Acumulado</t>
  </si>
  <si>
    <t>Egresos Devengado Acumulado</t>
  </si>
  <si>
    <t>Egresos Modificado   Anual</t>
  </si>
  <si>
    <t>Egresos Aprobado   Anual</t>
  </si>
  <si>
    <t>Ejercicio del Presupuesto por
Capítulo del Gasto</t>
  </si>
  <si>
    <t xml:space="preserve">                                                                                                                                                     </t>
  </si>
  <si>
    <t>Clasificación por Objeto del Gasto (Capítulo y Concepto)</t>
  </si>
  <si>
    <t>Estado Analítico del Ejercicio Presupuesto de Egresos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</si>
  <si>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</si>
  <si>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</si>
  <si>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</si>
  <si>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</si>
  <si>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</si>
  <si>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</si>
  <si>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</si>
  <si>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</si>
  <si>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</si>
  <si>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</si>
  <si>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</si>
  <si>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</si>
  <si>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</si>
  <si>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</si>
  <si>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</si>
  <si>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</si>
  <si>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</si>
  <si>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</si>
  <si>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</si>
  <si>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</si>
  <si>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</si>
  <si>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</si>
  <si>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</si>
  <si>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</si>
  <si>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</si>
  <si>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</si>
  <si>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</si>
  <si>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</si>
  <si>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</si>
  <si>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</si>
  <si>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</si>
  <si>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</si>
  <si>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</si>
  <si>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</si>
  <si>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</si>
  <si>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</si>
  <si>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</si>
  <si>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</si>
  <si>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</si>
  <si>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</si>
  <si>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</si>
  <si>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</si>
  <si>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</si>
  <si>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</si>
  <si>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</si>
  <si>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</si>
  <si>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</si>
  <si>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</si>
  <si>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</si>
  <si>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</si>
  <si>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</si>
  <si>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</si>
  <si>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</si>
  <si>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</si>
  <si>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</si>
  <si>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</si>
  <si>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</si>
  <si>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</si>
  <si>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</si>
  <si>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</si>
  <si>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</si>
  <si>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</si>
  <si>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</si>
  <si>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</si>
  <si>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</si>
  <si>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</si>
  <si>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</si>
  <si>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</si>
  <si>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</si>
  <si>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</si>
  <si>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</si>
  <si>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</si>
  <si>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</si>
  <si>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</si>
  <si>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</si>
  <si>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</si>
  <si>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</si>
  <si>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</si>
  <si>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</si>
  <si>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</si>
  <si>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</si>
  <si>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</si>
  <si>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</si>
  <si>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</si>
  <si>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</si>
  <si>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</si>
  <si>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Punto Adicionado DOF 30-09-2015</t>
  </si>
  <si>
    <t>Son los gastos destinados a cubrir las participaciones para las entidades federativas y/o los municipios.</t>
  </si>
  <si>
    <t xml:space="preserve">5. Participaciones </t>
  </si>
  <si>
    <t>Son los gastos destinados para el pago a pensionistas y jubilados o a sus familiares, que cubren los gobiernos Federal, Estatal y Municipal, o bien el Instituto de Seguridad Social correspondiente.</t>
  </si>
  <si>
    <t>4. Pensiones y Jubilaciones</t>
  </si>
  <si>
    <t>Comprende la amortización de la deuda adquirida y disminución de pasivos con el sector privado, público y externo.</t>
  </si>
  <si>
    <t>3. Amortización de la deuda y disminución de pasivos</t>
  </si>
  <si>
    <t>Son los gastos destinados a la inversión de capital y las transferencias a los otros componentes institucionales del sistema económico que se efectúan para financiar gastos de éstos con tal propósito.</t>
  </si>
  <si>
    <t>2. Gasto de Capital</t>
  </si>
  <si>
    <t>Son los gastos de consumo y/o de operación, el arrendamiento de la propiedad y las transferencias otorgadas a los otros componentes institucionales del sistema económico para financiar gastos de esas características.</t>
  </si>
  <si>
    <t>1. Gasto Corriente</t>
  </si>
  <si>
    <t>A continuación se conceptualizan las siguientes categorías:</t>
  </si>
  <si>
    <t>Amortización del la Deuda y Disminución de Pasivos</t>
  </si>
  <si>
    <t>Gasto de Capital</t>
  </si>
  <si>
    <t>Gasto Corriente</t>
  </si>
  <si>
    <t xml:space="preserve">                                                                                                                                </t>
  </si>
  <si>
    <t>Clasificación Económica (por Tipo de Gasto)</t>
  </si>
  <si>
    <t>ORGANISMOS OPERADORES</t>
  </si>
  <si>
    <t>ORGANO INTERNO DE CONTROL</t>
  </si>
  <si>
    <t>COSTOS, CONCURSOS Y CONTRATOS</t>
  </si>
  <si>
    <t>UNIDAD JURIDICA</t>
  </si>
  <si>
    <t>DIRECCION GENERAL DE INFRAESTRUCTURA HIDROAGRICOLA</t>
  </si>
  <si>
    <t>DIRECCION GENERAL DE INFRAESTRUCTURA HIDRAULICA URBANA</t>
  </si>
  <si>
    <t>DIRECCION GENERAL DE FORTALECIMIENTO INSTITUCIONAL</t>
  </si>
  <si>
    <t>DIRECCION GENERAL DE ADMINISTRACION Y FINANZAS</t>
  </si>
  <si>
    <t>VOCALIA EJECUTIVA</t>
  </si>
  <si>
    <t>Clasificación Administrativa (Por Unidad Administrativa)</t>
  </si>
  <si>
    <t xml:space="preserve">                                                                                                                                                         </t>
  </si>
  <si>
    <t>ORGANO DE CONTRO Y DESARROLLO ADMINISTRATIVO</t>
  </si>
  <si>
    <t>DIRECCION JURIDICA</t>
  </si>
  <si>
    <t>(II=A+B+C+D+E+F+G+H)</t>
  </si>
  <si>
    <t>II. Gasto Etiquetado</t>
  </si>
  <si>
    <t>(I=A+B+C+D+E+F+G+H)</t>
  </si>
  <si>
    <t>I. Gasto No Etiquetado</t>
  </si>
  <si>
    <t>Pagado</t>
  </si>
  <si>
    <t>Clasificación Administrativa</t>
  </si>
  <si>
    <t>Órganos Autónomos</t>
  </si>
  <si>
    <t>Poder Judicial</t>
  </si>
  <si>
    <t>Poder Legislativo</t>
  </si>
  <si>
    <t>Poder Ejecutivo</t>
  </si>
  <si>
    <t>Clasificación Administrativa (Por Poderes)</t>
  </si>
  <si>
    <t xml:space="preserve">                                                                                                                                     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</si>
  <si>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</si>
  <si>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</si>
  <si>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</si>
  <si>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</si>
  <si>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</si>
  <si>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</si>
  <si>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</si>
  <si>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 xml:space="preserve">                                                                                                                                      </t>
  </si>
  <si>
    <t>Clasificación Administrativa (Por Tipo de Organismos o Entidad Paraestatal)</t>
  </si>
  <si>
    <t>Adeudos de ejercicios Fiscales Anteriores</t>
  </si>
  <si>
    <t>Saneamiento del Sistema Financiero</t>
  </si>
  <si>
    <t>Transferencias, Participaciones y Aportaciones entre Diferentes Niveles y Órdenes de gobierno</t>
  </si>
  <si>
    <t>Transacdciones de la Deuda Pública / Costo financiero de la Deuda</t>
  </si>
  <si>
    <t>Otras No Clasificadas en funciones anteriores</t>
  </si>
  <si>
    <t>Otras Industrias y Otros Asuntos Económicos</t>
  </si>
  <si>
    <t>Ciencia, Tencología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</si>
  <si>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</si>
  <si>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</si>
  <si>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</si>
  <si>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</si>
  <si>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</si>
  <si>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</si>
  <si>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</si>
  <si>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</si>
  <si>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</si>
  <si>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</si>
  <si>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</si>
  <si>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</si>
  <si>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</si>
  <si>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Viviendas y Servicios a la Comunidad</t>
  </si>
  <si>
    <t>Protección Ambiental</t>
  </si>
  <si>
    <t>Desarrollo Social</t>
  </si>
  <si>
    <t>Asuntos de Orden Público y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</si>
  <si>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</si>
  <si>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</si>
  <si>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</si>
  <si>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</si>
  <si>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</si>
  <si>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</si>
  <si>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</si>
  <si>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Clasificación Funcional (Finalidad y Función)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</si>
  <si>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</si>
  <si>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</si>
  <si>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</si>
  <si>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</si>
  <si>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</si>
  <si>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</si>
  <si>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</si>
  <si>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</si>
  <si>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</si>
  <si>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</si>
  <si>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</si>
  <si>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</si>
  <si>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</si>
  <si>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</si>
  <si>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</si>
  <si>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</si>
  <si>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</si>
  <si>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</si>
  <si>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</si>
  <si>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</si>
  <si>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</si>
  <si>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</si>
  <si>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</si>
  <si>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</si>
  <si>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</si>
  <si>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</si>
  <si>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</si>
  <si>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</si>
  <si>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</si>
  <si>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</si>
  <si>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</si>
  <si>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</si>
  <si>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</si>
  <si>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</si>
  <si>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 xml:space="preserve">         DIRECTOR DE ADMINISTRACION Y FINANZAS</t>
  </si>
  <si>
    <t xml:space="preserve">              DIRECTOR ADMINISTRATIVO</t>
  </si>
  <si>
    <t>C.P. MARIO ALBERTO MERINO DIAZ</t>
  </si>
  <si>
    <t>C.P. LEONOR AMPARO LANDAVAZO GUTIERREZ</t>
  </si>
  <si>
    <t>Adefas Inversion Estatal (cotas y gerencias)</t>
  </si>
  <si>
    <t>Adefas Inversion Estatal</t>
  </si>
  <si>
    <t>Adefas  Operación</t>
  </si>
  <si>
    <t xml:space="preserve">Adefas  </t>
  </si>
  <si>
    <t>Adeudo de ejercicios fiscales anteriores (ADEFAS)</t>
  </si>
  <si>
    <t>Pago de Intereses Corto Plazo</t>
  </si>
  <si>
    <t>Pago de Intereses a largo Plazo</t>
  </si>
  <si>
    <t>Intereses de la deuda interna con instiruciones de credito</t>
  </si>
  <si>
    <t>Intereses de la deuda publica</t>
  </si>
  <si>
    <t>Amortizacion de Capital Corto Plazo</t>
  </si>
  <si>
    <t>Amortizacion de Capital Largo Plazo</t>
  </si>
  <si>
    <t>Amortizacion de la deuda interna con instituciones de credito</t>
  </si>
  <si>
    <t>Amortizacion de la deuda publica</t>
  </si>
  <si>
    <t>Deuda Publica</t>
  </si>
  <si>
    <t>Otras erogaciones Especiales</t>
  </si>
  <si>
    <t>Provisiones para contingencias y otras erogaciones especiales</t>
  </si>
  <si>
    <t>Inversiones Financieras y Otras proviciones</t>
  </si>
  <si>
    <t>Supervision y control de calidad</t>
  </si>
  <si>
    <t>Indirectos para obras en division de terrenos y construccion de obras de urbanizacion</t>
  </si>
  <si>
    <t>Fiscalizacion y seguimiento</t>
  </si>
  <si>
    <t>Infraestructura y equipamiento en materia de alcantarillado</t>
  </si>
  <si>
    <t>Infraestructura y equipamiento en materia de agua potable</t>
  </si>
  <si>
    <t>Estudios y proyectos</t>
  </si>
  <si>
    <t>Division de terrenos y construccion de obras de urbanizacion</t>
  </si>
  <si>
    <t>Indirectos para obras de construccion para el abastecimiento de agua, petroleo, gas, electricidad y telecomunicaciones</t>
  </si>
  <si>
    <t>Apoyo y fort. A sist. De oper. De distrito de riego</t>
  </si>
  <si>
    <t>Fortalecimiento a organismos operadores de sistemas de agua potable</t>
  </si>
  <si>
    <t>Construccion de obras para el abastecimiento de agua, petroleo, gas, electricidad y telecomunicaciones</t>
  </si>
  <si>
    <t>0bra pública en bienes de dominio publico</t>
  </si>
  <si>
    <t>FEDERAL</t>
  </si>
  <si>
    <t>Estudios y Proyectos</t>
  </si>
  <si>
    <t>Conservacion y Mantenimiento</t>
  </si>
  <si>
    <t>Obra publica en bienes propios</t>
  </si>
  <si>
    <t xml:space="preserve">Fonden </t>
  </si>
  <si>
    <t>Estudios y Proyectos para sistemas de abastecimiento de agua potable.</t>
  </si>
  <si>
    <t>ESTATAL</t>
  </si>
  <si>
    <t>Software</t>
  </si>
  <si>
    <t>Activos intangibles</t>
  </si>
  <si>
    <t>Terrenos</t>
  </si>
  <si>
    <t>Otros bienes muebles</t>
  </si>
  <si>
    <t>Otos equipos</t>
  </si>
  <si>
    <t>Otros equipos</t>
  </si>
  <si>
    <t>Herramientas</t>
  </si>
  <si>
    <t>Herramientas y máquinas-herramienta</t>
  </si>
  <si>
    <t>Maquinaria y equipo electrico y electronico</t>
  </si>
  <si>
    <t>Equipo de Generacion Electrica, aparatos y accesoris electrios</t>
  </si>
  <si>
    <t>Equipo de Comunicación y Telecomunicacion</t>
  </si>
  <si>
    <t>Sistemas de aire acondicionado, calefaccion y de refrigeracion industrial y comercial</t>
  </si>
  <si>
    <t>Maquinaria y equipo industrial</t>
  </si>
  <si>
    <t>Maquinaria, otros equipos y herramientas</t>
  </si>
  <si>
    <t>Otros Equipos de Transporte</t>
  </si>
  <si>
    <t>Automoviles y camiones</t>
  </si>
  <si>
    <t>Vehiculos y equipo de transporte</t>
  </si>
  <si>
    <t>Instrumental medico y de laboratorio</t>
  </si>
  <si>
    <t>Equipo e instrumental medico y de laboratorio</t>
  </si>
  <si>
    <t>Camaras fotograficas y de video</t>
  </si>
  <si>
    <t>Equipos y aparatos audiovisuales</t>
  </si>
  <si>
    <t>Mobiliario y equipo educacional y recreativo</t>
  </si>
  <si>
    <t>Equipo de administracion</t>
  </si>
  <si>
    <t>Otros mobiliarios y equipos de administracion</t>
  </si>
  <si>
    <t>Bienes informáticos</t>
  </si>
  <si>
    <t>Equipo de cómputo y de tecnologías de la información</t>
  </si>
  <si>
    <t>Muebles, Excepto de Oficina y Estantería</t>
  </si>
  <si>
    <t>Mobiliario</t>
  </si>
  <si>
    <t>Muebles de oficina y estantería</t>
  </si>
  <si>
    <t>Mobiliario y equipo de administración</t>
  </si>
  <si>
    <t>Bienes muebles, inmuebles e intangibles</t>
  </si>
  <si>
    <t>Donativos a Instituciones sin fines de lucro</t>
  </si>
  <si>
    <t xml:space="preserve">Donativos  </t>
  </si>
  <si>
    <t>Fomento deportivo</t>
  </si>
  <si>
    <t>Becas y otras ayudas para prograas de capacitacion</t>
  </si>
  <si>
    <t>Ayudas sociales</t>
  </si>
  <si>
    <t>Subsidios a la prestación de servicios públicos</t>
  </si>
  <si>
    <t>Transferencias otorgadas a entidades federativas y municipios</t>
  </si>
  <si>
    <t>Transferencis al resto del sector publico</t>
  </si>
  <si>
    <t>Transferencias para gastos de operación</t>
  </si>
  <si>
    <t>Transferencias internas otorgadasa entidades paraestatales no empresariales y no financieras</t>
  </si>
  <si>
    <t>Transferencias, asigaciones, subsidios y otras ayudas</t>
  </si>
  <si>
    <t>Asigacion presupuestria al poder ejecutivo</t>
  </si>
  <si>
    <t>Transferecias internas yasignaciones al sector publico</t>
  </si>
  <si>
    <t>Transferencias, asignaciones, subsidios y otras ayudas</t>
  </si>
  <si>
    <t>Impuesto sobre nomina</t>
  </si>
  <si>
    <t>Impuesto sobre nominas y otros que se deriven de una relación laboral</t>
  </si>
  <si>
    <t>Otros gastos por responsabilidades</t>
  </si>
  <si>
    <t>Otros gastso por responsabilidades</t>
  </si>
  <si>
    <t>Penas, multas, accesorios y actualizaciones</t>
  </si>
  <si>
    <t>Impuestos y derechos</t>
  </si>
  <si>
    <t>Otros servicios generales</t>
  </si>
  <si>
    <t>Gtso de atencion y promocion</t>
  </si>
  <si>
    <t>Gastos de Representacion</t>
  </si>
  <si>
    <t>Congresos y convenciones</t>
  </si>
  <si>
    <t>Gasto de Orden Social y Cultural</t>
  </si>
  <si>
    <t>Gastos de ceremonial</t>
  </si>
  <si>
    <t>Servicios oficiales</t>
  </si>
  <si>
    <t>Cuotas</t>
  </si>
  <si>
    <t>Otros servicios de traslado y hospedaje</t>
  </si>
  <si>
    <t>Servicios integrales de traslado y viáticos</t>
  </si>
  <si>
    <t>Viáticos en el extranjero</t>
  </si>
  <si>
    <t>Gastos de camino</t>
  </si>
  <si>
    <t>Viáticos en el país</t>
  </si>
  <si>
    <t>Pasajes terrestres</t>
  </si>
  <si>
    <t>Pasajes aéreos internacionales</t>
  </si>
  <si>
    <t>Pasajes aéreos nacionales</t>
  </si>
  <si>
    <t>Pasajes aéreos</t>
  </si>
  <si>
    <t>Servicios de traslado y viáticos</t>
  </si>
  <si>
    <t>Otros servicios de información</t>
  </si>
  <si>
    <t>SERVICIOS DE LA INDUSTRIA FILMICA, DEL SONIDO Y DE</t>
  </si>
  <si>
    <t>Servicio  de Revelado de Fotografías</t>
  </si>
  <si>
    <t>Difusión por Radio, Televisión y otros medios de mensajes sobre Programas y actividades Gubernamentales</t>
  </si>
  <si>
    <t>Servicios de comunicación social y publicidad</t>
  </si>
  <si>
    <t>Servicios de jardinería y fumigación</t>
  </si>
  <si>
    <t>Servicios de limpieza y manejo de desechos</t>
  </si>
  <si>
    <t>Mantenimiento y conservación de heraamientas, maquinas herramientas, instrumentos, utiles y equipo</t>
  </si>
  <si>
    <t>Mantenimiento y conservación de maquinaria y equipo</t>
  </si>
  <si>
    <t>Instalación, reparación y mantenimiento de maquinaria, otros equipos y herramientas</t>
  </si>
  <si>
    <t>Mantenimiento y Conservación de Equipo de Transporte</t>
  </si>
  <si>
    <t>Reparación y mantenimiento de equipo de transporte</t>
  </si>
  <si>
    <t>Mantenimiento y conservación de bienes informáticos</t>
  </si>
  <si>
    <t>Instalaciones</t>
  </si>
  <si>
    <t>Instalación, reparación y mantenimiento de equipo de computo y tecnología de información</t>
  </si>
  <si>
    <t>Mantenimiento y conservación de mobiliario y equipo</t>
  </si>
  <si>
    <t>Instalación, reparación y mantenimiento de mobiliario y equipo de administración, educacional y recreativo</t>
  </si>
  <si>
    <t>Mantenimiento y conservación de inmuebles</t>
  </si>
  <si>
    <t>Conservación y mantenimiento menor de inmuebles</t>
  </si>
  <si>
    <t>Servicios de instalacion, reparacion, mantenimiento y conservacion</t>
  </si>
  <si>
    <t>Fletes y maniobras</t>
  </si>
  <si>
    <t>Seguros de responsabilidad patrimonial y fianzas</t>
  </si>
  <si>
    <t>Servicio de Recaudación, Traslado y Custodia de valores</t>
  </si>
  <si>
    <t>Servicios financieros y bancarios</t>
  </si>
  <si>
    <t>Servicios financieros, bancarios y comerciales</t>
  </si>
  <si>
    <t>Servicios profesionales, cientificos y tecnicos integrales</t>
  </si>
  <si>
    <t>Servicios Profesionales, científicos y técnicos integrales</t>
  </si>
  <si>
    <t>Servicios de vigilancia</t>
  </si>
  <si>
    <t>Servicio de fotocopiado en las instalaciones de las dependencias y entidades</t>
  </si>
  <si>
    <t>Licitaciones, convenios y convocatorias</t>
  </si>
  <si>
    <t>Impresiones y publicaciones oficiales</t>
  </si>
  <si>
    <t>Apoyos a Comisarios Públicos</t>
  </si>
  <si>
    <t>Servicios de apoyo administrativo, traducción, fotocopiado e impresión</t>
  </si>
  <si>
    <t>Servicios de capacitación</t>
  </si>
  <si>
    <t>servicios de Consultorias</t>
  </si>
  <si>
    <t>Servicios de Informática</t>
  </si>
  <si>
    <t>Servicios de consultoria administrativa, procesos, tecnica y en tecnologias de la informacion</t>
  </si>
  <si>
    <t>Servicios de Diseño, Arquitectura, Ingeniería y Actividades Relacionadas</t>
  </si>
  <si>
    <t>Servicios legales, de contabilidad, auditorias y relacionados</t>
  </si>
  <si>
    <t>Servicios profesionales, científicos, técnicos y otros servicios</t>
  </si>
  <si>
    <t>Otros Arrendamientos</t>
  </si>
  <si>
    <t>Arrendamiento maquinaria, otros equipos y herramientas</t>
  </si>
  <si>
    <t>Arrendamiento de Equipo de Transporte</t>
  </si>
  <si>
    <t>Arrendamiento de Equipo y Bienes Informaticos</t>
  </si>
  <si>
    <t>Arrendamiento de Muebles, Maquinaria y Equipo</t>
  </si>
  <si>
    <t>Arrendamiento de mobiliario y equipo de administración, educacional y recreativo</t>
  </si>
  <si>
    <t>Arrendamiento de Edificios</t>
  </si>
  <si>
    <t>Arrendamiento de Terrenos</t>
  </si>
  <si>
    <t>Servicio de arrendamiento</t>
  </si>
  <si>
    <t>Servicio postal</t>
  </si>
  <si>
    <t>Servicios postales y telegráficos</t>
  </si>
  <si>
    <t>Servicios de acceso a internet, redes y procesamiento de información</t>
  </si>
  <si>
    <t>Servicio de Telecomunicaciones y Satelites</t>
  </si>
  <si>
    <t>Telefonía celular</t>
  </si>
  <si>
    <t>Telefonía tradicional</t>
  </si>
  <si>
    <t>Agua Potable</t>
  </si>
  <si>
    <t>Agua</t>
  </si>
  <si>
    <t>Gas</t>
  </si>
  <si>
    <t>Energía eléctrica</t>
  </si>
  <si>
    <t>Servicios básicos</t>
  </si>
  <si>
    <t>Servicios generales</t>
  </si>
  <si>
    <t>Refacciones y Accesorios Menores de Maquinaria Y Otros Equipos</t>
  </si>
  <si>
    <t>Refacciones y accesorios menores de equipo de trasporte</t>
  </si>
  <si>
    <t>Refacciones y accesorios menores de equipo de computo y tecnologías de la información</t>
  </si>
  <si>
    <t>Refacciones y accesorios menores de mobiliario y equipo de administracion, educaconal y recrwativo</t>
  </si>
  <si>
    <t>Refacciones y accesorios menores de mobiliario y equipo de administracion, educaconal y recreativo</t>
  </si>
  <si>
    <t>Refacciones y Accesorios Menores de Edificios</t>
  </si>
  <si>
    <t>Herramientas menores</t>
  </si>
  <si>
    <t>Herramientas, refacciones y accesorios menores</t>
  </si>
  <si>
    <t>Prendas de seguridad y protección personal</t>
  </si>
  <si>
    <t>Vestuario y uniformes</t>
  </si>
  <si>
    <t>Vestuario, blancos, prendas de protección y artículos deportivos</t>
  </si>
  <si>
    <t>Lubricantes y aditivos</t>
  </si>
  <si>
    <t>Combustibles</t>
  </si>
  <si>
    <t>Combustibles, lubricantes y aditivos</t>
  </si>
  <si>
    <t>Otros Productos Quimicos</t>
  </si>
  <si>
    <t>Materiales, accesorios y suministro de laboratorios</t>
  </si>
  <si>
    <t>Medicinas y productos farmacéuticos</t>
  </si>
  <si>
    <t>Fertilizantes, Pesticidas y otros Agroquímicos</t>
  </si>
  <si>
    <t>Productos quimicos basicos</t>
  </si>
  <si>
    <t>Productos químicos, farmacéuticos y de laboratorio</t>
  </si>
  <si>
    <t>Otros materiales y artículos de construcción y reparación</t>
  </si>
  <si>
    <t>Materiales y complementarios</t>
  </si>
  <si>
    <t>Material eléctrico y electrónico</t>
  </si>
  <si>
    <t>Vidrio y productos de vidrio</t>
  </si>
  <si>
    <t>Madera y productos de madera</t>
  </si>
  <si>
    <t>Yeso, cal y productos de yeso</t>
  </si>
  <si>
    <t>Cal, yeso y productos de yeso</t>
  </si>
  <si>
    <t>Cemento y productos de concreto</t>
  </si>
  <si>
    <t>Materiales y artículos de construcción y de reparación</t>
  </si>
  <si>
    <t>Otros productos adquiridos como Materia prima</t>
  </si>
  <si>
    <t>Materias primas y materiales de producción y comercializacion</t>
  </si>
  <si>
    <t>Utensilios para el servicio de alimentación</t>
  </si>
  <si>
    <t>Adquisición de agua potable</t>
  </si>
  <si>
    <t>Productos alimenticios para el personal en las instalaciones</t>
  </si>
  <si>
    <t>Productos alimenticios para personas</t>
  </si>
  <si>
    <t>Alimentos y utensilios</t>
  </si>
  <si>
    <t>Emision de Licencias de Conducir</t>
  </si>
  <si>
    <t>Placas, engomados, calcomanías y hologramas</t>
  </si>
  <si>
    <t>Materiales para el registro e identificación de bienes y personas</t>
  </si>
  <si>
    <t>Materiales educativos</t>
  </si>
  <si>
    <t>Materiales y utiles de enseñanza</t>
  </si>
  <si>
    <t>Material de limpieza</t>
  </si>
  <si>
    <t>Material para información</t>
  </si>
  <si>
    <t xml:space="preserve"> Material impreso e información digital</t>
  </si>
  <si>
    <t>Materiales y útiles para el procesamiento de equipos y bienes informáticos</t>
  </si>
  <si>
    <t>Materiales, útiles y equipos menores de tecnologías de la información y comunicación</t>
  </si>
  <si>
    <t>Materiales y útiles de impresión y reproducción</t>
  </si>
  <si>
    <t>Materiales, útiles y equipos menores de oficina</t>
  </si>
  <si>
    <t>Materiales de administración, Emision de documentos y articulos oficiales</t>
  </si>
  <si>
    <t>Materiales y suministros</t>
  </si>
  <si>
    <t>Bono por Puntualidad</t>
  </si>
  <si>
    <t xml:space="preserve">Estimulos al personal   </t>
  </si>
  <si>
    <t>Estimulos</t>
  </si>
  <si>
    <t>Pago de Estimulos a Servidores Publicos</t>
  </si>
  <si>
    <t>Otras prestaciones</t>
  </si>
  <si>
    <t>Otras prestaciones sociales y económicas</t>
  </si>
  <si>
    <t>Ayuda para Servicio de Transporte</t>
  </si>
  <si>
    <t>Bono para despensa</t>
  </si>
  <si>
    <t>Prestaciones contractuales</t>
  </si>
  <si>
    <t>Pago de Liquidaciones</t>
  </si>
  <si>
    <t>Indemnizaciones al personal</t>
  </si>
  <si>
    <t>Indemnizaciones</t>
  </si>
  <si>
    <t>Aportaciones al Fondo de Ahorro de los Trabajadores</t>
  </si>
  <si>
    <t>Cuotas para el Fondo de Ahorro y Fondo de Trabajo</t>
  </si>
  <si>
    <t>Seguro por defuncion familiar</t>
  </si>
  <si>
    <t>Otras aportaciones de seguros colectivos</t>
  </si>
  <si>
    <t>Seguro por Retiro Estatal</t>
  </si>
  <si>
    <t>Aportaciones para seguros</t>
  </si>
  <si>
    <t>Pagas por defunción, pensiones y jubilaciones</t>
  </si>
  <si>
    <t>Aportaciones al sistema para el retiro</t>
  </si>
  <si>
    <t>Aportaciones por servicio medico del isssteson</t>
  </si>
  <si>
    <t>Otras prestaciones de seguridad social</t>
  </si>
  <si>
    <t>Aportaciones de seguridad social</t>
  </si>
  <si>
    <t>Estimulos al personal de confianza</t>
  </si>
  <si>
    <t>Compensaciones</t>
  </si>
  <si>
    <t>Remuneraciones por Horas Extraordinarias</t>
  </si>
  <si>
    <t>Horas Extraordinarias</t>
  </si>
  <si>
    <t>Compensación por bono navideño</t>
  </si>
  <si>
    <t>Compensación por ajuste de calendario</t>
  </si>
  <si>
    <t>Aguinaldo o gratificacion de fin de año</t>
  </si>
  <si>
    <t>Prima vacacional y dominical</t>
  </si>
  <si>
    <t>Primas de vacaciones, dominical y gratificación de fin de año</t>
  </si>
  <si>
    <t>Primas por años de servicios efectivos prestados</t>
  </si>
  <si>
    <t>Remuneraciones adicionales y especiales</t>
  </si>
  <si>
    <t xml:space="preserve">Honorarios  </t>
  </si>
  <si>
    <t>Honorarios asimilables a salarios</t>
  </si>
  <si>
    <t>Remuneraciones al personal de carácter transitorio</t>
  </si>
  <si>
    <t>Ayuda para energía electrica</t>
  </si>
  <si>
    <t>Ayuda para despensa</t>
  </si>
  <si>
    <t>Ayuda para habitación</t>
  </si>
  <si>
    <t>Riesgo laboral</t>
  </si>
  <si>
    <t>Remuneraciones por sustitucion de personal</t>
  </si>
  <si>
    <t>Remuneraciones Diversas</t>
  </si>
  <si>
    <t>Sueldo Diferencial por Zona</t>
  </si>
  <si>
    <t>Sueldos</t>
  </si>
  <si>
    <t>Sueldo base al personal permanente</t>
  </si>
  <si>
    <t>Remuneraciones al personal de carácter permanente</t>
  </si>
  <si>
    <t>Servicios personales</t>
  </si>
  <si>
    <t>AVANCE ANUAL (7=4/3)</t>
  </si>
  <si>
    <t>SUBEJERCIDO     (6=3-4)</t>
  </si>
  <si>
    <t>EGRESOS PAGADO ACUMULADO             ( 5 )</t>
  </si>
  <si>
    <t>EGRESOS DEVENGADO ACUMULADO                            ( 4 )</t>
  </si>
  <si>
    <t>EGRESOS MODIFICADO ANUAL    ( 3 )</t>
  </si>
  <si>
    <t>AMPLIACIONES/(REDUCCIONES)     ( 2 )</t>
  </si>
  <si>
    <t>EGRESOS APROBADOS        ( 1 )</t>
  </si>
  <si>
    <t>EJERCICIO DEL PRESUPUESTO POR                                    PARTIDA / DESCRIPCION</t>
  </si>
  <si>
    <t>CVE. PARTIDA PRESUPUESTAL</t>
  </si>
  <si>
    <t>Del 01 al 31 de Marzo del 2020</t>
  </si>
  <si>
    <t>Comision Estatal del Agua</t>
  </si>
  <si>
    <t>Por Partida del Gasto</t>
  </si>
  <si>
    <t>Sistema Estatal de Evaluacion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</si>
  <si>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</si>
  <si>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</si>
  <si>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</si>
  <si>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</si>
  <si>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</si>
  <si>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</si>
  <si>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</si>
  <si>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</si>
  <si>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</si>
  <si>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</si>
  <si>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</si>
  <si>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</si>
  <si>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</si>
  <si>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(Clasificación de Servicios Personales por Categoría)</t>
  </si>
  <si>
    <t>Estado Analítico del Ejercicio de Presupuesto de Egresos- Detallado – LDF</t>
  </si>
  <si>
    <t>4. Total de Gasto Contable  (4=  1  -  2  +  3 )</t>
  </si>
  <si>
    <t>Otros Gastos Contables No Presupuestales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</si>
  <si>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</si>
  <si>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</si>
  <si>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</si>
  <si>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</si>
  <si>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</si>
  <si>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</si>
  <si>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Más Gastos Contables No Presupuestarios</t>
  </si>
  <si>
    <t>Otros Egresos Presupuestales No Contables</t>
  </si>
  <si>
    <t>Adeudos de Ejercicios Fiscales Anteriores (ADEFAS)</t>
  </si>
  <si>
    <t>Armonización de la Deuda Pública</t>
  </si>
  <si>
    <t>Arctivos Biológicos</t>
  </si>
  <si>
    <t xml:space="preserve">Materiales y Suministros </t>
  </si>
  <si>
    <t xml:space="preserve">Materias Primas y Materiales de Producción y Comercializacíon </t>
  </si>
  <si>
    <t xml:space="preserve">2. Menos Egresos Presupuestarios No Contables </t>
  </si>
  <si>
    <t>1. Total de Egresos Presupuestarios</t>
  </si>
  <si>
    <t>Conciliacion entre los Egresos Presupuestarios y los Gastos Contables</t>
  </si>
  <si>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</si>
  <si>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</si>
  <si>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</si>
  <si>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</si>
  <si>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</si>
  <si>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BANCO BAJIO</t>
  </si>
  <si>
    <t>Créditos Bancarios</t>
  </si>
  <si>
    <t>C=A-B</t>
  </si>
  <si>
    <t>B</t>
  </si>
  <si>
    <t>A</t>
  </si>
  <si>
    <t>Endeudamiento Neto</t>
  </si>
  <si>
    <t>Amortización</t>
  </si>
  <si>
    <t>Contratacion / Colocación</t>
  </si>
  <si>
    <t>Identificacion del crédito o Instrumento</t>
  </si>
  <si>
    <t xml:space="preserve">                                                  (pesos)</t>
  </si>
  <si>
    <t>Total Intereses Otros Instrumentos de Deuda</t>
  </si>
  <si>
    <t>Total de Interéses Créditos Bancarios</t>
  </si>
  <si>
    <t>DEUDA PUBLICA</t>
  </si>
  <si>
    <t xml:space="preserve">                                                                                          </t>
  </si>
  <si>
    <t>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</si>
</sst>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(* #,##0_);_(* \(#,##0\);_(* &quot;-&quot;??_);_(@_)"/>
    <numFmt numFmtId="167" formatCode="0.00_ ;\-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6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10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b/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5"/>
      <color theme="1"/>
      <name val="Arial Narrow"/>
      <family val="2"/>
    </font>
    <font>
      <sz val="6"/>
      <color theme="1"/>
      <name val="Arial"/>
      <family val="2"/>
    </font>
    <font>
      <b/>
      <sz val="7.5"/>
      <color theme="1"/>
      <name val="Arial Narrow"/>
      <family val="2"/>
    </font>
    <font>
      <b/>
      <sz val="6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2"/>
      <color theme="0"/>
      <name val="Arial Narrow"/>
      <family val="2"/>
    </font>
    <font>
      <sz val="6.5"/>
      <color theme="1"/>
      <name val="Arial Narrow"/>
      <family val="2"/>
    </font>
    <font>
      <b/>
      <sz val="6.5"/>
      <color theme="1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i/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rgb="FF0070C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top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4" fontId="13" fillId="0" borderId="0" xfId="0" applyNumberFormat="1" applyFont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4" fontId="9" fillId="0" borderId="2" xfId="0" applyNumberFormat="1" applyFont="1" applyBorder="1" applyAlignment="1" applyProtection="1">
      <alignment vertical="center"/>
      <protection locked="0"/>
    </xf>
    <xf numFmtId="4" fontId="8" fillId="0" borderId="3" xfId="0" applyNumberFormat="1" applyFont="1" applyBorder="1" applyAlignment="1" applyProtection="1">
      <alignment horizontal="right" vertical="center" wrapText="1"/>
      <protection locked="0"/>
    </xf>
    <xf numFmtId="4" fontId="10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3" fontId="11" fillId="0" borderId="5" xfId="0" applyNumberFormat="1" applyFont="1" applyBorder="1" applyAlignment="1">
      <alignment horizontal="right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3" fontId="4" fillId="0" borderId="6" xfId="0" applyNumberFormat="1" applyFon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 applyProtection="1">
      <alignment horizontal="right" vertical="center"/>
      <protection locked="0"/>
    </xf>
    <xf numFmtId="3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3" fontId="19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justify"/>
      <protection locked="0"/>
    </xf>
    <xf numFmtId="3" fontId="4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3" fontId="4" fillId="0" borderId="9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vertical="center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4" fontId="11" fillId="0" borderId="8" xfId="0" applyNumberFormat="1" applyFont="1" applyBorder="1" applyAlignment="1">
      <alignment horizontal="right" vertical="center" wrapText="1"/>
    </xf>
    <xf numFmtId="4" fontId="11" fillId="0" borderId="8" xfId="0" applyNumberFormat="1" applyFont="1" applyBorder="1" applyAlignment="1" applyProtection="1">
      <alignment horizontal="right" vertical="center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top"/>
      <protection locked="0"/>
    </xf>
    <xf numFmtId="0" fontId="21" fillId="0" borderId="17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43" fontId="25" fillId="0" borderId="5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43" fontId="27" fillId="0" borderId="9" xfId="0" applyNumberFormat="1" applyFont="1" applyBorder="1" applyAlignment="1">
      <alignment horizontal="right" vertical="center"/>
    </xf>
    <xf numFmtId="0" fontId="27" fillId="0" borderId="2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43" fontId="25" fillId="0" borderId="9" xfId="0" applyNumberFormat="1" applyFont="1" applyBorder="1" applyAlignment="1">
      <alignment horizontal="right" vertical="center"/>
    </xf>
    <xf numFmtId="43" fontId="25" fillId="0" borderId="9" xfId="0" applyNumberFormat="1" applyFont="1" applyBorder="1" applyAlignment="1" applyProtection="1">
      <alignment horizontal="right" vertical="center"/>
      <protection locked="0"/>
    </xf>
    <xf numFmtId="0" fontId="25" fillId="0" borderId="25" xfId="0" applyFont="1" applyBorder="1" applyAlignment="1">
      <alignment horizontal="left" vertical="justify"/>
    </xf>
    <xf numFmtId="0" fontId="25" fillId="0" borderId="0" xfId="0" applyFont="1" applyAlignment="1">
      <alignment horizontal="left" vertical="justify"/>
    </xf>
    <xf numFmtId="0" fontId="25" fillId="0" borderId="25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43" fontId="25" fillId="0" borderId="8" xfId="0" applyNumberFormat="1" applyFont="1" applyBorder="1" applyAlignment="1" applyProtection="1">
      <alignment horizontal="right" vertical="center"/>
      <protection locked="0"/>
    </xf>
    <xf numFmtId="0" fontId="25" fillId="0" borderId="25" xfId="0" applyFont="1" applyBorder="1" applyAlignment="1">
      <alignment horizontal="left" vertical="justify"/>
    </xf>
    <xf numFmtId="0" fontId="25" fillId="0" borderId="0" xfId="0" applyFont="1" applyAlignment="1">
      <alignment horizontal="left" vertical="center"/>
    </xf>
    <xf numFmtId="43" fontId="25" fillId="0" borderId="5" xfId="0" applyNumberFormat="1" applyFont="1" applyBorder="1" applyAlignment="1" applyProtection="1">
      <alignment horizontal="right" vertical="center"/>
      <protection locked="0"/>
    </xf>
    <xf numFmtId="0" fontId="25" fillId="0" borderId="24" xfId="0" applyFont="1" applyBorder="1" applyAlignment="1">
      <alignment horizontal="left" vertical="justify"/>
    </xf>
    <xf numFmtId="0" fontId="25" fillId="0" borderId="17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43" fontId="25" fillId="3" borderId="9" xfId="0" applyNumberFormat="1" applyFont="1" applyFill="1" applyBorder="1" applyAlignment="1">
      <alignment horizontal="right" vertical="center"/>
    </xf>
    <xf numFmtId="43" fontId="27" fillId="0" borderId="26" xfId="0" applyNumberFormat="1" applyFont="1" applyBorder="1" applyAlignment="1">
      <alignment horizontal="right"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0" xfId="0" applyFont="1" applyBorder="1" applyAlignment="1">
      <alignment vertical="center"/>
    </xf>
    <xf numFmtId="43" fontId="25" fillId="0" borderId="8" xfId="0" applyNumberFormat="1" applyFont="1" applyBorder="1" applyAlignment="1">
      <alignment horizontal="right"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24" xfId="0" applyFont="1" applyBorder="1" applyAlignment="1">
      <alignment horizontal="left" vertical="center"/>
    </xf>
    <xf numFmtId="43" fontId="25" fillId="0" borderId="26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0" fontId="25" fillId="0" borderId="9" xfId="0" applyFont="1" applyBorder="1" applyAlignment="1">
      <alignment horizontal="right" vertical="center"/>
    </xf>
    <xf numFmtId="0" fontId="27" fillId="0" borderId="9" xfId="0" applyFont="1" applyBorder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justify" vertical="center"/>
    </xf>
    <xf numFmtId="0" fontId="25" fillId="0" borderId="4" xfId="0" applyFont="1" applyBorder="1" applyAlignment="1">
      <alignment horizontal="justify" vertical="center"/>
    </xf>
    <xf numFmtId="0" fontId="25" fillId="0" borderId="11" xfId="0" applyFont="1" applyBorder="1" applyAlignment="1">
      <alignment horizontal="justify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justify"/>
    </xf>
    <xf numFmtId="0" fontId="27" fillId="2" borderId="5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justify"/>
    </xf>
    <xf numFmtId="0" fontId="27" fillId="2" borderId="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 wrapText="1"/>
    </xf>
    <xf numFmtId="0" fontId="30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4" fontId="21" fillId="4" borderId="27" xfId="0" applyNumberFormat="1" applyFont="1" applyFill="1" applyBorder="1" applyAlignment="1">
      <alignment horizontal="right" vertical="center" wrapText="1"/>
    </xf>
    <xf numFmtId="0" fontId="32" fillId="4" borderId="28" xfId="0" applyFont="1" applyFill="1" applyBorder="1" applyAlignment="1" applyProtection="1">
      <alignment horizontal="justify" vertical="center"/>
      <protection locked="0"/>
    </xf>
    <xf numFmtId="0" fontId="33" fillId="4" borderId="28" xfId="0" applyFont="1" applyFill="1" applyBorder="1" applyAlignment="1" applyProtection="1">
      <alignment vertical="center"/>
      <protection locked="0"/>
    </xf>
    <xf numFmtId="0" fontId="33" fillId="4" borderId="16" xfId="0" applyFont="1" applyFill="1" applyBorder="1" applyAlignment="1" applyProtection="1">
      <alignment vertical="center"/>
      <protection locked="0"/>
    </xf>
    <xf numFmtId="4" fontId="32" fillId="5" borderId="29" xfId="0" applyNumberFormat="1" applyFont="1" applyFill="1" applyBorder="1" applyAlignment="1">
      <alignment horizontal="right" vertical="center"/>
    </xf>
    <xf numFmtId="0" fontId="32" fillId="5" borderId="30" xfId="0" applyFont="1" applyFill="1" applyBorder="1" applyAlignment="1" applyProtection="1">
      <alignment horizontal="right" vertical="center"/>
      <protection locked="0"/>
    </xf>
    <xf numFmtId="0" fontId="34" fillId="5" borderId="31" xfId="0" applyFont="1" applyFill="1" applyBorder="1" applyAlignment="1" applyProtection="1">
      <alignment horizontal="justify" vertical="center"/>
      <protection locked="0"/>
    </xf>
    <xf numFmtId="0" fontId="32" fillId="5" borderId="10" xfId="0" applyFont="1" applyFill="1" applyBorder="1" applyAlignment="1" applyProtection="1">
      <alignment horizontal="justify" vertical="center"/>
      <protection locked="0"/>
    </xf>
    <xf numFmtId="0" fontId="21" fillId="0" borderId="30" xfId="0" applyFont="1" applyBorder="1" applyAlignment="1" applyProtection="1">
      <alignment horizontal="right" vertical="center" wrapText="1"/>
      <protection locked="0"/>
    </xf>
    <xf numFmtId="0" fontId="35" fillId="5" borderId="32" xfId="0" applyFont="1" applyFill="1" applyBorder="1" applyAlignment="1" applyProtection="1">
      <alignment horizontal="justify" vertical="center"/>
      <protection locked="0"/>
    </xf>
    <xf numFmtId="0" fontId="32" fillId="5" borderId="10" xfId="0" applyFont="1" applyFill="1" applyBorder="1" applyAlignment="1" applyProtection="1">
      <alignment vertical="center"/>
      <protection locked="0"/>
    </xf>
    <xf numFmtId="0" fontId="34" fillId="5" borderId="32" xfId="0" applyFont="1" applyFill="1" applyBorder="1" applyAlignment="1" applyProtection="1">
      <alignment horizontal="justify" vertical="center"/>
      <protection locked="0"/>
    </xf>
    <xf numFmtId="0" fontId="34" fillId="5" borderId="33" xfId="0" applyFont="1" applyFill="1" applyBorder="1" applyAlignment="1" applyProtection="1">
      <alignment horizontal="justify" vertical="center"/>
      <protection locked="0"/>
    </xf>
    <xf numFmtId="4" fontId="21" fillId="0" borderId="27" xfId="0" applyNumberFormat="1" applyFont="1" applyBorder="1" applyAlignment="1">
      <alignment horizontal="right" vertical="center" wrapText="1"/>
    </xf>
    <xf numFmtId="0" fontId="32" fillId="5" borderId="28" xfId="0" applyFont="1" applyFill="1" applyBorder="1" applyAlignment="1" applyProtection="1">
      <alignment horizontal="justify" vertical="center"/>
      <protection locked="0"/>
    </xf>
    <xf numFmtId="0" fontId="33" fillId="5" borderId="28" xfId="0" applyFont="1" applyFill="1" applyBorder="1" applyAlignment="1" applyProtection="1">
      <alignment vertical="center"/>
      <protection locked="0"/>
    </xf>
    <xf numFmtId="0" fontId="33" fillId="5" borderId="16" xfId="0" applyFont="1" applyFill="1" applyBorder="1" applyAlignment="1" applyProtection="1">
      <alignment vertical="center"/>
      <protection locked="0"/>
    </xf>
    <xf numFmtId="4" fontId="32" fillId="5" borderId="5" xfId="0" applyNumberFormat="1" applyFont="1" applyFill="1" applyBorder="1" applyAlignment="1" applyProtection="1">
      <alignment horizontal="right" vertical="center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36" fillId="5" borderId="17" xfId="0" applyFont="1" applyFill="1" applyBorder="1" applyAlignment="1" applyProtection="1">
      <alignment horizontal="justify" vertical="center"/>
      <protection locked="0"/>
    </xf>
    <xf numFmtId="0" fontId="33" fillId="5" borderId="7" xfId="0" applyFont="1" applyFill="1" applyBorder="1" applyAlignment="1" applyProtection="1">
      <alignment horizontal="left" vertical="center"/>
      <protection locked="0"/>
    </xf>
    <xf numFmtId="4" fontId="32" fillId="5" borderId="3" xfId="0" applyNumberFormat="1" applyFont="1" applyFill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34" fillId="5" borderId="4" xfId="0" applyFont="1" applyFill="1" applyBorder="1" applyAlignment="1" applyProtection="1">
      <alignment horizontal="justify" vertical="center"/>
      <protection locked="0"/>
    </xf>
    <xf numFmtId="0" fontId="32" fillId="5" borderId="11" xfId="0" applyFont="1" applyFill="1" applyBorder="1" applyAlignment="1" applyProtection="1">
      <alignment horizontal="justify" vertical="center"/>
      <protection locked="0"/>
    </xf>
    <xf numFmtId="4" fontId="32" fillId="5" borderId="34" xfId="0" applyNumberFormat="1" applyFont="1" applyFill="1" applyBorder="1" applyAlignment="1">
      <alignment horizontal="right" vertical="center"/>
    </xf>
    <xf numFmtId="43" fontId="21" fillId="0" borderId="35" xfId="0" applyNumberFormat="1" applyFont="1" applyBorder="1" applyAlignment="1" applyProtection="1">
      <alignment horizontal="right" vertical="center" wrapText="1"/>
      <protection locked="0"/>
    </xf>
    <xf numFmtId="0" fontId="35" fillId="5" borderId="31" xfId="0" applyFont="1" applyFill="1" applyBorder="1" applyAlignment="1" applyProtection="1">
      <alignment horizontal="justify" vertical="center"/>
      <protection locked="0"/>
    </xf>
    <xf numFmtId="0" fontId="32" fillId="5" borderId="7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43" fontId="21" fillId="0" borderId="30" xfId="0" applyNumberFormat="1" applyFont="1" applyBorder="1" applyAlignment="1" applyProtection="1">
      <alignment horizontal="right" vertical="center" wrapText="1"/>
      <protection locked="0"/>
    </xf>
    <xf numFmtId="0" fontId="33" fillId="5" borderId="10" xfId="0" applyFont="1" applyFill="1" applyBorder="1" applyAlignment="1" applyProtection="1">
      <alignment horizontal="justify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" fontId="21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vertical="center" wrapText="1"/>
    </xf>
    <xf numFmtId="4" fontId="2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1" fillId="4" borderId="28" xfId="0" applyFont="1" applyFill="1" applyBorder="1" applyAlignment="1" applyProtection="1">
      <alignment horizontal="center" vertical="center" wrapText="1"/>
      <protection locked="0"/>
    </xf>
    <xf numFmtId="0" fontId="21" fillId="4" borderId="28" xfId="0" applyFont="1" applyFill="1" applyBorder="1" applyAlignment="1" applyProtection="1">
      <alignment horizontal="left" vertical="center"/>
      <protection locked="0"/>
    </xf>
    <xf numFmtId="0" fontId="21" fillId="4" borderId="16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1" fillId="0" borderId="27" xfId="0" applyNumberFormat="1" applyFont="1" applyBorder="1" applyAlignment="1">
      <alignment horizontal="right" vertical="center" wrapText="1"/>
    </xf>
    <xf numFmtId="3" fontId="11" fillId="0" borderId="28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vertical="center" wrapText="1"/>
    </xf>
    <xf numFmtId="3" fontId="4" fillId="0" borderId="34" xfId="0" applyNumberFormat="1" applyFont="1" applyBorder="1" applyAlignment="1">
      <alignment horizontal="right" vertical="center" wrapText="1"/>
    </xf>
    <xf numFmtId="3" fontId="4" fillId="0" borderId="35" xfId="0" applyNumberFormat="1" applyFont="1" applyBorder="1" applyAlignment="1" applyProtection="1">
      <alignment horizontal="right" vertical="center" wrapText="1"/>
      <protection locked="0"/>
    </xf>
    <xf numFmtId="3" fontId="4" fillId="0" borderId="35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 indent="3"/>
    </xf>
    <xf numFmtId="3" fontId="4" fillId="0" borderId="29" xfId="0" applyNumberFormat="1" applyFont="1" applyBorder="1" applyAlignment="1">
      <alignment horizontal="right" vertical="center" wrapText="1"/>
    </xf>
    <xf numFmtId="3" fontId="4" fillId="0" borderId="30" xfId="0" applyNumberFormat="1" applyFont="1" applyBorder="1" applyAlignment="1" applyProtection="1">
      <alignment horizontal="right" vertical="center" wrapText="1"/>
      <protection locked="0"/>
    </xf>
    <xf numFmtId="3" fontId="4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 wrapText="1" indent="3"/>
    </xf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49" fontId="11" fillId="0" borderId="34" xfId="0" applyNumberFormat="1" applyFont="1" applyBorder="1" applyAlignment="1">
      <alignment horizontal="center" vertical="center" wrapText="1"/>
    </xf>
    <xf numFmtId="49" fontId="11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5" xfId="0" applyNumberFormat="1" applyFont="1" applyBorder="1" applyAlignment="1">
      <alignment horizontal="center" vertical="center" wrapText="1"/>
    </xf>
    <xf numFmtId="49" fontId="11" fillId="0" borderId="35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left" vertical="center"/>
      <protection locked="0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43" fontId="39" fillId="0" borderId="8" xfId="0" applyNumberFormat="1" applyFont="1" applyBorder="1" applyAlignment="1">
      <alignment vertical="center"/>
    </xf>
    <xf numFmtId="0" fontId="39" fillId="0" borderId="9" xfId="0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43" fontId="38" fillId="0" borderId="9" xfId="0" applyNumberFormat="1" applyFont="1" applyBorder="1" applyAlignment="1">
      <alignment vertical="center"/>
    </xf>
    <xf numFmtId="43" fontId="38" fillId="0" borderId="8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43" fontId="38" fillId="0" borderId="8" xfId="0" applyNumberFormat="1" applyFont="1" applyBorder="1" applyAlignment="1" applyProtection="1">
      <alignment vertical="center"/>
      <protection locked="0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43" fontId="38" fillId="0" borderId="5" xfId="0" applyNumberFormat="1" applyFont="1" applyBorder="1" applyAlignment="1">
      <alignment vertical="center"/>
    </xf>
    <xf numFmtId="43" fontId="38" fillId="0" borderId="6" xfId="0" applyNumberFormat="1" applyFont="1" applyBorder="1" applyAlignment="1" applyProtection="1">
      <alignment vertical="center"/>
      <protection locked="0"/>
    </xf>
    <xf numFmtId="43" fontId="38" fillId="0" borderId="6" xfId="0" applyNumberFormat="1" applyFont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horizontal="right"/>
      <protection locked="0"/>
    </xf>
    <xf numFmtId="0" fontId="40" fillId="0" borderId="0" xfId="0" applyFont="1" applyAlignment="1" applyProtection="1">
      <alignment horizontal="left" vertical="justify" indent="3"/>
      <protection locked="0"/>
    </xf>
    <xf numFmtId="0" fontId="40" fillId="0" borderId="0" xfId="0" applyFont="1" applyAlignment="1" applyProtection="1">
      <alignment horizontal="justify"/>
      <protection locked="0"/>
    </xf>
    <xf numFmtId="0" fontId="40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/>
      <protection locked="0"/>
    </xf>
    <xf numFmtId="3" fontId="9" fillId="0" borderId="0" xfId="0" applyNumberFormat="1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3" fontId="9" fillId="0" borderId="34" xfId="0" applyNumberFormat="1" applyFont="1" applyBorder="1" applyAlignment="1">
      <alignment horizontal="right" vertical="center" wrapText="1"/>
    </xf>
    <xf numFmtId="3" fontId="9" fillId="0" borderId="35" xfId="0" applyNumberFormat="1" applyFont="1" applyBorder="1" applyAlignment="1">
      <alignment horizontal="right" vertical="center" wrapText="1"/>
    </xf>
    <xf numFmtId="3" fontId="42" fillId="0" borderId="35" xfId="0" applyNumberFormat="1" applyFont="1" applyBorder="1" applyAlignment="1">
      <alignment horizontal="right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3" fontId="31" fillId="0" borderId="34" xfId="0" applyNumberFormat="1" applyFont="1" applyBorder="1" applyAlignment="1">
      <alignment horizontal="right" vertical="center" wrapText="1"/>
    </xf>
    <xf numFmtId="3" fontId="31" fillId="0" borderId="35" xfId="0" applyNumberFormat="1" applyFont="1" applyBorder="1" applyAlignment="1" applyProtection="1">
      <alignment horizontal="right" vertical="center" wrapText="1"/>
      <protection locked="0"/>
    </xf>
    <xf numFmtId="3" fontId="31" fillId="0" borderId="35" xfId="0" applyNumberFormat="1" applyFont="1" applyBorder="1" applyAlignment="1">
      <alignment horizontal="right" vertical="center" wrapText="1"/>
    </xf>
    <xf numFmtId="0" fontId="4" fillId="0" borderId="19" xfId="0" applyFont="1" applyBorder="1" applyAlignment="1" applyProtection="1">
      <alignment horizontal="justify" vertical="center" wrapText="1"/>
      <protection locked="0"/>
    </xf>
    <xf numFmtId="3" fontId="31" fillId="0" borderId="29" xfId="0" applyNumberFormat="1" applyFont="1" applyBorder="1" applyAlignment="1">
      <alignment horizontal="right" vertical="center" wrapText="1"/>
    </xf>
    <xf numFmtId="3" fontId="31" fillId="0" borderId="30" xfId="0" applyNumberFormat="1" applyFont="1" applyBorder="1" applyAlignment="1" applyProtection="1">
      <alignment horizontal="right" vertical="center" wrapText="1"/>
      <protection locked="0"/>
    </xf>
    <xf numFmtId="3" fontId="31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center" wrapText="1" indent="2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top"/>
      <protection locked="0"/>
    </xf>
    <xf numFmtId="43" fontId="43" fillId="0" borderId="0" xfId="1" applyFont="1" applyFill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justify" vertical="center" wrapText="1"/>
      <protection locked="0"/>
    </xf>
    <xf numFmtId="3" fontId="31" fillId="0" borderId="29" xfId="0" applyNumberFormat="1" applyFont="1" applyBorder="1" applyAlignment="1" applyProtection="1">
      <alignment horizontal="right" vertical="center" wrapText="1"/>
      <protection locked="0"/>
    </xf>
    <xf numFmtId="0" fontId="31" fillId="0" borderId="21" xfId="0" applyFont="1" applyBorder="1" applyAlignment="1" applyProtection="1">
      <alignment horizontal="justify" vertical="center" wrapText="1"/>
      <protection locked="0"/>
    </xf>
    <xf numFmtId="9" fontId="3" fillId="0" borderId="0" xfId="2" applyFont="1" applyFill="1" applyAlignment="1" applyProtection="1">
      <alignment vertical="center"/>
      <protection locked="0"/>
    </xf>
    <xf numFmtId="3" fontId="31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30" xfId="0" applyNumberFormat="1" applyFont="1" applyFill="1" applyBorder="1" applyAlignment="1" applyProtection="1">
      <alignment horizontal="right" vertical="center" wrapText="1"/>
      <protection locked="0"/>
    </xf>
    <xf numFmtId="164" fontId="31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49" fontId="18" fillId="0" borderId="35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43" fontId="10" fillId="0" borderId="5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justify" vertical="center" wrapText="1"/>
    </xf>
    <xf numFmtId="0" fontId="44" fillId="0" borderId="0" xfId="0" applyFont="1"/>
    <xf numFmtId="0" fontId="18" fillId="0" borderId="0" xfId="0" applyFont="1" applyAlignment="1">
      <alignment vertical="center"/>
    </xf>
    <xf numFmtId="43" fontId="43" fillId="0" borderId="9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horizontal="justify" vertical="center" wrapText="1"/>
    </xf>
    <xf numFmtId="0" fontId="43" fillId="0" borderId="8" xfId="0" applyFont="1" applyBorder="1" applyAlignment="1">
      <alignment horizontal="justify" vertical="center" wrapText="1"/>
    </xf>
    <xf numFmtId="0" fontId="43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11" fillId="0" borderId="34" xfId="0" applyNumberFormat="1" applyFont="1" applyBorder="1" applyAlignment="1">
      <alignment horizontal="right" vertical="center" wrapText="1"/>
    </xf>
    <xf numFmtId="3" fontId="11" fillId="0" borderId="35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justify" vertical="center" wrapText="1"/>
    </xf>
    <xf numFmtId="4" fontId="4" fillId="0" borderId="29" xfId="0" applyNumberFormat="1" applyFont="1" applyBorder="1" applyAlignment="1">
      <alignment horizontal="justify" vertical="center" wrapText="1"/>
    </xf>
    <xf numFmtId="4" fontId="4" fillId="0" borderId="30" xfId="0" applyNumberFormat="1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49" fontId="18" fillId="0" borderId="0" xfId="0" applyNumberFormat="1" applyFont="1" applyAlignment="1" applyProtection="1">
      <alignment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 applyProtection="1">
      <alignment horizontal="right" vertical="center" wrapText="1"/>
      <protection locked="0"/>
    </xf>
    <xf numFmtId="3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0" fontId="4" fillId="0" borderId="21" xfId="0" applyFont="1" applyBorder="1" applyAlignment="1" applyProtection="1">
      <alignment horizontal="left" vertical="center" wrapText="1" indent="1"/>
      <protection locked="0"/>
    </xf>
    <xf numFmtId="4" fontId="4" fillId="0" borderId="29" xfId="0" applyNumberFormat="1" applyFont="1" applyBorder="1" applyAlignment="1">
      <alignment horizontal="right" vertical="center" wrapText="1"/>
    </xf>
    <xf numFmtId="4" fontId="4" fillId="0" borderId="30" xfId="0" applyNumberFormat="1" applyFont="1" applyBorder="1" applyAlignment="1" applyProtection="1">
      <alignment horizontal="right" vertical="center" wrapText="1"/>
      <protection locked="0"/>
    </xf>
    <xf numFmtId="4" fontId="4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justify" vertical="center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 indent="2"/>
      <protection locked="0"/>
    </xf>
    <xf numFmtId="3" fontId="4" fillId="0" borderId="27" xfId="0" applyNumberFormat="1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top" wrapText="1" indent="2"/>
      <protection locked="0"/>
    </xf>
    <xf numFmtId="3" fontId="11" fillId="0" borderId="29" xfId="0" applyNumberFormat="1" applyFont="1" applyBorder="1" applyAlignment="1">
      <alignment horizontal="right"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0" fontId="11" fillId="0" borderId="21" xfId="0" applyFont="1" applyBorder="1" applyAlignment="1" applyProtection="1">
      <alignment vertical="center" wrapText="1"/>
      <protection locked="0"/>
    </xf>
    <xf numFmtId="4" fontId="3" fillId="0" borderId="29" xfId="0" applyNumberFormat="1" applyFont="1" applyBorder="1" applyAlignment="1" applyProtection="1">
      <alignment horizontal="justify" vertical="center" wrapText="1"/>
      <protection locked="0"/>
    </xf>
    <xf numFmtId="4" fontId="3" fillId="0" borderId="30" xfId="0" applyNumberFormat="1" applyFont="1" applyBorder="1" applyAlignment="1" applyProtection="1">
      <alignment horizontal="justify" vertical="center" wrapText="1"/>
      <protection locked="0"/>
    </xf>
    <xf numFmtId="0" fontId="3" fillId="0" borderId="21" xfId="0" applyFont="1" applyBorder="1" applyAlignment="1" applyProtection="1">
      <alignment horizontal="justify" vertical="center" wrapText="1"/>
      <protection locked="0"/>
    </xf>
    <xf numFmtId="4" fontId="9" fillId="0" borderId="34" xfId="0" applyNumberFormat="1" applyFont="1" applyBorder="1" applyAlignment="1" applyProtection="1">
      <alignment horizontal="center" vertical="center" wrapText="1"/>
      <protection locked="0"/>
    </xf>
    <xf numFmtId="4" fontId="9" fillId="0" borderId="35" xfId="0" applyNumberFormat="1" applyFont="1" applyBorder="1" applyAlignment="1" applyProtection="1">
      <alignment horizontal="center" vertical="center" wrapText="1"/>
      <protection locked="0"/>
    </xf>
    <xf numFmtId="4" fontId="9" fillId="0" borderId="36" xfId="0" applyNumberFormat="1" applyFont="1" applyBorder="1" applyAlignment="1" applyProtection="1">
      <alignment horizontal="center" vertical="center" wrapText="1"/>
      <protection locked="0"/>
    </xf>
    <xf numFmtId="4" fontId="9" fillId="0" borderId="37" xfId="0" applyNumberFormat="1" applyFon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4" fontId="21" fillId="0" borderId="0" xfId="0" applyNumberFormat="1" applyFont="1" applyAlignment="1" applyProtection="1">
      <alignment horizontal="right" vertical="top"/>
      <protection locked="0"/>
    </xf>
    <xf numFmtId="4" fontId="9" fillId="0" borderId="17" xfId="0" applyNumberFormat="1" applyFont="1" applyBorder="1" applyAlignment="1" applyProtection="1">
      <alignment horizontal="left" vertical="center"/>
      <protection locked="0"/>
    </xf>
    <xf numFmtId="43" fontId="43" fillId="0" borderId="0" xfId="0" applyNumberFormat="1" applyFont="1" applyAlignment="1">
      <alignment vertical="center"/>
    </xf>
    <xf numFmtId="43" fontId="43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>
      <alignment horizontal="left" vertical="center"/>
    </xf>
    <xf numFmtId="43" fontId="43" fillId="0" borderId="5" xfId="0" applyNumberFormat="1" applyFont="1" applyBorder="1" applyAlignment="1">
      <alignment vertical="center"/>
    </xf>
    <xf numFmtId="0" fontId="43" fillId="0" borderId="5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43" fontId="43" fillId="0" borderId="9" xfId="0" applyNumberFormat="1" applyFont="1" applyBorder="1" applyAlignment="1">
      <alignment vertical="center"/>
    </xf>
    <xf numFmtId="43" fontId="43" fillId="0" borderId="9" xfId="0" applyNumberFormat="1" applyFont="1" applyBorder="1" applyAlignment="1" applyProtection="1">
      <alignment vertical="center"/>
      <protection locked="0"/>
    </xf>
    <xf numFmtId="0" fontId="43" fillId="0" borderId="9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43" fontId="43" fillId="0" borderId="5" xfId="0" applyNumberFormat="1" applyFont="1" applyBorder="1" applyAlignment="1" applyProtection="1">
      <alignment vertical="center"/>
      <protection locked="0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43" fontId="18" fillId="0" borderId="9" xfId="0" applyNumberFormat="1" applyFont="1" applyBorder="1" applyAlignment="1" applyProtection="1">
      <alignment vertical="center"/>
      <protection locked="0"/>
    </xf>
    <xf numFmtId="0" fontId="18" fillId="0" borderId="9" xfId="0" applyFont="1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43" fontId="18" fillId="0" borderId="9" xfId="0" applyNumberFormat="1" applyFont="1" applyBorder="1" applyAlignment="1">
      <alignment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45" fillId="0" borderId="0" xfId="0" applyFont="1"/>
    <xf numFmtId="0" fontId="0" fillId="2" borderId="0" xfId="0" applyFill="1"/>
    <xf numFmtId="43" fontId="0" fillId="2" borderId="0" xfId="0" applyNumberFormat="1" applyFill="1"/>
    <xf numFmtId="165" fontId="0" fillId="2" borderId="0" xfId="0" applyNumberFormat="1" applyFill="1"/>
    <xf numFmtId="9" fontId="0" fillId="2" borderId="0" xfId="2" applyFont="1" applyFill="1"/>
    <xf numFmtId="0" fontId="4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45" fillId="2" borderId="0" xfId="0" applyFont="1" applyFill="1"/>
    <xf numFmtId="165" fontId="46" fillId="2" borderId="0" xfId="0" applyNumberFormat="1" applyFont="1" applyFill="1"/>
    <xf numFmtId="165" fontId="29" fillId="2" borderId="0" xfId="0" applyNumberFormat="1" applyFont="1" applyFill="1"/>
    <xf numFmtId="43" fontId="43" fillId="2" borderId="39" xfId="0" applyNumberFormat="1" applyFont="1" applyFill="1" applyBorder="1" applyAlignment="1">
      <alignment vertical="center"/>
    </xf>
    <xf numFmtId="166" fontId="47" fillId="2" borderId="39" xfId="3" applyNumberFormat="1" applyFont="1" applyFill="1" applyBorder="1" applyAlignment="1">
      <alignment horizontal="right" vertical="center" indent="1"/>
    </xf>
    <xf numFmtId="166" fontId="48" fillId="2" borderId="39" xfId="3" applyNumberFormat="1" applyFont="1" applyFill="1" applyBorder="1" applyAlignment="1">
      <alignment horizontal="right" vertical="center" indent="1"/>
    </xf>
    <xf numFmtId="0" fontId="45" fillId="2" borderId="39" xfId="0" applyFont="1" applyFill="1" applyBorder="1" applyAlignment="1">
      <alignment horizontal="left" vertical="center" wrapText="1"/>
    </xf>
    <xf numFmtId="0" fontId="45" fillId="2" borderId="39" xfId="0" applyFont="1" applyFill="1" applyBorder="1" applyAlignment="1">
      <alignment horizontal="right" vertical="center"/>
    </xf>
    <xf numFmtId="0" fontId="29" fillId="2" borderId="39" xfId="0" applyFont="1" applyFill="1" applyBorder="1" applyAlignment="1">
      <alignment horizontal="left" vertical="center" wrapText="1"/>
    </xf>
    <xf numFmtId="0" fontId="47" fillId="2" borderId="39" xfId="0" applyFont="1" applyFill="1" applyBorder="1" applyAlignment="1">
      <alignment horizontal="right" vertical="center"/>
    </xf>
    <xf numFmtId="0" fontId="47" fillId="2" borderId="39" xfId="0" applyFont="1" applyFill="1" applyBorder="1" applyAlignment="1">
      <alignment horizontal="left" vertical="center"/>
    </xf>
    <xf numFmtId="0" fontId="48" fillId="2" borderId="39" xfId="0" applyFont="1" applyFill="1" applyBorder="1" applyAlignment="1">
      <alignment horizontal="right" vertical="center"/>
    </xf>
    <xf numFmtId="166" fontId="49" fillId="2" borderId="39" xfId="3" applyNumberFormat="1" applyFont="1" applyFill="1" applyBorder="1" applyAlignment="1">
      <alignment horizontal="right" vertical="center" indent="1"/>
    </xf>
    <xf numFmtId="166" fontId="50" fillId="2" borderId="39" xfId="3" applyNumberFormat="1" applyFont="1" applyFill="1" applyBorder="1" applyAlignment="1">
      <alignment horizontal="right" vertical="center" indent="1"/>
    </xf>
    <xf numFmtId="0" fontId="47" fillId="2" borderId="39" xfId="0" applyFont="1" applyFill="1" applyBorder="1" applyAlignment="1">
      <alignment horizontal="center" vertical="center"/>
    </xf>
    <xf numFmtId="0" fontId="48" fillId="2" borderId="39" xfId="0" applyFont="1" applyFill="1" applyBorder="1" applyAlignment="1">
      <alignment horizontal="left" vertical="center" wrapText="1"/>
    </xf>
    <xf numFmtId="0" fontId="47" fillId="2" borderId="39" xfId="0" applyFont="1" applyFill="1" applyBorder="1" applyAlignment="1">
      <alignment horizontal="left" vertical="center" wrapText="1"/>
    </xf>
    <xf numFmtId="0" fontId="29" fillId="2" borderId="39" xfId="0" applyFont="1" applyFill="1" applyBorder="1" applyAlignment="1">
      <alignment horizontal="center" vertical="center"/>
    </xf>
    <xf numFmtId="0" fontId="29" fillId="2" borderId="39" xfId="0" applyFont="1" applyFill="1" applyBorder="1" applyAlignment="1">
      <alignment horizontal="left" vertical="center"/>
    </xf>
    <xf numFmtId="4" fontId="48" fillId="2" borderId="39" xfId="0" applyNumberFormat="1" applyFont="1" applyFill="1" applyBorder="1" applyAlignment="1">
      <alignment horizontal="left" vertical="center" wrapText="1"/>
    </xf>
    <xf numFmtId="0" fontId="48" fillId="2" borderId="39" xfId="0" applyFont="1" applyFill="1" applyBorder="1" applyAlignment="1">
      <alignment vertical="center" wrapText="1"/>
    </xf>
    <xf numFmtId="4" fontId="45" fillId="2" borderId="39" xfId="0" applyNumberFormat="1" applyFont="1" applyFill="1" applyBorder="1" applyAlignment="1">
      <alignment horizontal="left" vertical="center" wrapText="1"/>
    </xf>
    <xf numFmtId="4" fontId="29" fillId="2" borderId="39" xfId="0" applyNumberFormat="1" applyFont="1" applyFill="1" applyBorder="1" applyAlignment="1">
      <alignment horizontal="left" vertical="center" wrapText="1"/>
    </xf>
    <xf numFmtId="0" fontId="47" fillId="2" borderId="39" xfId="0" applyFont="1" applyFill="1" applyBorder="1" applyAlignment="1">
      <alignment horizontal="left" vertical="center" wrapText="1" indent="4"/>
    </xf>
    <xf numFmtId="0" fontId="47" fillId="2" borderId="39" xfId="0" applyFont="1" applyFill="1" applyBorder="1" applyAlignment="1">
      <alignment horizontal="left" vertical="center" wrapText="1" indent="2"/>
    </xf>
    <xf numFmtId="0" fontId="45" fillId="2" borderId="39" xfId="0" applyFont="1" applyFill="1" applyBorder="1" applyAlignment="1">
      <alignment vertical="center" wrapText="1"/>
    </xf>
    <xf numFmtId="0" fontId="47" fillId="2" borderId="39" xfId="0" applyFont="1" applyFill="1" applyBorder="1" applyAlignment="1">
      <alignment horizontal="center" vertical="center" wrapText="1"/>
    </xf>
    <xf numFmtId="4" fontId="47" fillId="2" borderId="39" xfId="0" applyNumberFormat="1" applyFont="1" applyFill="1" applyBorder="1" applyAlignment="1">
      <alignment horizontal="left" vertical="center" wrapText="1"/>
    </xf>
    <xf numFmtId="43" fontId="47" fillId="2" borderId="39" xfId="3" applyFont="1" applyFill="1" applyBorder="1" applyAlignment="1">
      <alignment horizontal="right" vertical="center" indent="1"/>
    </xf>
    <xf numFmtId="0" fontId="45" fillId="2" borderId="39" xfId="0" applyFont="1" applyFill="1" applyBorder="1"/>
    <xf numFmtId="9" fontId="51" fillId="2" borderId="40" xfId="2" applyFont="1" applyFill="1" applyBorder="1" applyAlignment="1">
      <alignment horizontal="center" vertical="center" wrapText="1"/>
    </xf>
    <xf numFmtId="43" fontId="51" fillId="2" borderId="41" xfId="0" applyNumberFormat="1" applyFont="1" applyFill="1" applyBorder="1" applyAlignment="1">
      <alignment horizontal="center" vertical="center" wrapText="1"/>
    </xf>
    <xf numFmtId="165" fontId="51" fillId="2" borderId="41" xfId="0" applyNumberFormat="1" applyFont="1" applyFill="1" applyBorder="1" applyAlignment="1">
      <alignment horizontal="center" vertical="center" wrapText="1"/>
    </xf>
    <xf numFmtId="165" fontId="51" fillId="2" borderId="41" xfId="0" applyNumberFormat="1" applyFont="1" applyFill="1" applyBorder="1" applyAlignment="1">
      <alignment horizontal="center" vertical="center"/>
    </xf>
    <xf numFmtId="165" fontId="51" fillId="2" borderId="41" xfId="3" applyNumberFormat="1" applyFont="1" applyFill="1" applyBorder="1" applyAlignment="1">
      <alignment horizontal="center" vertical="center"/>
    </xf>
    <xf numFmtId="0" fontId="51" fillId="2" borderId="41" xfId="0" applyFont="1" applyFill="1" applyBorder="1" applyAlignment="1">
      <alignment horizontal="center" vertical="center" wrapText="1"/>
    </xf>
    <xf numFmtId="0" fontId="51" fillId="2" borderId="42" xfId="0" applyFont="1" applyFill="1" applyBorder="1" applyAlignment="1">
      <alignment horizontal="center" vertical="center"/>
    </xf>
    <xf numFmtId="9" fontId="51" fillId="2" borderId="43" xfId="2" applyFont="1" applyFill="1" applyBorder="1" applyAlignment="1">
      <alignment horizontal="center" vertical="center" wrapText="1"/>
    </xf>
    <xf numFmtId="43" fontId="51" fillId="2" borderId="44" xfId="0" applyNumberFormat="1" applyFont="1" applyFill="1" applyBorder="1" applyAlignment="1">
      <alignment horizontal="center" vertical="center" wrapText="1"/>
    </xf>
    <xf numFmtId="165" fontId="51" fillId="2" borderId="44" xfId="0" applyNumberFormat="1" applyFont="1" applyFill="1" applyBorder="1" applyAlignment="1">
      <alignment horizontal="center" vertical="center" wrapText="1"/>
    </xf>
    <xf numFmtId="165" fontId="51" fillId="2" borderId="44" xfId="3" applyNumberFormat="1" applyFont="1" applyFill="1" applyBorder="1" applyAlignment="1">
      <alignment horizontal="center" vertical="center" wrapText="1"/>
    </xf>
    <xf numFmtId="0" fontId="51" fillId="2" borderId="44" xfId="0" applyFont="1" applyFill="1" applyBorder="1" applyAlignment="1">
      <alignment horizontal="center" vertical="center" wrapText="1"/>
    </xf>
    <xf numFmtId="0" fontId="51" fillId="2" borderId="45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top"/>
    </xf>
    <xf numFmtId="167" fontId="52" fillId="2" borderId="0" xfId="0" applyNumberFormat="1" applyFont="1" applyFill="1" applyAlignment="1">
      <alignment horizontal="center"/>
    </xf>
    <xf numFmtId="167" fontId="53" fillId="2" borderId="0" xfId="0" applyNumberFormat="1" applyFont="1" applyFill="1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43" fontId="27" fillId="0" borderId="8" xfId="0" applyNumberFormat="1" applyFont="1" applyBorder="1" applyAlignment="1">
      <alignment horizontal="right" wrapText="1"/>
    </xf>
    <xf numFmtId="0" fontId="27" fillId="0" borderId="10" xfId="0" applyFont="1" applyBorder="1" applyAlignment="1">
      <alignment horizontal="left" vertical="center" wrapText="1"/>
    </xf>
    <xf numFmtId="43" fontId="27" fillId="0" borderId="9" xfId="0" applyNumberFormat="1" applyFont="1" applyBorder="1" applyAlignment="1">
      <alignment horizontal="right" wrapText="1"/>
    </xf>
    <xf numFmtId="43" fontId="27" fillId="0" borderId="9" xfId="0" applyNumberFormat="1" applyFont="1" applyBorder="1" applyAlignment="1" applyProtection="1">
      <alignment horizontal="right" wrapText="1"/>
      <protection locked="0"/>
    </xf>
    <xf numFmtId="43" fontId="27" fillId="0" borderId="8" xfId="0" applyNumberFormat="1" applyFont="1" applyBorder="1" applyAlignment="1" applyProtection="1">
      <alignment horizontal="right" wrapText="1"/>
      <protection locked="0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 inden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8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2" fillId="0" borderId="0" xfId="0" applyNumberFormat="1" applyFont="1" applyAlignment="1">
      <alignment horizontal="right" vertical="center"/>
    </xf>
    <xf numFmtId="0" fontId="32" fillId="0" borderId="0" xfId="0" applyFont="1" applyAlignment="1" applyProtection="1">
      <alignment horizontal="justify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justify" vertical="center"/>
      <protection locked="0"/>
    </xf>
    <xf numFmtId="43" fontId="32" fillId="0" borderId="28" xfId="1" applyFont="1" applyFill="1" applyBorder="1" applyAlignment="1" applyProtection="1">
      <alignment horizontal="justify" vertical="center"/>
      <protection locked="0"/>
    </xf>
    <xf numFmtId="0" fontId="33" fillId="0" borderId="16" xfId="0" applyFont="1" applyBorder="1" applyAlignment="1" applyProtection="1">
      <alignment vertical="center"/>
      <protection locked="0"/>
    </xf>
    <xf numFmtId="4" fontId="32" fillId="0" borderId="34" xfId="0" applyNumberFormat="1" applyFont="1" applyBorder="1" applyAlignment="1">
      <alignment horizontal="right" vertical="center"/>
    </xf>
    <xf numFmtId="43" fontId="32" fillId="0" borderId="35" xfId="1" applyFont="1" applyFill="1" applyBorder="1" applyAlignment="1" applyProtection="1">
      <alignment horizontal="justify" vertical="center"/>
      <protection locked="0"/>
    </xf>
    <xf numFmtId="0" fontId="34" fillId="0" borderId="19" xfId="0" applyFont="1" applyBorder="1" applyAlignment="1" applyProtection="1">
      <alignment horizontal="justify" vertical="center"/>
      <protection locked="0"/>
    </xf>
    <xf numFmtId="4" fontId="32" fillId="0" borderId="29" xfId="0" applyNumberFormat="1" applyFont="1" applyBorder="1" applyAlignment="1">
      <alignment horizontal="right" vertical="center"/>
    </xf>
    <xf numFmtId="43" fontId="3" fillId="0" borderId="30" xfId="1" applyFont="1" applyFill="1" applyBorder="1" applyAlignment="1" applyProtection="1">
      <alignment horizontal="right" vertical="center"/>
      <protection locked="0"/>
    </xf>
    <xf numFmtId="0" fontId="34" fillId="0" borderId="21" xfId="0" applyFont="1" applyBorder="1" applyAlignment="1" applyProtection="1">
      <alignment horizontal="left" vertical="center" indent="3"/>
      <protection locked="0"/>
    </xf>
    <xf numFmtId="4" fontId="21" fillId="4" borderId="36" xfId="0" applyNumberFormat="1" applyFont="1" applyFill="1" applyBorder="1" applyAlignment="1">
      <alignment horizontal="right" vertical="center" wrapText="1"/>
    </xf>
    <xf numFmtId="43" fontId="32" fillId="0" borderId="37" xfId="1" applyFont="1" applyFill="1" applyBorder="1" applyAlignment="1" applyProtection="1">
      <alignment horizontal="justify"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4" fontId="32" fillId="0" borderId="17" xfId="0" applyNumberFormat="1" applyFont="1" applyBorder="1" applyAlignment="1">
      <alignment horizontal="right" vertical="center"/>
    </xf>
    <xf numFmtId="0" fontId="33" fillId="0" borderId="17" xfId="0" applyFont="1" applyBorder="1" applyAlignment="1" applyProtection="1">
      <alignment horizontal="left" vertical="center"/>
      <protection locked="0"/>
    </xf>
    <xf numFmtId="4" fontId="32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 applyProtection="1">
      <alignment horizontal="justify" vertical="center"/>
      <protection locked="0"/>
    </xf>
    <xf numFmtId="43" fontId="3" fillId="0" borderId="35" xfId="1" applyFont="1" applyFill="1" applyBorder="1" applyAlignment="1" applyProtection="1">
      <alignment horizontal="right" vertical="center"/>
      <protection locked="0"/>
    </xf>
    <xf numFmtId="0" fontId="32" fillId="0" borderId="37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4" fontId="21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 applyProtection="1">
      <alignment horizontal="left" vertical="center"/>
      <protection locked="0"/>
    </xf>
    <xf numFmtId="4" fontId="21" fillId="0" borderId="4" xfId="0" applyNumberFormat="1" applyFont="1" applyBorder="1" applyAlignment="1">
      <alignment horizontal="right" vertical="center" wrapText="1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vertical="center"/>
      <protection locked="0"/>
    </xf>
    <xf numFmtId="4" fontId="21" fillId="0" borderId="17" xfId="0" applyNumberFormat="1" applyFont="1" applyBorder="1" applyAlignment="1" applyProtection="1">
      <alignment horizontal="left" vertical="top"/>
      <protection locked="0"/>
    </xf>
    <xf numFmtId="4" fontId="21" fillId="0" borderId="17" xfId="0" applyNumberFormat="1" applyFont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5" fillId="0" borderId="0" xfId="0" applyFont="1" applyProtection="1">
      <protection locked="0"/>
    </xf>
    <xf numFmtId="4" fontId="56" fillId="0" borderId="0" xfId="0" applyNumberFormat="1" applyFont="1" applyAlignment="1">
      <alignment horizontal="right" vertical="center"/>
    </xf>
    <xf numFmtId="0" fontId="56" fillId="0" borderId="0" xfId="0" applyFont="1" applyAlignment="1" applyProtection="1">
      <alignment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31" fillId="0" borderId="0" xfId="0" applyFont="1" applyProtection="1">
      <protection locked="0"/>
    </xf>
    <xf numFmtId="4" fontId="56" fillId="0" borderId="27" xfId="0" applyNumberFormat="1" applyFont="1" applyBorder="1" applyAlignment="1">
      <alignment horizontal="right" vertical="center"/>
    </xf>
    <xf numFmtId="4" fontId="56" fillId="0" borderId="28" xfId="0" applyNumberFormat="1" applyFont="1" applyBorder="1" applyAlignment="1">
      <alignment horizontal="right" vertical="center"/>
    </xf>
    <xf numFmtId="0" fontId="56" fillId="0" borderId="47" xfId="0" applyFont="1" applyBorder="1" applyAlignment="1" applyProtection="1">
      <alignment vertical="center"/>
      <protection locked="0"/>
    </xf>
    <xf numFmtId="0" fontId="56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4" fontId="56" fillId="0" borderId="9" xfId="0" applyNumberFormat="1" applyFont="1" applyBorder="1" applyAlignment="1">
      <alignment horizontal="right" vertical="center"/>
    </xf>
    <xf numFmtId="4" fontId="56" fillId="0" borderId="32" xfId="0" applyNumberFormat="1" applyFont="1" applyBorder="1" applyAlignment="1">
      <alignment horizontal="right" vertical="center"/>
    </xf>
    <xf numFmtId="4" fontId="56" fillId="0" borderId="30" xfId="0" applyNumberFormat="1" applyFont="1" applyBorder="1" applyAlignment="1">
      <alignment horizontal="right" vertical="center"/>
    </xf>
    <xf numFmtId="0" fontId="56" fillId="0" borderId="32" xfId="0" applyFont="1" applyBorder="1" applyAlignment="1" applyProtection="1">
      <alignment horizontal="left" vertical="center" wrapText="1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4" fontId="56" fillId="0" borderId="32" xfId="0" applyNumberFormat="1" applyFont="1" applyBorder="1" applyAlignment="1" applyProtection="1">
      <alignment horizontal="right" vertical="center"/>
      <protection locked="0"/>
    </xf>
    <xf numFmtId="4" fontId="56" fillId="0" borderId="30" xfId="0" applyNumberFormat="1" applyFont="1" applyBorder="1" applyAlignment="1" applyProtection="1">
      <alignment horizontal="right" vertical="center"/>
      <protection locked="0"/>
    </xf>
    <xf numFmtId="0" fontId="56" fillId="0" borderId="32" xfId="0" applyFont="1" applyBorder="1" applyAlignment="1" applyProtection="1">
      <alignment horizontal="center" vertical="center"/>
      <protection locked="0"/>
    </xf>
    <xf numFmtId="0" fontId="56" fillId="4" borderId="48" xfId="0" applyFont="1" applyFill="1" applyBorder="1" applyAlignment="1" applyProtection="1">
      <alignment horizontal="center" vertical="center"/>
      <protection locked="0"/>
    </xf>
    <xf numFmtId="0" fontId="56" fillId="4" borderId="49" xfId="0" applyFont="1" applyFill="1" applyBorder="1" applyAlignment="1" applyProtection="1">
      <alignment horizontal="center" vertical="center"/>
      <protection locked="0"/>
    </xf>
    <xf numFmtId="0" fontId="56" fillId="4" borderId="50" xfId="0" applyFont="1" applyFill="1" applyBorder="1" applyAlignment="1" applyProtection="1">
      <alignment horizontal="center" vertical="center"/>
      <protection locked="0"/>
    </xf>
    <xf numFmtId="0" fontId="56" fillId="0" borderId="32" xfId="0" applyFont="1" applyBorder="1" applyAlignment="1" applyProtection="1">
      <alignment horizontal="left" vertical="center"/>
      <protection locked="0"/>
    </xf>
    <xf numFmtId="0" fontId="56" fillId="4" borderId="51" xfId="0" applyFont="1" applyFill="1" applyBorder="1" applyAlignment="1" applyProtection="1">
      <alignment horizontal="center" vertical="center"/>
      <protection locked="0"/>
    </xf>
    <xf numFmtId="0" fontId="56" fillId="4" borderId="52" xfId="0" applyFont="1" applyFill="1" applyBorder="1" applyAlignment="1" applyProtection="1">
      <alignment horizontal="center" vertical="center"/>
      <protection locked="0"/>
    </xf>
    <xf numFmtId="0" fontId="56" fillId="4" borderId="53" xfId="0" applyFont="1" applyFill="1" applyBorder="1" applyAlignment="1" applyProtection="1">
      <alignment horizontal="center" vertical="center"/>
      <protection locked="0"/>
    </xf>
    <xf numFmtId="0" fontId="56" fillId="0" borderId="54" xfId="0" applyFont="1" applyBorder="1" applyAlignment="1" applyProtection="1">
      <alignment horizontal="center" vertical="center"/>
      <protection locked="0"/>
    </xf>
    <xf numFmtId="0" fontId="56" fillId="0" borderId="55" xfId="0" applyFont="1" applyBorder="1" applyAlignment="1" applyProtection="1">
      <alignment horizontal="center" vertical="center"/>
      <protection locked="0"/>
    </xf>
    <xf numFmtId="0" fontId="56" fillId="0" borderId="31" xfId="0" applyFont="1" applyBorder="1" applyAlignment="1" applyProtection="1">
      <alignment horizontal="center" vertical="center"/>
      <protection locked="0"/>
    </xf>
    <xf numFmtId="0" fontId="56" fillId="0" borderId="7" xfId="0" applyFont="1" applyBorder="1" applyAlignment="1" applyProtection="1">
      <alignment horizontal="center" vertical="center"/>
      <protection locked="0"/>
    </xf>
    <xf numFmtId="0" fontId="56" fillId="0" borderId="36" xfId="0" applyFont="1" applyBorder="1" applyAlignment="1" applyProtection="1">
      <alignment horizontal="center" vertical="center" wrapText="1"/>
      <protection locked="0"/>
    </xf>
    <xf numFmtId="0" fontId="56" fillId="0" borderId="37" xfId="0" applyFont="1" applyBorder="1" applyAlignment="1" applyProtection="1">
      <alignment horizontal="center" vertical="center" wrapText="1"/>
      <protection locked="0"/>
    </xf>
    <xf numFmtId="0" fontId="56" fillId="0" borderId="22" xfId="0" applyFont="1" applyBorder="1" applyAlignment="1" applyProtection="1">
      <alignment horizontal="center" vertical="center" wrapText="1"/>
      <protection locked="0"/>
    </xf>
    <xf numFmtId="0" fontId="56" fillId="0" borderId="33" xfId="0" applyFont="1" applyBorder="1" applyAlignment="1" applyProtection="1">
      <alignment horizontal="center" vertical="center"/>
      <protection locked="0"/>
    </xf>
    <xf numFmtId="0" fontId="56" fillId="0" borderId="11" xfId="0" applyFont="1" applyBorder="1" applyAlignment="1" applyProtection="1">
      <alignment horizontal="center" vertical="center"/>
      <protection locked="0"/>
    </xf>
    <xf numFmtId="0" fontId="57" fillId="0" borderId="0" xfId="0" applyFont="1" applyProtection="1">
      <protection locked="0"/>
    </xf>
    <xf numFmtId="0" fontId="57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 vertical="top"/>
    </xf>
    <xf numFmtId="4" fontId="56" fillId="0" borderId="1" xfId="0" applyNumberFormat="1" applyFont="1" applyBorder="1" applyAlignment="1">
      <alignment horizontal="right" vertical="center"/>
    </xf>
    <xf numFmtId="0" fontId="56" fillId="0" borderId="9" xfId="0" applyFont="1" applyBorder="1" applyAlignment="1" applyProtection="1">
      <alignment horizontal="center" vertical="center"/>
      <protection locked="0"/>
    </xf>
    <xf numFmtId="0" fontId="56" fillId="0" borderId="30" xfId="0" applyFont="1" applyBorder="1" applyAlignment="1" applyProtection="1">
      <alignment horizontal="center" vertical="center"/>
      <protection locked="0"/>
    </xf>
    <xf numFmtId="0" fontId="56" fillId="0" borderId="34" xfId="0" applyFont="1" applyBorder="1" applyAlignment="1" applyProtection="1">
      <alignment horizontal="center" vertical="center"/>
      <protection locked="0"/>
    </xf>
    <xf numFmtId="0" fontId="56" fillId="0" borderId="35" xfId="0" applyFont="1" applyBorder="1" applyAlignment="1" applyProtection="1">
      <alignment horizontal="center" vertical="center"/>
      <protection locked="0"/>
    </xf>
    <xf numFmtId="0" fontId="56" fillId="0" borderId="36" xfId="0" applyFont="1" applyBorder="1" applyAlignment="1" applyProtection="1">
      <alignment horizontal="center" vertical="center"/>
      <protection locked="0"/>
    </xf>
    <xf numFmtId="0" fontId="56" fillId="0" borderId="37" xfId="0" applyFont="1" applyBorder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7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22" fillId="0" borderId="0" xfId="0" applyFont="1" applyProtection="1">
      <protection locked="0"/>
    </xf>
  </cellXfs>
  <cellStyles count="4">
    <cellStyle name="Millares" xfId="1" builtinId="3"/>
    <cellStyle name="Millares 5" xfId="3" xr:uid="{3313634D-7DE7-4E81-A2AE-863F9CF1122F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A05CB9C-8AB1-419C-8123-52543095D39A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3B59C22-52ED-447E-BA47-8E11045C8029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987260</xdr:colOff>
      <xdr:row>0</xdr:row>
      <xdr:rowOff>0</xdr:rowOff>
    </xdr:from>
    <xdr:ext cx="898002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AC55DD3E-AFFD-4EE0-91D9-56243045DA0C}"/>
            </a:ext>
          </a:extLst>
        </xdr:cNvPr>
        <xdr:cNvSpPr txBox="1"/>
      </xdr:nvSpPr>
      <xdr:spPr>
        <a:xfrm>
          <a:off x="5263985" y="0"/>
          <a:ext cx="89800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ETCA-II-01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646E542D-9F41-4A56-BB67-394ED5242A3F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1F885A0A-564B-4C85-ADBB-DC23BCAEF4FF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7E6AB3B4-B298-4341-A8D6-C52AF7343047}"/>
            </a:ext>
          </a:extLst>
        </xdr:cNvPr>
        <xdr:cNvSpPr txBox="1"/>
      </xdr:nvSpPr>
      <xdr:spPr>
        <a:xfrm>
          <a:off x="52673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45</xdr:row>
      <xdr:rowOff>9524</xdr:rowOff>
    </xdr:from>
    <xdr:ext cx="3019425" cy="695325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571AB7BC-2DCD-4ADD-9C8E-5B4760CFEAEC}"/>
            </a:ext>
          </a:extLst>
        </xdr:cNvPr>
        <xdr:cNvSpPr txBox="1"/>
      </xdr:nvSpPr>
      <xdr:spPr>
        <a:xfrm>
          <a:off x="752475" y="8582024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 ADMINISTRATIVO </a:t>
          </a:r>
        </a:p>
      </xdr:txBody>
    </xdr:sp>
    <xdr:clientData/>
  </xdr:oneCellAnchor>
  <xdr:oneCellAnchor>
    <xdr:from>
      <xdr:col>4</xdr:col>
      <xdr:colOff>0</xdr:colOff>
      <xdr:row>45</xdr:row>
      <xdr:rowOff>19049</xdr:rowOff>
    </xdr:from>
    <xdr:ext cx="3276600" cy="61912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A8C135DA-F109-44AB-A7F1-82A226221DD5}"/>
            </a:ext>
          </a:extLst>
        </xdr:cNvPr>
        <xdr:cNvSpPr txBox="1"/>
      </xdr:nvSpPr>
      <xdr:spPr>
        <a:xfrm>
          <a:off x="3009900" y="8591549"/>
          <a:ext cx="3276600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 </a:t>
          </a:r>
        </a:p>
      </xdr:txBody>
    </xdr:sp>
    <xdr:clientData/>
  </xdr:oneCellAnchor>
  <xdr:oneCellAnchor>
    <xdr:from>
      <xdr:col>5</xdr:col>
      <xdr:colOff>47625</xdr:colOff>
      <xdr:row>2</xdr:row>
      <xdr:rowOff>133350</xdr:rowOff>
    </xdr:from>
    <xdr:ext cx="2790824" cy="254557"/>
    <xdr:sp macro="" textlink="">
      <xdr:nvSpPr>
        <xdr:cNvPr id="10" name="10 CuadroTexto">
          <a:extLst>
            <a:ext uri="{FF2B5EF4-FFF2-40B4-BE49-F238E27FC236}">
              <a16:creationId xmlns:a16="http://schemas.microsoft.com/office/drawing/2014/main" id="{A70F01F8-DC9A-473A-AF10-0E6766D3A1E4}"/>
            </a:ext>
          </a:extLst>
        </xdr:cNvPr>
        <xdr:cNvSpPr txBox="1"/>
      </xdr:nvSpPr>
      <xdr:spPr>
        <a:xfrm>
          <a:off x="3810000" y="5143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lang="es-MX" sz="1100" b="1" u="sng">
              <a:latin typeface="Arial" pitchFamily="34" charset="0"/>
              <a:cs typeface="Arial" pitchFamily="34" charset="0"/>
            </a:rPr>
            <a:t>PRIMERO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0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83A4B777-CE88-4517-80C4-5E426FDD6C24}"/>
            </a:ext>
          </a:extLst>
        </xdr:cNvPr>
        <xdr:cNvSpPr txBox="1"/>
      </xdr:nvSpPr>
      <xdr:spPr>
        <a:xfrm>
          <a:off x="5524500" y="0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ETCA-II-02</a:t>
          </a:r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BFB513EE-25BC-4225-B2FB-B60131B135DF}"/>
            </a:ext>
          </a:extLst>
        </xdr:cNvPr>
        <xdr:cNvSpPr txBox="1"/>
      </xdr:nvSpPr>
      <xdr:spPr>
        <a:xfrm>
          <a:off x="1524000" y="156210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C.P. LEONOR AMPARO LANDAVAZO GUTIERREZ</a:t>
          </a:r>
        </a:p>
        <a:p>
          <a:pPr algn="ctr"/>
          <a:r>
            <a:rPr lang="es-MX" sz="1200"/>
            <a:t>DIRECTOR  ADMINISTRATIVO </a:t>
          </a: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0</xdr:colOff>
      <xdr:row>82</xdr:row>
      <xdr:rowOff>0</xdr:rowOff>
    </xdr:from>
    <xdr:ext cx="3524250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43501775-5C99-4E84-98E9-87B07906C6D0}"/>
            </a:ext>
          </a:extLst>
        </xdr:cNvPr>
        <xdr:cNvSpPr txBox="1"/>
      </xdr:nvSpPr>
      <xdr:spPr>
        <a:xfrm>
          <a:off x="3048000" y="15621000"/>
          <a:ext cx="35242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C.P. MARIO ALBERTO MERINO DIAZ</a:t>
          </a:r>
        </a:p>
        <a:p>
          <a:pPr algn="ctr"/>
          <a:r>
            <a:rPr lang="es-MX" sz="1200"/>
            <a:t>DIRECTOR GENERAL DE ADMINISTRACION Y FINANZAS </a:t>
          </a:r>
        </a:p>
      </xdr:txBody>
    </xdr:sp>
    <xdr:clientData/>
  </xdr:oneCellAnchor>
  <xdr:oneCellAnchor>
    <xdr:from>
      <xdr:col>5</xdr:col>
      <xdr:colOff>190499</xdr:colOff>
      <xdr:row>2</xdr:row>
      <xdr:rowOff>103188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92FE07A2-670B-45AB-8840-4A14C9AB57E4}"/>
            </a:ext>
          </a:extLst>
        </xdr:cNvPr>
        <xdr:cNvSpPr txBox="1"/>
      </xdr:nvSpPr>
      <xdr:spPr>
        <a:xfrm>
          <a:off x="4000499" y="484188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lang="es-MX" sz="1100" b="1" u="sng">
              <a:latin typeface="Arial" pitchFamily="34" charset="0"/>
              <a:cs typeface="Arial" pitchFamily="34" charset="0"/>
            </a:rPr>
            <a:t>PRIMERO  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7D79E80-4F6B-4BE1-B80A-370ECD5E7FC3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542925</xdr:colOff>
      <xdr:row>0</xdr:row>
      <xdr:rowOff>0</xdr:rowOff>
    </xdr:from>
    <xdr:ext cx="1141062" cy="2926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3190534-BB30-4808-AD31-12BC8FA55D97}"/>
            </a:ext>
          </a:extLst>
        </xdr:cNvPr>
        <xdr:cNvSpPr txBox="1"/>
      </xdr:nvSpPr>
      <xdr:spPr>
        <a:xfrm>
          <a:off x="2800350" y="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ETCA-II-03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DE9A554F-F1F6-4E4C-A933-AB43FC9FD745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30</xdr:row>
      <xdr:rowOff>152400</xdr:rowOff>
    </xdr:from>
    <xdr:ext cx="3019425" cy="714375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F2FDFEAA-44C8-4043-A0AA-D89963BACFAB}"/>
            </a:ext>
          </a:extLst>
        </xdr:cNvPr>
        <xdr:cNvSpPr txBox="1"/>
      </xdr:nvSpPr>
      <xdr:spPr>
        <a:xfrm>
          <a:off x="752475" y="5867400"/>
          <a:ext cx="3019425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 ADMINISTRATIVO </a:t>
          </a:r>
        </a:p>
      </xdr:txBody>
    </xdr:sp>
    <xdr:clientData/>
  </xdr:oneCellAnchor>
  <xdr:oneCellAnchor>
    <xdr:from>
      <xdr:col>2</xdr:col>
      <xdr:colOff>123824</xdr:colOff>
      <xdr:row>30</xdr:row>
      <xdr:rowOff>142876</xdr:rowOff>
    </xdr:from>
    <xdr:ext cx="3209925" cy="68579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067EBDB-801A-4351-AD10-3DBE38C31DF0}"/>
            </a:ext>
          </a:extLst>
        </xdr:cNvPr>
        <xdr:cNvSpPr txBox="1"/>
      </xdr:nvSpPr>
      <xdr:spPr>
        <a:xfrm>
          <a:off x="1628774" y="5857876"/>
          <a:ext cx="3209925" cy="68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 </a:t>
          </a:r>
        </a:p>
      </xdr:txBody>
    </xdr:sp>
    <xdr:clientData/>
  </xdr:oneCellAnchor>
  <xdr:oneCellAnchor>
    <xdr:from>
      <xdr:col>2</xdr:col>
      <xdr:colOff>609600</xdr:colOff>
      <xdr:row>2</xdr:row>
      <xdr:rowOff>104775</xdr:rowOff>
    </xdr:from>
    <xdr:ext cx="2790824" cy="254557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9F8C386C-3F84-4DE8-91F4-CC72E4066CFD}"/>
            </a:ext>
          </a:extLst>
        </xdr:cNvPr>
        <xdr:cNvSpPr txBox="1"/>
      </xdr:nvSpPr>
      <xdr:spPr>
        <a:xfrm>
          <a:off x="2114550" y="4857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lang="es-MX" sz="1100" b="1" u="sng">
              <a:latin typeface="Arial" pitchFamily="34" charset="0"/>
              <a:cs typeface="Arial" pitchFamily="34" charset="0"/>
            </a:rPr>
            <a:t>  PRIMERO  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21 CuadroTexto">
          <a:extLst>
            <a:ext uri="{FF2B5EF4-FFF2-40B4-BE49-F238E27FC236}">
              <a16:creationId xmlns:a16="http://schemas.microsoft.com/office/drawing/2014/main" id="{01274413-5E07-48DD-8CD8-ED72DDB2464E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853910</xdr:colOff>
      <xdr:row>0</xdr:row>
      <xdr:rowOff>38100</xdr:rowOff>
    </xdr:from>
    <xdr:ext cx="898002" cy="247649"/>
    <xdr:sp macro="" textlink="">
      <xdr:nvSpPr>
        <xdr:cNvPr id="3" name="22 CuadroTexto">
          <a:extLst>
            <a:ext uri="{FF2B5EF4-FFF2-40B4-BE49-F238E27FC236}">
              <a16:creationId xmlns:a16="http://schemas.microsoft.com/office/drawing/2014/main" id="{EB8BDAF3-EAB0-474B-BB01-A5902910D544}"/>
            </a:ext>
          </a:extLst>
        </xdr:cNvPr>
        <xdr:cNvSpPr txBox="1"/>
      </xdr:nvSpPr>
      <xdr:spPr>
        <a:xfrm>
          <a:off x="4568660" y="38100"/>
          <a:ext cx="898002" cy="2476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ETCA-II-04</a:t>
          </a:r>
        </a:p>
      </xdr:txBody>
    </xdr:sp>
    <xdr:clientData/>
  </xdr:oneCellAnchor>
  <xdr:oneCellAnchor>
    <xdr:from>
      <xdr:col>0</xdr:col>
      <xdr:colOff>295275</xdr:colOff>
      <xdr:row>86</xdr:row>
      <xdr:rowOff>161926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11C727F6-17BA-424F-A109-9D1B48DB086C}"/>
            </a:ext>
          </a:extLst>
        </xdr:cNvPr>
        <xdr:cNvSpPr txBox="1"/>
      </xdr:nvSpPr>
      <xdr:spPr>
        <a:xfrm>
          <a:off x="295275" y="16544926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 AMPARO LANDAVAZO GUTIERREZ</a:t>
          </a:r>
        </a:p>
        <a:p>
          <a:pPr algn="ctr"/>
          <a:r>
            <a:rPr lang="es-MX" sz="1100" b="1"/>
            <a:t>DIRECTOR  ADMINISTRATIVO </a:t>
          </a:r>
        </a:p>
      </xdr:txBody>
    </xdr:sp>
    <xdr:clientData/>
  </xdr:oneCellAnchor>
  <xdr:oneCellAnchor>
    <xdr:from>
      <xdr:col>2</xdr:col>
      <xdr:colOff>771525</xdr:colOff>
      <xdr:row>86</xdr:row>
      <xdr:rowOff>171451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3E847B88-4C3C-40EE-8A05-D2C0E6A3E7A1}"/>
            </a:ext>
          </a:extLst>
        </xdr:cNvPr>
        <xdr:cNvSpPr txBox="1"/>
      </xdr:nvSpPr>
      <xdr:spPr>
        <a:xfrm>
          <a:off x="2286000" y="16554451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  <xdr:oneCellAnchor>
    <xdr:from>
      <xdr:col>3</xdr:col>
      <xdr:colOff>781050</xdr:colOff>
      <xdr:row>3</xdr:row>
      <xdr:rowOff>123825</xdr:rowOff>
    </xdr:from>
    <xdr:ext cx="2790824" cy="254557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B62FBC2E-60E5-482E-BD90-51B28518CEF2}"/>
            </a:ext>
          </a:extLst>
        </xdr:cNvPr>
        <xdr:cNvSpPr txBox="1"/>
      </xdr:nvSpPr>
      <xdr:spPr>
        <a:xfrm>
          <a:off x="3048000" y="6953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19051</xdr:rowOff>
    </xdr:from>
    <xdr:ext cx="1019173" cy="266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EFD0441-A854-4410-A04D-381BA9822E7D}"/>
            </a:ext>
          </a:extLst>
        </xdr:cNvPr>
        <xdr:cNvSpPr txBox="1"/>
      </xdr:nvSpPr>
      <xdr:spPr>
        <a:xfrm>
          <a:off x="5067300" y="19051"/>
          <a:ext cx="1019173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ETCA-II-05</a:t>
          </a:r>
        </a:p>
      </xdr:txBody>
    </xdr:sp>
    <xdr:clientData/>
  </xdr:oneCellAnchor>
  <xdr:oneCellAnchor>
    <xdr:from>
      <xdr:col>4</xdr:col>
      <xdr:colOff>285750</xdr:colOff>
      <xdr:row>3</xdr:row>
      <xdr:rowOff>104775</xdr:rowOff>
    </xdr:from>
    <xdr:ext cx="2790824" cy="254557"/>
    <xdr:sp macro="" textlink="">
      <xdr:nvSpPr>
        <xdr:cNvPr id="3" name="25 CuadroTexto">
          <a:extLst>
            <a:ext uri="{FF2B5EF4-FFF2-40B4-BE49-F238E27FC236}">
              <a16:creationId xmlns:a16="http://schemas.microsoft.com/office/drawing/2014/main" id="{89796F90-E75A-4F1E-A430-7CB7B9203662}"/>
            </a:ext>
          </a:extLst>
        </xdr:cNvPr>
        <xdr:cNvSpPr txBox="1"/>
      </xdr:nvSpPr>
      <xdr:spPr>
        <a:xfrm>
          <a:off x="3333750" y="6762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285750</xdr:colOff>
      <xdr:row>160</xdr:row>
      <xdr:rowOff>66675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82807C5C-940C-4C7B-9FA6-953215D8F950}"/>
            </a:ext>
          </a:extLst>
        </xdr:cNvPr>
        <xdr:cNvSpPr txBox="1"/>
      </xdr:nvSpPr>
      <xdr:spPr>
        <a:xfrm>
          <a:off x="285750" y="30546675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637203</xdr:colOff>
      <xdr:row>160</xdr:row>
      <xdr:rowOff>76200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646FBAAC-C6F8-48C7-BC1B-7E78CBC8C875}"/>
            </a:ext>
          </a:extLst>
        </xdr:cNvPr>
        <xdr:cNvSpPr txBox="1"/>
      </xdr:nvSpPr>
      <xdr:spPr>
        <a:xfrm>
          <a:off x="2923203" y="3055620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14E6971-1E47-4D0B-A286-8429CCFE4C3A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371475</xdr:colOff>
      <xdr:row>0</xdr:row>
      <xdr:rowOff>85725</xdr:rowOff>
    </xdr:from>
    <xdr:ext cx="1447112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2A365A5-5E28-4D80-B168-470BDA1F1341}"/>
            </a:ext>
          </a:extLst>
        </xdr:cNvPr>
        <xdr:cNvSpPr txBox="1"/>
      </xdr:nvSpPr>
      <xdr:spPr>
        <a:xfrm>
          <a:off x="4133850" y="85725"/>
          <a:ext cx="14471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ETCA-II-06</a:t>
          </a:r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3373C508-CF66-4CC5-BEAC-726471400E05}"/>
            </a:ext>
          </a:extLst>
        </xdr:cNvPr>
        <xdr:cNvSpPr txBox="1"/>
      </xdr:nvSpPr>
      <xdr:spPr>
        <a:xfrm>
          <a:off x="7524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4C619EF1-18E8-4B6C-B936-F48368A52577}"/>
            </a:ext>
          </a:extLst>
        </xdr:cNvPr>
        <xdr:cNvSpPr txBox="1"/>
      </xdr:nvSpPr>
      <xdr:spPr>
        <a:xfrm>
          <a:off x="7524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28</xdr:row>
      <xdr:rowOff>0</xdr:rowOff>
    </xdr:from>
    <xdr:ext cx="184731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5C11A2CD-1FBC-46F8-87EF-11637AF30AEA}"/>
            </a:ext>
          </a:extLst>
        </xdr:cNvPr>
        <xdr:cNvSpPr txBox="1"/>
      </xdr:nvSpPr>
      <xdr:spPr>
        <a:xfrm>
          <a:off x="5111680" y="533400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A306FE3F-4B7C-4AC9-BF40-8CC7DADE4B5B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D93F973C-5D68-4B57-BF02-E5F2E30EE93A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76202212-DDCD-4055-B711-E8C9AD2B8164}"/>
            </a:ext>
          </a:extLst>
        </xdr:cNvPr>
        <xdr:cNvSpPr txBox="1"/>
      </xdr:nvSpPr>
      <xdr:spPr>
        <a:xfrm>
          <a:off x="451485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19050</xdr:colOff>
      <xdr:row>3</xdr:row>
      <xdr:rowOff>152400</xdr:rowOff>
    </xdr:from>
    <xdr:ext cx="2790824" cy="254557"/>
    <xdr:sp macro="" textlink="">
      <xdr:nvSpPr>
        <xdr:cNvPr id="10" name="25 CuadroTexto">
          <a:extLst>
            <a:ext uri="{FF2B5EF4-FFF2-40B4-BE49-F238E27FC236}">
              <a16:creationId xmlns:a16="http://schemas.microsoft.com/office/drawing/2014/main" id="{B15EA188-10F5-4984-9296-895859541060}"/>
            </a:ext>
          </a:extLst>
        </xdr:cNvPr>
        <xdr:cNvSpPr txBox="1"/>
      </xdr:nvSpPr>
      <xdr:spPr>
        <a:xfrm>
          <a:off x="3028950" y="7239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21</xdr:row>
      <xdr:rowOff>76200</xdr:rowOff>
    </xdr:from>
    <xdr:ext cx="3429000" cy="666749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B9F56975-C9E3-4F37-9FD6-2E3D064C7A46}"/>
            </a:ext>
          </a:extLst>
        </xdr:cNvPr>
        <xdr:cNvSpPr txBox="1"/>
      </xdr:nvSpPr>
      <xdr:spPr>
        <a:xfrm>
          <a:off x="0" y="407670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246678</xdr:colOff>
      <xdr:row>21</xdr:row>
      <xdr:rowOff>76200</xdr:rowOff>
    </xdr:from>
    <xdr:ext cx="3181350" cy="628650"/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id="{F383EC43-9769-41EF-8E60-04AA27CA2744}"/>
            </a:ext>
          </a:extLst>
        </xdr:cNvPr>
        <xdr:cNvSpPr txBox="1"/>
      </xdr:nvSpPr>
      <xdr:spPr>
        <a:xfrm>
          <a:off x="2504103" y="407670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DF3D176-491A-40E1-915F-6CCDEAADF24F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DB9BDA0-FC82-49C9-847E-CC605B9B47D0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546D6D12-731E-4CD3-A6D2-64332E0281F9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397532</xdr:colOff>
      <xdr:row>0</xdr:row>
      <xdr:rowOff>0</xdr:rowOff>
    </xdr:from>
    <xdr:ext cx="1478446" cy="254557"/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EB1A7509-D309-4244-AC0B-46DA89F499B4}"/>
            </a:ext>
          </a:extLst>
        </xdr:cNvPr>
        <xdr:cNvSpPr txBox="1"/>
      </xdr:nvSpPr>
      <xdr:spPr>
        <a:xfrm>
          <a:off x="4159907" y="0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ETCA-II-07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28F4A306-226F-4F9A-BDC7-A7A641C88435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68043B3-4081-4F58-8D1F-B973BB17535A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7E94411F-4110-4176-AF95-7EC12F4E9DF4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AE331989-BE9B-4CC7-926E-4FB015273EBF}"/>
            </a:ext>
          </a:extLst>
        </xdr:cNvPr>
        <xdr:cNvSpPr txBox="1"/>
      </xdr:nvSpPr>
      <xdr:spPr>
        <a:xfrm>
          <a:off x="451485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2ED96890-DEA6-49B5-9B75-AC20C51B6320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8C2CD527-DD8B-48DE-8793-C1B105C841C5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F71CE7A3-D751-4A6B-8D46-E69EACF2DD65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8CCF4DCA-DD03-4A1D-9CD6-CE8C98DA3E2E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CB851F50-9D3B-4BE3-B8A9-EDEFC574E9D6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AB707BA3-88BD-48AC-AD0F-D316FE6F0DFD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D61D669B-1B5B-4A9C-8955-76C13D4A91C1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1F32DF6C-38E9-4AC8-B248-3138AAD0D09C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CC7498EF-FC38-4F4E-8809-655DD5436D82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398EA6E1-9E51-4BF3-9C19-494C7F2F76CD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877956</xdr:colOff>
      <xdr:row>3</xdr:row>
      <xdr:rowOff>157369</xdr:rowOff>
    </xdr:from>
    <xdr:ext cx="2790824" cy="254557"/>
    <xdr:sp macro="" textlink="">
      <xdr:nvSpPr>
        <xdr:cNvPr id="20" name="25 CuadroTexto">
          <a:extLst>
            <a:ext uri="{FF2B5EF4-FFF2-40B4-BE49-F238E27FC236}">
              <a16:creationId xmlns:a16="http://schemas.microsoft.com/office/drawing/2014/main" id="{A215C65C-7802-4559-9110-4B7AEB03F7BE}"/>
            </a:ext>
          </a:extLst>
        </xdr:cNvPr>
        <xdr:cNvSpPr txBox="1"/>
      </xdr:nvSpPr>
      <xdr:spPr>
        <a:xfrm>
          <a:off x="3011556" y="728869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8283</xdr:colOff>
      <xdr:row>33</xdr:row>
      <xdr:rowOff>0</xdr:rowOff>
    </xdr:from>
    <xdr:ext cx="3429000" cy="666749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BF66142A-A077-4B7F-9546-4FE45B456BF8}"/>
            </a:ext>
          </a:extLst>
        </xdr:cNvPr>
        <xdr:cNvSpPr txBox="1"/>
      </xdr:nvSpPr>
      <xdr:spPr>
        <a:xfrm>
          <a:off x="8283" y="628650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241295</xdr:colOff>
      <xdr:row>33</xdr:row>
      <xdr:rowOff>9525</xdr:rowOff>
    </xdr:from>
    <xdr:ext cx="3181350" cy="628650"/>
    <xdr:sp macro="" textlink="">
      <xdr:nvSpPr>
        <xdr:cNvPr id="22" name="CuadroTexto 5">
          <a:extLst>
            <a:ext uri="{FF2B5EF4-FFF2-40B4-BE49-F238E27FC236}">
              <a16:creationId xmlns:a16="http://schemas.microsoft.com/office/drawing/2014/main" id="{D5280CF6-EBAB-463B-9DB4-C035A40253FF}"/>
            </a:ext>
          </a:extLst>
        </xdr:cNvPr>
        <xdr:cNvSpPr txBox="1"/>
      </xdr:nvSpPr>
      <xdr:spPr>
        <a:xfrm>
          <a:off x="2498720" y="6296025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685801</xdr:colOff>
      <xdr:row>0</xdr:row>
      <xdr:rowOff>19050</xdr:rowOff>
    </xdr:from>
    <xdr:ext cx="1228724" cy="2667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4FC7669D-5307-4233-A774-29CA68125EEA}"/>
            </a:ext>
          </a:extLst>
        </xdr:cNvPr>
        <xdr:cNvSpPr txBox="1"/>
      </xdr:nvSpPr>
      <xdr:spPr>
        <a:xfrm>
          <a:off x="4495801" y="19050"/>
          <a:ext cx="1228724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ETCA-II-08</a:t>
          </a:r>
        </a:p>
      </xdr:txBody>
    </xdr:sp>
    <xdr:clientData/>
  </xdr:oneCellAnchor>
  <xdr:oneCellAnchor>
    <xdr:from>
      <xdr:col>4</xdr:col>
      <xdr:colOff>28575</xdr:colOff>
      <xdr:row>3</xdr:row>
      <xdr:rowOff>123825</xdr:rowOff>
    </xdr:from>
    <xdr:ext cx="2790824" cy="254557"/>
    <xdr:sp macro="" textlink="">
      <xdr:nvSpPr>
        <xdr:cNvPr id="3" name="25 CuadroTexto">
          <a:extLst>
            <a:ext uri="{FF2B5EF4-FFF2-40B4-BE49-F238E27FC236}">
              <a16:creationId xmlns:a16="http://schemas.microsoft.com/office/drawing/2014/main" id="{B731F18E-5DB2-406D-A6DD-D6C8FDF797A4}"/>
            </a:ext>
          </a:extLst>
        </xdr:cNvPr>
        <xdr:cNvSpPr txBox="1"/>
      </xdr:nvSpPr>
      <xdr:spPr>
        <a:xfrm>
          <a:off x="3076575" y="6953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2627EC99-F043-4BC6-9AF8-2834DC21A02C}"/>
            </a:ext>
          </a:extLst>
        </xdr:cNvPr>
        <xdr:cNvSpPr txBox="1"/>
      </xdr:nvSpPr>
      <xdr:spPr>
        <a:xfrm>
          <a:off x="0" y="742950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189528</xdr:colOff>
      <xdr:row>39</xdr:row>
      <xdr:rowOff>19050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FAF35689-E0CE-4883-A6EF-BA9C69189D05}"/>
            </a:ext>
          </a:extLst>
        </xdr:cNvPr>
        <xdr:cNvSpPr txBox="1"/>
      </xdr:nvSpPr>
      <xdr:spPr>
        <a:xfrm>
          <a:off x="2475528" y="744855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CE47079-6268-4F8F-90C3-E01265E9517E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4A54988-282E-4412-9CD1-64D2D8224100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D0DBDAD1-94C5-4B24-AAD9-DA53447A4614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4670821F-928A-40CA-A8D4-485CA81EBD68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DD1C15E-8E7F-4019-82CC-74DCEE24D3F2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14DA5BB8-72B6-40A4-9C31-824D0E528DC6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F410BE7F-6EE6-4B5A-8184-D375D6E2A69D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301073</xdr:colOff>
      <xdr:row>0</xdr:row>
      <xdr:rowOff>16566</xdr:rowOff>
    </xdr:from>
    <xdr:ext cx="1478446" cy="254557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5B0561C0-6B4B-42C8-ADDE-E6BA8A1E14A4}"/>
            </a:ext>
          </a:extLst>
        </xdr:cNvPr>
        <xdr:cNvSpPr txBox="1"/>
      </xdr:nvSpPr>
      <xdr:spPr>
        <a:xfrm>
          <a:off x="4063448" y="16566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ETCA-II-09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D3F02272-C409-4762-B2FB-4A4A0264199B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4964946F-40C0-4368-B412-6A8D357383A4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F3422466-CB73-4D8A-8D94-6004F7F18B36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DFEE9A1A-C353-4D72-9960-62C8BA27AB9B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8BF23537-D198-4786-BF50-5016B16CE9FB}"/>
            </a:ext>
          </a:extLst>
        </xdr:cNvPr>
        <xdr:cNvSpPr txBox="1"/>
      </xdr:nvSpPr>
      <xdr:spPr>
        <a:xfrm>
          <a:off x="37623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CD1F9310-9427-48A0-8CC6-86957FDFF08D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E89D33C9-852F-4AD3-8594-559A5268A570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86840524-BAA8-45CC-99AA-10ADC6488921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1915A2D6-7E2C-45D3-87AC-FC53E20F774C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AE6D21A-6800-4659-9BE2-F3F8CEB78E4D}"/>
            </a:ext>
          </a:extLst>
        </xdr:cNvPr>
        <xdr:cNvSpPr txBox="1"/>
      </xdr:nvSpPr>
      <xdr:spPr>
        <a:xfrm>
          <a:off x="4514850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800100</xdr:colOff>
      <xdr:row>3</xdr:row>
      <xdr:rowOff>123825</xdr:rowOff>
    </xdr:from>
    <xdr:ext cx="2790824" cy="254557"/>
    <xdr:sp macro="" textlink="">
      <xdr:nvSpPr>
        <xdr:cNvPr id="20" name="25 CuadroTexto">
          <a:extLst>
            <a:ext uri="{FF2B5EF4-FFF2-40B4-BE49-F238E27FC236}">
              <a16:creationId xmlns:a16="http://schemas.microsoft.com/office/drawing/2014/main" id="{34B711AC-FF3C-4AA8-B7A8-177B55BB109A}"/>
            </a:ext>
          </a:extLst>
        </xdr:cNvPr>
        <xdr:cNvSpPr txBox="1"/>
      </xdr:nvSpPr>
      <xdr:spPr>
        <a:xfrm>
          <a:off x="3009900" y="6953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16</xdr:row>
      <xdr:rowOff>85725</xdr:rowOff>
    </xdr:from>
    <xdr:ext cx="3429000" cy="666749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1C4A36C9-B60D-4984-A8DA-90722C8ECE17}"/>
            </a:ext>
          </a:extLst>
        </xdr:cNvPr>
        <xdr:cNvSpPr txBox="1"/>
      </xdr:nvSpPr>
      <xdr:spPr>
        <a:xfrm>
          <a:off x="0" y="3133725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227628</xdr:colOff>
      <xdr:row>16</xdr:row>
      <xdr:rowOff>95250</xdr:rowOff>
    </xdr:from>
    <xdr:ext cx="3181350" cy="628650"/>
    <xdr:sp macro="" textlink="">
      <xdr:nvSpPr>
        <xdr:cNvPr id="22" name="CuadroTexto 5">
          <a:extLst>
            <a:ext uri="{FF2B5EF4-FFF2-40B4-BE49-F238E27FC236}">
              <a16:creationId xmlns:a16="http://schemas.microsoft.com/office/drawing/2014/main" id="{6502A0DD-2ECF-4631-AA75-25BA97498A54}"/>
            </a:ext>
          </a:extLst>
        </xdr:cNvPr>
        <xdr:cNvSpPr txBox="1"/>
      </xdr:nvSpPr>
      <xdr:spPr>
        <a:xfrm>
          <a:off x="2485053" y="314325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4AF7F41-D87F-4A7F-A359-5573CD2D6212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87E540D-CBAF-429F-8B9F-DDEE646EEE17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6098441A-A6E7-4F32-BF94-C1DD2E8746AC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C63CA360-6465-48E5-933B-2B3052C3892F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49BD023D-3E6C-44F6-89A7-9902495E6535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E3314C04-6C31-4733-9212-2D1F7E7749FC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E5FF7DE7-4A65-4AAB-9EDD-08F8E685E696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1759343D-A85C-44CB-942A-F0B38F4C89B7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6BEB3F5B-5776-4145-B09A-813BFC71B4DD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5AC03ACD-2261-4B12-8E3E-E6E9524491A5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1F99E02-482B-4DC7-8720-A094B7308189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AFC66175-D92E-471A-973D-17720C12F3E1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4B7F58AB-3C36-4AF3-AB39-812B3A3AEE01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CFEA8E9A-8B71-44A1-92FA-F1C3D39120A9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9A3A4E6C-DB88-45D9-B84C-AA10299497F9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A501ADBB-AEA0-40C2-A6C2-18BF6F975E9F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id="{C958F05B-3827-4698-BBA5-E998D1A600C3}"/>
            </a:ext>
          </a:extLst>
        </xdr:cNvPr>
        <xdr:cNvSpPr txBox="1"/>
      </xdr:nvSpPr>
      <xdr:spPr>
        <a:xfrm>
          <a:off x="37623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355738</xdr:colOff>
      <xdr:row>0</xdr:row>
      <xdr:rowOff>49695</xdr:rowOff>
    </xdr:from>
    <xdr:ext cx="1478446" cy="254557"/>
    <xdr:sp macro="" textlink="">
      <xdr:nvSpPr>
        <xdr:cNvPr id="19" name="11 CuadroTexto">
          <a:extLst>
            <a:ext uri="{FF2B5EF4-FFF2-40B4-BE49-F238E27FC236}">
              <a16:creationId xmlns:a16="http://schemas.microsoft.com/office/drawing/2014/main" id="{6D700608-3601-44EE-BB39-AB25FA3BCEEA}"/>
            </a:ext>
          </a:extLst>
        </xdr:cNvPr>
        <xdr:cNvSpPr txBox="1"/>
      </xdr:nvSpPr>
      <xdr:spPr>
        <a:xfrm>
          <a:off x="411811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ETCA-II-10</a:t>
          </a:r>
        </a:p>
      </xdr:txBody>
    </xdr:sp>
    <xdr:clientData/>
  </xdr:oneCellAnchor>
  <xdr:oneCellAnchor>
    <xdr:from>
      <xdr:col>4</xdr:col>
      <xdr:colOff>9525</xdr:colOff>
      <xdr:row>3</xdr:row>
      <xdr:rowOff>161925</xdr:rowOff>
    </xdr:from>
    <xdr:ext cx="2790824" cy="254557"/>
    <xdr:sp macro="" textlink="">
      <xdr:nvSpPr>
        <xdr:cNvPr id="20" name="25 CuadroTexto">
          <a:extLst>
            <a:ext uri="{FF2B5EF4-FFF2-40B4-BE49-F238E27FC236}">
              <a16:creationId xmlns:a16="http://schemas.microsoft.com/office/drawing/2014/main" id="{1DFE8B7A-5991-45B6-918B-57848AAFDC86}"/>
            </a:ext>
          </a:extLst>
        </xdr:cNvPr>
        <xdr:cNvSpPr txBox="1"/>
      </xdr:nvSpPr>
      <xdr:spPr>
        <a:xfrm>
          <a:off x="3019425" y="7334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3429000" cy="666749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FDB8033D-29E3-4C22-9149-907A61A6EEF6}"/>
            </a:ext>
          </a:extLst>
        </xdr:cNvPr>
        <xdr:cNvSpPr txBox="1"/>
      </xdr:nvSpPr>
      <xdr:spPr>
        <a:xfrm>
          <a:off x="0" y="457200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227628</xdr:colOff>
      <xdr:row>24</xdr:row>
      <xdr:rowOff>9525</xdr:rowOff>
    </xdr:from>
    <xdr:ext cx="3181350" cy="628650"/>
    <xdr:sp macro="" textlink="">
      <xdr:nvSpPr>
        <xdr:cNvPr id="22" name="CuadroTexto 5">
          <a:extLst>
            <a:ext uri="{FF2B5EF4-FFF2-40B4-BE49-F238E27FC236}">
              <a16:creationId xmlns:a16="http://schemas.microsoft.com/office/drawing/2014/main" id="{DB183824-A413-4296-B5C7-1282C5BA40AD}"/>
            </a:ext>
          </a:extLst>
        </xdr:cNvPr>
        <xdr:cNvSpPr txBox="1"/>
      </xdr:nvSpPr>
      <xdr:spPr>
        <a:xfrm>
          <a:off x="2485053" y="4581525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3</xdr:row>
      <xdr:rowOff>142875</xdr:rowOff>
    </xdr:from>
    <xdr:ext cx="838200" cy="264560"/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BB49DC16-6E0F-4C45-A63B-09DAE9FD47A3}"/>
            </a:ext>
          </a:extLst>
        </xdr:cNvPr>
        <xdr:cNvSpPr txBox="1"/>
      </xdr:nvSpPr>
      <xdr:spPr>
        <a:xfrm>
          <a:off x="1495425" y="714375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BEEC3EF7-BB6E-4C72-93F9-0B1D981630F5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CDE6C0B-F5E4-4F47-ACDC-4A793453C4A6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25982E43-EE76-4222-90A3-BF2BCB5A3ABC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AD735CCC-D577-44A8-86FA-FACFFED43979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AD87BEC9-F794-46E3-A34E-D7A97F62FF90}"/>
            </a:ext>
          </a:extLst>
        </xdr:cNvPr>
        <xdr:cNvSpPr txBox="1"/>
      </xdr:nvSpPr>
      <xdr:spPr>
        <a:xfrm>
          <a:off x="3810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22363</xdr:colOff>
      <xdr:row>0</xdr:row>
      <xdr:rowOff>49695</xdr:rowOff>
    </xdr:from>
    <xdr:ext cx="1478446" cy="254557"/>
    <xdr:sp macro="" textlink="">
      <xdr:nvSpPr>
        <xdr:cNvPr id="8" name="11 CuadroTexto">
          <a:extLst>
            <a:ext uri="{FF2B5EF4-FFF2-40B4-BE49-F238E27FC236}">
              <a16:creationId xmlns:a16="http://schemas.microsoft.com/office/drawing/2014/main" id="{AE9961FD-5A25-41C5-9B6A-8025C203EF4F}"/>
            </a:ext>
          </a:extLst>
        </xdr:cNvPr>
        <xdr:cNvSpPr txBox="1"/>
      </xdr:nvSpPr>
      <xdr:spPr>
        <a:xfrm>
          <a:off x="383236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</a:t>
          </a:r>
        </a:p>
      </xdr:txBody>
    </xdr:sp>
    <xdr:clientData/>
  </xdr:oneCellAnchor>
  <xdr:oneCellAnchor>
    <xdr:from>
      <xdr:col>3</xdr:col>
      <xdr:colOff>211667</xdr:colOff>
      <xdr:row>3</xdr:row>
      <xdr:rowOff>158750</xdr:rowOff>
    </xdr:from>
    <xdr:ext cx="2790824" cy="254557"/>
    <xdr:sp macro="" textlink="">
      <xdr:nvSpPr>
        <xdr:cNvPr id="9" name="25 CuadroTexto">
          <a:extLst>
            <a:ext uri="{FF2B5EF4-FFF2-40B4-BE49-F238E27FC236}">
              <a16:creationId xmlns:a16="http://schemas.microsoft.com/office/drawing/2014/main" id="{2D170584-E82F-487A-9066-474A5ABA99F0}"/>
            </a:ext>
          </a:extLst>
        </xdr:cNvPr>
        <xdr:cNvSpPr txBox="1"/>
      </xdr:nvSpPr>
      <xdr:spPr>
        <a:xfrm>
          <a:off x="2497667" y="7302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43</xdr:row>
      <xdr:rowOff>148167</xdr:rowOff>
    </xdr:from>
    <xdr:ext cx="3429000" cy="687915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E20608AD-7EC3-4517-9CEB-932565643E0B}"/>
            </a:ext>
          </a:extLst>
        </xdr:cNvPr>
        <xdr:cNvSpPr txBox="1"/>
      </xdr:nvSpPr>
      <xdr:spPr>
        <a:xfrm>
          <a:off x="0" y="8339667"/>
          <a:ext cx="3429000" cy="687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2</xdr:col>
      <xdr:colOff>391583</xdr:colOff>
      <xdr:row>43</xdr:row>
      <xdr:rowOff>158750</xdr:rowOff>
    </xdr:from>
    <xdr:ext cx="3534920" cy="648758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ABFF9399-1F25-4B79-8D32-AAE3F63B634A}"/>
            </a:ext>
          </a:extLst>
        </xdr:cNvPr>
        <xdr:cNvSpPr txBox="1"/>
      </xdr:nvSpPr>
      <xdr:spPr>
        <a:xfrm>
          <a:off x="1915583" y="8350250"/>
          <a:ext cx="3534920" cy="648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1</xdr:row>
      <xdr:rowOff>0</xdr:rowOff>
    </xdr:from>
    <xdr:ext cx="923924" cy="30691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A3BFD1B-BA87-4821-9149-6078183D314A}"/>
            </a:ext>
          </a:extLst>
        </xdr:cNvPr>
        <xdr:cNvSpPr txBox="1"/>
      </xdr:nvSpPr>
      <xdr:spPr>
        <a:xfrm>
          <a:off x="5133975" y="190500"/>
          <a:ext cx="923924" cy="3069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ETCA-II-12</a:t>
          </a:r>
        </a:p>
      </xdr:txBody>
    </xdr:sp>
    <xdr:clientData/>
  </xdr:oneCellAnchor>
  <xdr:oneCellAnchor>
    <xdr:from>
      <xdr:col>4</xdr:col>
      <xdr:colOff>285750</xdr:colOff>
      <xdr:row>3</xdr:row>
      <xdr:rowOff>74083</xdr:rowOff>
    </xdr:from>
    <xdr:ext cx="2790824" cy="254557"/>
    <xdr:sp macro="" textlink="">
      <xdr:nvSpPr>
        <xdr:cNvPr id="3" name="25 CuadroTexto">
          <a:extLst>
            <a:ext uri="{FF2B5EF4-FFF2-40B4-BE49-F238E27FC236}">
              <a16:creationId xmlns:a16="http://schemas.microsoft.com/office/drawing/2014/main" id="{98D1BD2F-6953-43D6-9135-83411CC75C81}"/>
            </a:ext>
          </a:extLst>
        </xdr:cNvPr>
        <xdr:cNvSpPr txBox="1"/>
      </xdr:nvSpPr>
      <xdr:spPr>
        <a:xfrm>
          <a:off x="3333750" y="645583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127000</xdr:colOff>
      <xdr:row>82</xdr:row>
      <xdr:rowOff>21166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91B851F9-2A17-4E48-AAF3-C1D66A7CC672}"/>
            </a:ext>
          </a:extLst>
        </xdr:cNvPr>
        <xdr:cNvSpPr txBox="1"/>
      </xdr:nvSpPr>
      <xdr:spPr>
        <a:xfrm>
          <a:off x="889000" y="15642166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36069</xdr:colOff>
      <xdr:row>82</xdr:row>
      <xdr:rowOff>30691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7EC2BE73-5985-4288-A1CF-BFBE8D3DFFA4}"/>
            </a:ext>
          </a:extLst>
        </xdr:cNvPr>
        <xdr:cNvSpPr txBox="1"/>
      </xdr:nvSpPr>
      <xdr:spPr>
        <a:xfrm>
          <a:off x="2322069" y="15651691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266700</xdr:colOff>
      <xdr:row>0</xdr:row>
      <xdr:rowOff>133350</xdr:rowOff>
    </xdr:from>
    <xdr:ext cx="1226791" cy="25513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DE28907-6714-4537-AF9A-C959E5BF8DFA}"/>
            </a:ext>
          </a:extLst>
        </xdr:cNvPr>
        <xdr:cNvSpPr txBox="1"/>
      </xdr:nvSpPr>
      <xdr:spPr>
        <a:xfrm>
          <a:off x="5600700" y="133350"/>
          <a:ext cx="1226791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ETCA-II-13</a:t>
          </a:r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83E2F47-DEF6-410C-B60B-6D6503F629B5}"/>
            </a:ext>
          </a:extLst>
        </xdr:cNvPr>
        <xdr:cNvSpPr txBox="1"/>
      </xdr:nvSpPr>
      <xdr:spPr>
        <a:xfrm>
          <a:off x="5334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1123950</xdr:colOff>
      <xdr:row>4</xdr:row>
      <xdr:rowOff>123825</xdr:rowOff>
    </xdr:from>
    <xdr:ext cx="2790824" cy="254557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12C123F6-682B-4574-BC1C-B733134A9285}"/>
            </a:ext>
          </a:extLst>
        </xdr:cNvPr>
        <xdr:cNvSpPr txBox="1"/>
      </xdr:nvSpPr>
      <xdr:spPr>
        <a:xfrm>
          <a:off x="4572000" y="8858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457201</xdr:colOff>
      <xdr:row>0</xdr:row>
      <xdr:rowOff>21668</xdr:rowOff>
    </xdr:from>
    <xdr:ext cx="1087426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D160138D-726E-4821-B04B-AC1C56572F6C}"/>
            </a:ext>
          </a:extLst>
        </xdr:cNvPr>
        <xdr:cNvSpPr txBox="1"/>
      </xdr:nvSpPr>
      <xdr:spPr>
        <a:xfrm>
          <a:off x="4267201" y="21668"/>
          <a:ext cx="10874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ETCA-II-14</a:t>
          </a:r>
        </a:p>
      </xdr:txBody>
    </xdr:sp>
    <xdr:clientData/>
  </xdr:oneCellAnchor>
  <xdr:oneCellAnchor>
    <xdr:from>
      <xdr:col>3</xdr:col>
      <xdr:colOff>323850</xdr:colOff>
      <xdr:row>3</xdr:row>
      <xdr:rowOff>133350</xdr:rowOff>
    </xdr:from>
    <xdr:ext cx="2790824" cy="254557"/>
    <xdr:sp macro="" textlink="">
      <xdr:nvSpPr>
        <xdr:cNvPr id="3" name="25 CuadroTexto">
          <a:extLst>
            <a:ext uri="{FF2B5EF4-FFF2-40B4-BE49-F238E27FC236}">
              <a16:creationId xmlns:a16="http://schemas.microsoft.com/office/drawing/2014/main" id="{E9E154A6-33C1-4D87-BCAF-D28A95FE9BD3}"/>
            </a:ext>
          </a:extLst>
        </xdr:cNvPr>
        <xdr:cNvSpPr txBox="1"/>
      </xdr:nvSpPr>
      <xdr:spPr>
        <a:xfrm>
          <a:off x="2609850" y="7048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33</xdr:row>
      <xdr:rowOff>152400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AB3FF952-A6D7-410C-BAAC-B591A55E6A96}"/>
            </a:ext>
          </a:extLst>
        </xdr:cNvPr>
        <xdr:cNvSpPr txBox="1"/>
      </xdr:nvSpPr>
      <xdr:spPr>
        <a:xfrm>
          <a:off x="0" y="643890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2</xdr:col>
      <xdr:colOff>646728</xdr:colOff>
      <xdr:row>33</xdr:row>
      <xdr:rowOff>152400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9C580F85-0FBD-4057-827D-83464100B814}"/>
            </a:ext>
          </a:extLst>
        </xdr:cNvPr>
        <xdr:cNvSpPr txBox="1"/>
      </xdr:nvSpPr>
      <xdr:spPr>
        <a:xfrm>
          <a:off x="2170728" y="643890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50D73E1-D632-451F-8C56-78DD3A481B48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776459</xdr:colOff>
      <xdr:row>0</xdr:row>
      <xdr:rowOff>0</xdr:rowOff>
    </xdr:from>
    <xdr:ext cx="898003" cy="2545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955DA28-4F28-4F70-A776-5C3D09778541}"/>
            </a:ext>
          </a:extLst>
        </xdr:cNvPr>
        <xdr:cNvSpPr txBox="1"/>
      </xdr:nvSpPr>
      <xdr:spPr>
        <a:xfrm>
          <a:off x="2252834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ETCA-II-15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7F272604-D159-40A3-85DB-8C7603B66CA4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3426892</xdr:colOff>
      <xdr:row>2</xdr:row>
      <xdr:rowOff>195723</xdr:rowOff>
    </xdr:from>
    <xdr:ext cx="647870" cy="239809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1CDD6D96-1044-4777-89F8-39B16AC17770}"/>
            </a:ext>
          </a:extLst>
        </xdr:cNvPr>
        <xdr:cNvSpPr txBox="1"/>
      </xdr:nvSpPr>
      <xdr:spPr>
        <a:xfrm>
          <a:off x="750367" y="567198"/>
          <a:ext cx="64787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(Pesos)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81898EB5-B501-4720-8DDD-AC36BDDA4D14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623455</xdr:colOff>
      <xdr:row>2</xdr:row>
      <xdr:rowOff>190500</xdr:rowOff>
    </xdr:from>
    <xdr:ext cx="2790824" cy="254557"/>
    <xdr:sp macro="" textlink="">
      <xdr:nvSpPr>
        <xdr:cNvPr id="7" name="25 CuadroTexto">
          <a:extLst>
            <a:ext uri="{FF2B5EF4-FFF2-40B4-BE49-F238E27FC236}">
              <a16:creationId xmlns:a16="http://schemas.microsoft.com/office/drawing/2014/main" id="{075B61C6-AFFC-44B3-BBE1-BDD281EB91B1}"/>
            </a:ext>
          </a:extLst>
        </xdr:cNvPr>
        <xdr:cNvSpPr txBox="1"/>
      </xdr:nvSpPr>
      <xdr:spPr>
        <a:xfrm>
          <a:off x="1375930" y="5715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42</xdr:row>
      <xdr:rowOff>103909</xdr:rowOff>
    </xdr:from>
    <xdr:ext cx="3429000" cy="666749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412AE674-ECA7-4118-AF7F-1DAF2D53BB3C}"/>
            </a:ext>
          </a:extLst>
        </xdr:cNvPr>
        <xdr:cNvSpPr txBox="1"/>
      </xdr:nvSpPr>
      <xdr:spPr>
        <a:xfrm>
          <a:off x="0" y="8104909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0</xdr:col>
      <xdr:colOff>4289607</xdr:colOff>
      <xdr:row>42</xdr:row>
      <xdr:rowOff>130753</xdr:rowOff>
    </xdr:from>
    <xdr:ext cx="3181350" cy="628650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F65CB9A6-CB46-4B23-B055-1B209B1F6616}"/>
            </a:ext>
          </a:extLst>
        </xdr:cNvPr>
        <xdr:cNvSpPr txBox="1"/>
      </xdr:nvSpPr>
      <xdr:spPr>
        <a:xfrm>
          <a:off x="755832" y="8131753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131706</xdr:colOff>
      <xdr:row>0</xdr:row>
      <xdr:rowOff>0</xdr:rowOff>
    </xdr:from>
    <xdr:ext cx="898003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7712A76-1998-47A1-A731-5B826C4701FE}"/>
            </a:ext>
          </a:extLst>
        </xdr:cNvPr>
        <xdr:cNvSpPr txBox="1"/>
      </xdr:nvSpPr>
      <xdr:spPr>
        <a:xfrm>
          <a:off x="3141606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ETCA-II-16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635F8D94-517B-4B71-B092-70F0F91FB31B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301942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97143194-A16F-4E12-8E09-63FB9D543234}"/>
            </a:ext>
          </a:extLst>
        </xdr:cNvPr>
        <xdr:cNvSpPr txBox="1"/>
      </xdr:nvSpPr>
      <xdr:spPr>
        <a:xfrm>
          <a:off x="752475" y="62865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 ADMINISTRATIVO </a:t>
          </a:r>
        </a:p>
      </xdr:txBody>
    </xdr:sp>
    <xdr:clientData/>
  </xdr:oneCellAnchor>
  <xdr:oneCellAnchor>
    <xdr:from>
      <xdr:col>2</xdr:col>
      <xdr:colOff>133351</xdr:colOff>
      <xdr:row>33</xdr:row>
      <xdr:rowOff>0</xdr:rowOff>
    </xdr:from>
    <xdr:ext cx="31623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82056002-574F-4741-A9F2-F2228069C4CC}"/>
            </a:ext>
          </a:extLst>
        </xdr:cNvPr>
        <xdr:cNvSpPr txBox="1"/>
      </xdr:nvSpPr>
      <xdr:spPr>
        <a:xfrm>
          <a:off x="1638301" y="6286500"/>
          <a:ext cx="31623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 </a:t>
          </a: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514350</xdr:colOff>
      <xdr:row>2</xdr:row>
      <xdr:rowOff>152400</xdr:rowOff>
    </xdr:from>
    <xdr:ext cx="2790824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E483BDE6-3B90-4BCB-AC38-EDC9FF79E01D}"/>
            </a:ext>
          </a:extLst>
        </xdr:cNvPr>
        <xdr:cNvSpPr txBox="1"/>
      </xdr:nvSpPr>
      <xdr:spPr>
        <a:xfrm>
          <a:off x="2019300" y="5334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 PRIMERO</a:t>
          </a:r>
          <a:r>
            <a:rPr lang="es-MX" sz="1100" b="1" u="sng" baseline="0">
              <a:latin typeface="Arial" pitchFamily="34" charset="0"/>
              <a:cs typeface="Arial" pitchFamily="34" charset="0"/>
            </a:rPr>
            <a:t>  </a:t>
          </a:r>
          <a:endParaRPr lang="es-MX" sz="1100" b="1" u="sng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767764</xdr:colOff>
      <xdr:row>0</xdr:row>
      <xdr:rowOff>0</xdr:rowOff>
    </xdr:from>
    <xdr:ext cx="898003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76AC6A5-53EC-49D4-94F8-45845B676F06}"/>
            </a:ext>
          </a:extLst>
        </xdr:cNvPr>
        <xdr:cNvSpPr txBox="1"/>
      </xdr:nvSpPr>
      <xdr:spPr>
        <a:xfrm>
          <a:off x="3006139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ETCA-II-17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1D1B843F-2D10-42A3-A655-F1F836A5CE2B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322791</xdr:colOff>
      <xdr:row>34</xdr:row>
      <xdr:rowOff>42334</xdr:rowOff>
    </xdr:from>
    <xdr:ext cx="2925416" cy="609013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9978AF4-364B-498B-8945-E94C91CB148C}"/>
            </a:ext>
          </a:extLst>
        </xdr:cNvPr>
        <xdr:cNvSpPr txBox="1"/>
      </xdr:nvSpPr>
      <xdr:spPr>
        <a:xfrm>
          <a:off x="322791" y="6519334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 ADMINISTRATIVO </a:t>
          </a:r>
        </a:p>
      </xdr:txBody>
    </xdr:sp>
    <xdr:clientData/>
  </xdr:oneCellAnchor>
  <xdr:oneCellAnchor>
    <xdr:from>
      <xdr:col>2</xdr:col>
      <xdr:colOff>169334</xdr:colOff>
      <xdr:row>34</xdr:row>
      <xdr:rowOff>46565</xdr:rowOff>
    </xdr:from>
    <xdr:ext cx="3409707" cy="6625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98D4C7C-2AB5-4067-AD3E-13D0422746D1}"/>
            </a:ext>
          </a:extLst>
        </xdr:cNvPr>
        <xdr:cNvSpPr txBox="1"/>
      </xdr:nvSpPr>
      <xdr:spPr>
        <a:xfrm>
          <a:off x="1674284" y="6523565"/>
          <a:ext cx="3409707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 </a:t>
          </a:r>
        </a:p>
      </xdr:txBody>
    </xdr:sp>
    <xdr:clientData/>
  </xdr:oneCellAnchor>
  <xdr:oneCellAnchor>
    <xdr:from>
      <xdr:col>2</xdr:col>
      <xdr:colOff>582083</xdr:colOff>
      <xdr:row>2</xdr:row>
      <xdr:rowOff>201084</xdr:rowOff>
    </xdr:from>
    <xdr:ext cx="2790824" cy="254557"/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2A70A305-E242-4A47-9BF4-FA8ECDEBE909}"/>
            </a:ext>
          </a:extLst>
        </xdr:cNvPr>
        <xdr:cNvSpPr txBox="1"/>
      </xdr:nvSpPr>
      <xdr:spPr>
        <a:xfrm>
          <a:off x="2087033" y="572559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 PRIMERO 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20\1T\CTA%20CONTABLE%201T20.xlsx" TargetMode="External"/><Relationship Id="rId1" Type="http://schemas.openxmlformats.org/officeDocument/2006/relationships/externalLinkPath" Target="CTA%20CONTABLE%201T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20\1T\Formatos-ETCA-1er-TRIM-2020%20%20CEA-y-anexos.xlsx" TargetMode="External"/><Relationship Id="rId1" Type="http://schemas.openxmlformats.org/officeDocument/2006/relationships/externalLinkPath" Target="Formatos-ETCA-1er-TRIM-2020%20%20CEA-y-anex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ica%20Encinas/AppData/Roaming/Microsoft/Excel/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</sheetNames>
    <sheetDataSet>
      <sheetData sheetId="0">
        <row r="1">
          <cell r="A1" t="str">
            <v xml:space="preserve">Comision Estatal del Agua  </v>
          </cell>
        </row>
        <row r="3">
          <cell r="A3" t="str">
            <v>Al 31 de Marzo de 2020</v>
          </cell>
        </row>
      </sheetData>
      <sheetData sheetId="1">
        <row r="10">
          <cell r="B10">
            <v>64290373.219999999</v>
          </cell>
        </row>
      </sheetData>
      <sheetData sheetId="2">
        <row r="3">
          <cell r="A3" t="str">
            <v>Del 01 de Enero al 31 de Marzo de 2020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104967391.96000001</v>
          </cell>
        </row>
        <row r="52">
          <cell r="C52">
            <v>1679437.11</v>
          </cell>
        </row>
        <row r="61">
          <cell r="C61">
            <v>124891362.08000001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>
        <row r="3">
          <cell r="A3" t="str">
            <v>Del 01 de Enero al 31 de Marzo de 2020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ANEXO A"/>
      <sheetName val="ANEXO B"/>
      <sheetName val="ANEXO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07BE2-FD72-41E5-B16C-BAFCF3A4BDE0}">
  <sheetPr>
    <tabColor theme="0" tint="-0.14999847407452621"/>
  </sheetPr>
  <dimension ref="A1:H57"/>
  <sheetViews>
    <sheetView tabSelected="1" view="pageBreakPreview" topLeftCell="A7" zoomScaleNormal="100" zoomScaleSheetLayoutView="100" workbookViewId="0">
      <selection activeCell="S24" sqref="S24"/>
    </sheetView>
  </sheetViews>
  <sheetFormatPr baseColWidth="10" defaultColWidth="11.28515625" defaultRowHeight="16.5" x14ac:dyDescent="0.25"/>
  <cols>
    <col min="1" max="1" width="1.140625" style="2" customWidth="1"/>
    <col min="2" max="2" width="31.7109375" style="2" customWidth="1"/>
    <col min="3" max="4" width="14.28515625" style="1" customWidth="1"/>
    <col min="5" max="5" width="13.140625" style="1" customWidth="1"/>
    <col min="6" max="6" width="14" style="1" customWidth="1"/>
    <col min="7" max="7" width="15" style="1" customWidth="1"/>
    <col min="8" max="8" width="14.28515625" style="1" customWidth="1"/>
    <col min="9" max="16384" width="11.28515625" style="1"/>
  </cols>
  <sheetData>
    <row r="1" spans="1:8" x14ac:dyDescent="0.25">
      <c r="A1" s="104" t="str">
        <f>'[1]ETCA-I-01'!A1:G1</f>
        <v xml:space="preserve">Comision Estatal del Agua  </v>
      </c>
      <c r="B1" s="104"/>
      <c r="C1" s="104"/>
      <c r="D1" s="104"/>
      <c r="E1" s="104"/>
      <c r="F1" s="104"/>
      <c r="G1" s="104"/>
      <c r="H1" s="104"/>
    </row>
    <row r="2" spans="1:8" s="102" customFormat="1" ht="15.75" x14ac:dyDescent="0.25">
      <c r="A2" s="104" t="s">
        <v>40</v>
      </c>
      <c r="B2" s="104"/>
      <c r="C2" s="104"/>
      <c r="D2" s="104"/>
      <c r="E2" s="104"/>
      <c r="F2" s="104"/>
      <c r="G2" s="104"/>
      <c r="H2" s="104"/>
    </row>
    <row r="3" spans="1:8" s="102" customFormat="1" x14ac:dyDescent="0.25">
      <c r="A3" s="103" t="str">
        <f>'[1]ETCA-I-03'!A3:D3</f>
        <v>Del 01 de Enero al 31 de Marzo de 2020</v>
      </c>
      <c r="B3" s="103"/>
      <c r="C3" s="103"/>
      <c r="D3" s="103"/>
      <c r="E3" s="103"/>
      <c r="F3" s="103"/>
      <c r="G3" s="103"/>
      <c r="H3" s="103"/>
    </row>
    <row r="4" spans="1:8" s="26" customFormat="1" ht="17.25" thickBot="1" x14ac:dyDescent="0.3">
      <c r="A4" s="101"/>
      <c r="B4" s="101"/>
      <c r="C4" s="100"/>
      <c r="D4" s="100"/>
      <c r="E4" s="100"/>
      <c r="F4" s="100"/>
      <c r="G4" s="99"/>
      <c r="H4" s="98"/>
    </row>
    <row r="5" spans="1:8" s="55" customFormat="1" ht="17.25" thickBot="1" x14ac:dyDescent="0.3">
      <c r="A5" s="97" t="s">
        <v>39</v>
      </c>
      <c r="B5" s="96"/>
      <c r="C5" s="68" t="s">
        <v>33</v>
      </c>
      <c r="D5" s="67"/>
      <c r="E5" s="67"/>
      <c r="F5" s="67"/>
      <c r="G5" s="66"/>
      <c r="H5" s="65"/>
    </row>
    <row r="6" spans="1:8" s="55" customFormat="1" ht="39" thickBot="1" x14ac:dyDescent="0.3">
      <c r="A6" s="95"/>
      <c r="B6" s="94"/>
      <c r="C6" s="62" t="s">
        <v>32</v>
      </c>
      <c r="D6" s="62" t="s">
        <v>31</v>
      </c>
      <c r="E6" s="62" t="s">
        <v>30</v>
      </c>
      <c r="F6" s="61" t="s">
        <v>29</v>
      </c>
      <c r="G6" s="61" t="s">
        <v>28</v>
      </c>
      <c r="H6" s="60" t="s">
        <v>27</v>
      </c>
    </row>
    <row r="7" spans="1:8" s="55" customFormat="1" ht="17.25" thickBot="1" x14ac:dyDescent="0.3">
      <c r="A7" s="93"/>
      <c r="B7" s="92"/>
      <c r="C7" s="56" t="s">
        <v>26</v>
      </c>
      <c r="D7" s="56" t="s">
        <v>25</v>
      </c>
      <c r="E7" s="56" t="s">
        <v>24</v>
      </c>
      <c r="F7" s="57" t="s">
        <v>23</v>
      </c>
      <c r="G7" s="57" t="s">
        <v>22</v>
      </c>
      <c r="H7" s="56" t="s">
        <v>21</v>
      </c>
    </row>
    <row r="8" spans="1:8" s="55" customFormat="1" ht="8.25" customHeight="1" x14ac:dyDescent="0.25">
      <c r="A8" s="91"/>
      <c r="B8" s="11"/>
      <c r="C8" s="90"/>
      <c r="D8" s="90"/>
      <c r="E8" s="89"/>
      <c r="F8" s="90"/>
      <c r="G8" s="90"/>
      <c r="H8" s="89"/>
    </row>
    <row r="9" spans="1:8" ht="17.100000000000001" customHeight="1" x14ac:dyDescent="0.25">
      <c r="A9" s="88"/>
      <c r="B9" s="87" t="s">
        <v>38</v>
      </c>
      <c r="C9" s="42"/>
      <c r="D9" s="42"/>
      <c r="E9" s="86">
        <f>C9+D9</f>
        <v>0</v>
      </c>
      <c r="F9" s="42"/>
      <c r="G9" s="42"/>
      <c r="H9" s="86">
        <f>G9-C9</f>
        <v>0</v>
      </c>
    </row>
    <row r="10" spans="1:8" ht="17.100000000000001" customHeight="1" x14ac:dyDescent="0.25">
      <c r="A10" s="88"/>
      <c r="B10" s="87" t="s">
        <v>12</v>
      </c>
      <c r="C10" s="42">
        <v>0</v>
      </c>
      <c r="D10" s="42">
        <v>0</v>
      </c>
      <c r="E10" s="86">
        <f>C10+D10</f>
        <v>0</v>
      </c>
      <c r="F10" s="42">
        <v>0</v>
      </c>
      <c r="G10" s="42">
        <v>0</v>
      </c>
      <c r="H10" s="86">
        <f>G10-C10</f>
        <v>0</v>
      </c>
    </row>
    <row r="11" spans="1:8" ht="17.100000000000001" customHeight="1" x14ac:dyDescent="0.25">
      <c r="A11" s="88"/>
      <c r="B11" s="87" t="s">
        <v>18</v>
      </c>
      <c r="C11" s="42">
        <v>0</v>
      </c>
      <c r="D11" s="42"/>
      <c r="E11" s="86">
        <f>C11+D11</f>
        <v>0</v>
      </c>
      <c r="F11" s="42"/>
      <c r="G11" s="42"/>
      <c r="H11" s="86">
        <f>G11-C11</f>
        <v>0</v>
      </c>
    </row>
    <row r="12" spans="1:8" ht="17.100000000000001" customHeight="1" x14ac:dyDescent="0.25">
      <c r="A12" s="88"/>
      <c r="B12" s="87" t="s">
        <v>17</v>
      </c>
      <c r="C12" s="42">
        <v>0</v>
      </c>
      <c r="D12" s="42"/>
      <c r="E12" s="86">
        <f>C12+D12</f>
        <v>0</v>
      </c>
      <c r="F12" s="42"/>
      <c r="G12" s="42"/>
      <c r="H12" s="86">
        <f>G12-C12</f>
        <v>0</v>
      </c>
    </row>
    <row r="13" spans="1:8" ht="17.100000000000001" customHeight="1" x14ac:dyDescent="0.25">
      <c r="A13" s="88"/>
      <c r="B13" s="87" t="s">
        <v>37</v>
      </c>
      <c r="C13" s="42">
        <v>0</v>
      </c>
      <c r="D13" s="42">
        <v>166181.81</v>
      </c>
      <c r="E13" s="86">
        <f>C13+D13</f>
        <v>166181.81</v>
      </c>
      <c r="F13" s="42">
        <v>166181.81</v>
      </c>
      <c r="G13" s="42">
        <v>166181.81</v>
      </c>
      <c r="H13" s="86">
        <f>G13-C13</f>
        <v>166181.81</v>
      </c>
    </row>
    <row r="14" spans="1:8" ht="17.100000000000001" customHeight="1" x14ac:dyDescent="0.25">
      <c r="A14" s="88"/>
      <c r="B14" s="87" t="s">
        <v>36</v>
      </c>
      <c r="C14" s="42">
        <v>0</v>
      </c>
      <c r="D14" s="42"/>
      <c r="E14" s="86">
        <f>C14+D14</f>
        <v>0</v>
      </c>
      <c r="F14" s="42"/>
      <c r="G14" s="42"/>
      <c r="H14" s="86">
        <f>G14-C14</f>
        <v>0</v>
      </c>
    </row>
    <row r="15" spans="1:8" ht="29.25" customHeight="1" x14ac:dyDescent="0.25">
      <c r="A15" s="88"/>
      <c r="B15" s="87" t="s">
        <v>35</v>
      </c>
      <c r="C15" s="42">
        <v>236101777</v>
      </c>
      <c r="D15" s="42">
        <f>11518844.79-166181.81</f>
        <v>11352662.979999999</v>
      </c>
      <c r="E15" s="86">
        <f>C15+D15</f>
        <v>247454439.97999999</v>
      </c>
      <c r="F15" s="42">
        <f>52818096.92-166181.91-0.18</f>
        <v>52651914.830000006</v>
      </c>
      <c r="G15" s="42">
        <v>52651914.830000006</v>
      </c>
      <c r="H15" s="86">
        <f>G15-C15</f>
        <v>-183449862.16999999</v>
      </c>
    </row>
    <row r="16" spans="1:8" ht="55.5" customHeight="1" x14ac:dyDescent="0.25">
      <c r="A16" s="88"/>
      <c r="B16" s="87" t="s">
        <v>14</v>
      </c>
      <c r="C16" s="42">
        <v>88275234</v>
      </c>
      <c r="D16" s="42"/>
      <c r="E16" s="86">
        <f>C16+D16</f>
        <v>88275234</v>
      </c>
      <c r="F16" s="42"/>
      <c r="G16" s="42"/>
      <c r="H16" s="86">
        <f>G16-C16</f>
        <v>-88275234</v>
      </c>
    </row>
    <row r="17" spans="1:8" ht="25.5" x14ac:dyDescent="0.25">
      <c r="A17" s="88"/>
      <c r="B17" s="87" t="s">
        <v>9</v>
      </c>
      <c r="C17" s="42">
        <v>299012407</v>
      </c>
      <c r="D17" s="42">
        <v>11817268.48</v>
      </c>
      <c r="E17" s="86">
        <f>C17+D17</f>
        <v>310829675.48000002</v>
      </c>
      <c r="F17" s="42">
        <v>52149295.32</v>
      </c>
      <c r="G17" s="42">
        <v>52149295.32</v>
      </c>
      <c r="H17" s="86">
        <f>G17-C17</f>
        <v>-246863111.68000001</v>
      </c>
    </row>
    <row r="18" spans="1:8" ht="17.100000000000001" customHeight="1" thickBot="1" x14ac:dyDescent="0.3">
      <c r="A18" s="85"/>
      <c r="B18" s="84" t="s">
        <v>7</v>
      </c>
      <c r="C18" s="83"/>
      <c r="D18" s="83"/>
      <c r="E18" s="82">
        <f>C18+D18</f>
        <v>0</v>
      </c>
      <c r="F18" s="83"/>
      <c r="G18" s="83"/>
      <c r="H18" s="82">
        <f>G18-C18</f>
        <v>0</v>
      </c>
    </row>
    <row r="19" spans="1:8" s="78" customFormat="1" ht="28.5" customHeight="1" thickBot="1" x14ac:dyDescent="0.3">
      <c r="A19" s="81" t="s">
        <v>6</v>
      </c>
      <c r="B19" s="80"/>
      <c r="C19" s="79">
        <f>C9+C10+C11+C12+C13+C14+C15+C16+C17+C18</f>
        <v>623389418</v>
      </c>
      <c r="D19" s="79">
        <f>D9+D10+D11+D12+D13+D14+D15+D16+D17+D18</f>
        <v>23336113.27</v>
      </c>
      <c r="E19" s="79">
        <f>E9+E10+E11+E12+E13+E14+E15+E16+E17+E18</f>
        <v>646725531.26999998</v>
      </c>
      <c r="F19" s="79">
        <f>F9+F10+F11+F12+F13+F14+F15+F16+F17+F18</f>
        <v>104967391.96000001</v>
      </c>
      <c r="G19" s="79">
        <f>G9+G10+G11+G12+G13+G14+G15+G16+G17+G18</f>
        <v>104967391.96000001</v>
      </c>
      <c r="H19" s="79">
        <f>G19-C19</f>
        <v>-518422026.03999996</v>
      </c>
    </row>
    <row r="20" spans="1:8" ht="22.5" customHeight="1" thickBot="1" x14ac:dyDescent="0.3">
      <c r="A20" s="22"/>
      <c r="B20" s="22"/>
      <c r="C20" s="77"/>
      <c r="D20" s="77"/>
      <c r="E20" s="77"/>
      <c r="F20" s="71"/>
      <c r="G20" s="76" t="s">
        <v>5</v>
      </c>
      <c r="H20" s="75" t="str">
        <f>IF(($G$19-$C$19)&lt;=0,"",$G$19-$C$19)</f>
        <v/>
      </c>
    </row>
    <row r="21" spans="1:8" ht="10.5" customHeight="1" thickBot="1" x14ac:dyDescent="0.3">
      <c r="A21" s="11"/>
      <c r="B21" s="11"/>
      <c r="C21" s="74"/>
      <c r="D21" s="74"/>
      <c r="E21" s="74"/>
      <c r="F21" s="73"/>
      <c r="G21" s="72"/>
      <c r="H21" s="71"/>
    </row>
    <row r="22" spans="1:8" s="55" customFormat="1" ht="17.25" thickBot="1" x14ac:dyDescent="0.3">
      <c r="A22" s="70" t="s">
        <v>34</v>
      </c>
      <c r="B22" s="69"/>
      <c r="C22" s="68" t="s">
        <v>33</v>
      </c>
      <c r="D22" s="67"/>
      <c r="E22" s="67"/>
      <c r="F22" s="67"/>
      <c r="G22" s="66"/>
      <c r="H22" s="65"/>
    </row>
    <row r="23" spans="1:8" s="55" customFormat="1" ht="39" thickBot="1" x14ac:dyDescent="0.3">
      <c r="A23" s="64"/>
      <c r="B23" s="63"/>
      <c r="C23" s="62" t="s">
        <v>32</v>
      </c>
      <c r="D23" s="62" t="s">
        <v>31</v>
      </c>
      <c r="E23" s="62" t="s">
        <v>30</v>
      </c>
      <c r="F23" s="61" t="s">
        <v>29</v>
      </c>
      <c r="G23" s="61" t="s">
        <v>28</v>
      </c>
      <c r="H23" s="60" t="s">
        <v>27</v>
      </c>
    </row>
    <row r="24" spans="1:8" s="55" customFormat="1" ht="17.25" thickBot="1" x14ac:dyDescent="0.3">
      <c r="A24" s="59"/>
      <c r="B24" s="58"/>
      <c r="C24" s="56" t="s">
        <v>26</v>
      </c>
      <c r="D24" s="56" t="s">
        <v>25</v>
      </c>
      <c r="E24" s="56" t="s">
        <v>24</v>
      </c>
      <c r="F24" s="57" t="s">
        <v>23</v>
      </c>
      <c r="G24" s="57" t="s">
        <v>22</v>
      </c>
      <c r="H24" s="56" t="s">
        <v>21</v>
      </c>
    </row>
    <row r="25" spans="1:8" s="26" customFormat="1" ht="48" customHeight="1" x14ac:dyDescent="0.25">
      <c r="A25" s="54" t="s">
        <v>20</v>
      </c>
      <c r="B25" s="53"/>
      <c r="C25" s="37">
        <f>SUM(C26,C27,C28,C29,C30,C31,C32,C33)</f>
        <v>88275234</v>
      </c>
      <c r="D25" s="37">
        <f>SUM(D26,D27,D28,D29,D30,D31,D32,D33)</f>
        <v>0</v>
      </c>
      <c r="E25" s="37">
        <f>SUM(E26,E27,E28,E29,E30,E31,E32,E33)</f>
        <v>88275234</v>
      </c>
      <c r="F25" s="37">
        <f>SUM(F26,F27,F28,F29,F30,F31,F32,F33)</f>
        <v>0</v>
      </c>
      <c r="G25" s="37">
        <f>SUM(G26,G27,G28,G29,G30,G31,G32,G33)</f>
        <v>0</v>
      </c>
      <c r="H25" s="37">
        <f>SUM(H26,H27,H28,H29,H30,H31,H32,H33)</f>
        <v>-88275234</v>
      </c>
    </row>
    <row r="26" spans="1:8" s="26" customFormat="1" ht="17.100000000000001" customHeight="1" x14ac:dyDescent="0.25">
      <c r="A26" s="52" t="s">
        <v>19</v>
      </c>
      <c r="B26" s="51"/>
      <c r="C26" s="33">
        <v>0</v>
      </c>
      <c r="D26" s="33">
        <v>0</v>
      </c>
      <c r="E26" s="34">
        <f>C26+D26</f>
        <v>0</v>
      </c>
      <c r="F26" s="33">
        <v>0</v>
      </c>
      <c r="G26" s="33">
        <v>0</v>
      </c>
      <c r="H26" s="32">
        <f>G26-C26</f>
        <v>0</v>
      </c>
    </row>
    <row r="27" spans="1:8" s="26" customFormat="1" ht="17.100000000000001" customHeight="1" x14ac:dyDescent="0.25">
      <c r="A27" s="52"/>
      <c r="B27" s="39" t="s">
        <v>12</v>
      </c>
      <c r="C27" s="33"/>
      <c r="D27" s="33"/>
      <c r="E27" s="34"/>
      <c r="F27" s="33"/>
      <c r="G27" s="33"/>
      <c r="H27" s="32"/>
    </row>
    <row r="28" spans="1:8" s="26" customFormat="1" ht="17.100000000000001" customHeight="1" x14ac:dyDescent="0.25">
      <c r="A28" s="52" t="s">
        <v>18</v>
      </c>
      <c r="B28" s="51"/>
      <c r="C28" s="33"/>
      <c r="D28" s="33"/>
      <c r="E28" s="34">
        <f>C28+D28</f>
        <v>0</v>
      </c>
      <c r="F28" s="33"/>
      <c r="G28" s="33"/>
      <c r="H28" s="32">
        <f>G28-C28</f>
        <v>0</v>
      </c>
    </row>
    <row r="29" spans="1:8" s="26" customFormat="1" x14ac:dyDescent="0.25">
      <c r="A29" s="47" t="s">
        <v>17</v>
      </c>
      <c r="B29" s="46"/>
      <c r="C29" s="33"/>
      <c r="D29" s="33"/>
      <c r="E29" s="34">
        <f>C29+D29</f>
        <v>0</v>
      </c>
      <c r="F29" s="33"/>
      <c r="G29" s="33"/>
      <c r="H29" s="32">
        <f>G29-C29</f>
        <v>0</v>
      </c>
    </row>
    <row r="30" spans="1:8" s="26" customFormat="1" ht="17.100000000000001" customHeight="1" x14ac:dyDescent="0.25">
      <c r="A30" s="47" t="s">
        <v>11</v>
      </c>
      <c r="B30" s="46"/>
      <c r="C30" s="33"/>
      <c r="D30" s="33"/>
      <c r="E30" s="34">
        <f>C30+D30</f>
        <v>0</v>
      </c>
      <c r="F30" s="33"/>
      <c r="G30" s="33"/>
      <c r="H30" s="32">
        <f>G30-C30</f>
        <v>0</v>
      </c>
    </row>
    <row r="31" spans="1:8" ht="17.100000000000001" customHeight="1" x14ac:dyDescent="0.25">
      <c r="A31" s="47" t="s">
        <v>16</v>
      </c>
      <c r="B31" s="46" t="s">
        <v>15</v>
      </c>
      <c r="C31" s="50"/>
      <c r="D31" s="50"/>
      <c r="E31" s="34">
        <f>C31+D31</f>
        <v>0</v>
      </c>
      <c r="F31" s="50"/>
      <c r="G31" s="50"/>
      <c r="H31" s="32">
        <f>G31-C31</f>
        <v>0</v>
      </c>
    </row>
    <row r="32" spans="1:8" s="26" customFormat="1" ht="51" customHeight="1" x14ac:dyDescent="0.25">
      <c r="A32" s="49"/>
      <c r="B32" s="48" t="s">
        <v>14</v>
      </c>
      <c r="C32" s="33">
        <v>88275234</v>
      </c>
      <c r="D32" s="33"/>
      <c r="E32" s="34">
        <f>C32+D32</f>
        <v>88275234</v>
      </c>
      <c r="F32" s="33">
        <v>0</v>
      </c>
      <c r="G32" s="33">
        <v>0</v>
      </c>
      <c r="H32" s="32">
        <f>G32-C32</f>
        <v>-88275234</v>
      </c>
    </row>
    <row r="33" spans="1:8" s="26" customFormat="1" ht="27.75" customHeight="1" x14ac:dyDescent="0.25">
      <c r="A33" s="47" t="s">
        <v>9</v>
      </c>
      <c r="B33" s="46"/>
      <c r="C33" s="33"/>
      <c r="D33" s="33"/>
      <c r="E33" s="34">
        <f>C33+D33</f>
        <v>0</v>
      </c>
      <c r="F33" s="33"/>
      <c r="G33" s="33"/>
      <c r="H33" s="32">
        <f>G33-C33</f>
        <v>0</v>
      </c>
    </row>
    <row r="34" spans="1:8" s="26" customFormat="1" ht="8.25" customHeight="1" x14ac:dyDescent="0.25">
      <c r="A34" s="36"/>
      <c r="B34" s="38"/>
      <c r="C34" s="33"/>
      <c r="D34" s="33"/>
      <c r="E34" s="34"/>
      <c r="F34" s="33"/>
      <c r="G34" s="33"/>
      <c r="H34" s="32"/>
    </row>
    <row r="35" spans="1:8" s="26" customFormat="1" ht="66.75" customHeight="1" x14ac:dyDescent="0.25">
      <c r="A35" s="45" t="s">
        <v>13</v>
      </c>
      <c r="B35" s="44"/>
      <c r="C35" s="37">
        <f>SUM(C36:C39)</f>
        <v>535114184</v>
      </c>
      <c r="D35" s="37">
        <f>SUM(D36:D39)</f>
        <v>23336113.27</v>
      </c>
      <c r="E35" s="37">
        <f>SUM(E36:E39)</f>
        <v>558284115.46000004</v>
      </c>
      <c r="F35" s="37">
        <f>SUM(F36:F39)</f>
        <v>104967391.96000001</v>
      </c>
      <c r="G35" s="37">
        <f>SUM(G36:G39)</f>
        <v>104967391.96000001</v>
      </c>
      <c r="H35" s="37">
        <f>SUM(H36:H39)</f>
        <v>-430312973.85000002</v>
      </c>
    </row>
    <row r="36" spans="1:8" s="26" customFormat="1" ht="17.100000000000001" customHeight="1" x14ac:dyDescent="0.25">
      <c r="A36" s="40"/>
      <c r="B36" s="39" t="s">
        <v>12</v>
      </c>
      <c r="C36" s="33">
        <v>0</v>
      </c>
      <c r="D36" s="33"/>
      <c r="E36" s="34">
        <f>C36+D36</f>
        <v>0</v>
      </c>
      <c r="F36" s="33"/>
      <c r="G36" s="33"/>
      <c r="H36" s="32">
        <f>G36-C36</f>
        <v>0</v>
      </c>
    </row>
    <row r="37" spans="1:8" s="26" customFormat="1" ht="17.100000000000001" customHeight="1" x14ac:dyDescent="0.25">
      <c r="A37" s="40"/>
      <c r="B37" s="39" t="s">
        <v>11</v>
      </c>
      <c r="C37" s="33">
        <v>0</v>
      </c>
      <c r="D37" s="42">
        <v>166181.81</v>
      </c>
      <c r="E37" s="34"/>
      <c r="F37" s="42">
        <v>166181.81</v>
      </c>
      <c r="G37" s="42">
        <v>166181.81</v>
      </c>
      <c r="H37" s="32"/>
    </row>
    <row r="38" spans="1:8" s="26" customFormat="1" ht="30.75" customHeight="1" x14ac:dyDescent="0.25">
      <c r="A38" s="40"/>
      <c r="B38" s="43" t="s">
        <v>10</v>
      </c>
      <c r="C38" s="33">
        <v>236101777</v>
      </c>
      <c r="D38" s="33">
        <v>11352662.979999999</v>
      </c>
      <c r="E38" s="34">
        <f>C38+D38</f>
        <v>247454439.97999999</v>
      </c>
      <c r="F38" s="42">
        <v>52651914.830000006</v>
      </c>
      <c r="G38" s="42">
        <v>52651914.830000006</v>
      </c>
      <c r="H38" s="32">
        <f>G38-C38</f>
        <v>-183449862.16999999</v>
      </c>
    </row>
    <row r="39" spans="1:8" s="26" customFormat="1" ht="29.25" customHeight="1" x14ac:dyDescent="0.25">
      <c r="A39" s="40"/>
      <c r="B39" s="41" t="s">
        <v>9</v>
      </c>
      <c r="C39" s="33">
        <v>299012407</v>
      </c>
      <c r="D39" s="33">
        <v>11817268.48</v>
      </c>
      <c r="E39" s="34">
        <f>C39+D39</f>
        <v>310829675.48000002</v>
      </c>
      <c r="F39" s="33">
        <v>52149295.32</v>
      </c>
      <c r="G39" s="33">
        <v>52149295.32</v>
      </c>
      <c r="H39" s="32">
        <f>G39-C39</f>
        <v>-246863111.68000001</v>
      </c>
    </row>
    <row r="40" spans="1:8" s="26" customFormat="1" ht="6" customHeight="1" x14ac:dyDescent="0.25">
      <c r="A40" s="40"/>
      <c r="B40" s="39"/>
      <c r="C40" s="33"/>
      <c r="D40" s="33"/>
      <c r="E40" s="34"/>
      <c r="F40" s="33"/>
      <c r="G40" s="33"/>
      <c r="H40" s="32"/>
    </row>
    <row r="41" spans="1:8" s="26" customFormat="1" ht="17.100000000000001" customHeight="1" x14ac:dyDescent="0.25">
      <c r="A41" s="36" t="s">
        <v>8</v>
      </c>
      <c r="B41" s="38"/>
      <c r="C41" s="37">
        <f>C42</f>
        <v>0</v>
      </c>
      <c r="D41" s="37">
        <f>D42</f>
        <v>0</v>
      </c>
      <c r="E41" s="37">
        <f>E42</f>
        <v>0</v>
      </c>
      <c r="F41" s="37">
        <f>F42</f>
        <v>0</v>
      </c>
      <c r="G41" s="37">
        <f>G42</f>
        <v>0</v>
      </c>
      <c r="H41" s="37">
        <f>H42</f>
        <v>0</v>
      </c>
    </row>
    <row r="42" spans="1:8" s="26" customFormat="1" ht="17.100000000000001" customHeight="1" x14ac:dyDescent="0.25">
      <c r="A42" s="36"/>
      <c r="B42" s="35" t="s">
        <v>7</v>
      </c>
      <c r="C42" s="33">
        <v>0</v>
      </c>
      <c r="D42" s="33"/>
      <c r="E42" s="34">
        <f>C42+D42</f>
        <v>0</v>
      </c>
      <c r="F42" s="33"/>
      <c r="G42" s="33"/>
      <c r="H42" s="32">
        <f>G42-C42</f>
        <v>0</v>
      </c>
    </row>
    <row r="43" spans="1:8" s="26" customFormat="1" ht="12.75" customHeight="1" thickBot="1" x14ac:dyDescent="0.3">
      <c r="A43" s="31"/>
      <c r="B43" s="30"/>
      <c r="C43" s="28"/>
      <c r="D43" s="28"/>
      <c r="E43" s="29"/>
      <c r="F43" s="28"/>
      <c r="G43" s="28"/>
      <c r="H43" s="27"/>
    </row>
    <row r="44" spans="1:8" ht="21.75" customHeight="1" thickBot="1" x14ac:dyDescent="0.3">
      <c r="A44" s="25" t="s">
        <v>6</v>
      </c>
      <c r="B44" s="24"/>
      <c r="C44" s="23">
        <f>C25+C35+C41</f>
        <v>623389418</v>
      </c>
      <c r="D44" s="23">
        <f>D25+D35+D41</f>
        <v>23336113.27</v>
      </c>
      <c r="E44" s="23">
        <f>E25+E35+E41</f>
        <v>646559349.46000004</v>
      </c>
      <c r="F44" s="23">
        <f>F25+F35+F41</f>
        <v>104967391.96000001</v>
      </c>
      <c r="G44" s="23">
        <f>G25+G35+G41</f>
        <v>104967391.96000001</v>
      </c>
      <c r="H44" s="23">
        <f>H25+H35+H41</f>
        <v>-518588207.85000002</v>
      </c>
    </row>
    <row r="45" spans="1:8" ht="23.25" customHeight="1" thickBot="1" x14ac:dyDescent="0.3">
      <c r="A45" s="22"/>
      <c r="B45" s="22"/>
      <c r="C45" s="21"/>
      <c r="D45" s="21"/>
      <c r="E45" s="21"/>
      <c r="F45" s="20"/>
      <c r="G45" s="19" t="s">
        <v>5</v>
      </c>
      <c r="H45" s="18" t="str">
        <f>IF(($G$44-$C$44)&lt;=0,"",$G$44-$C$44)</f>
        <v/>
      </c>
    </row>
    <row r="46" spans="1:8" ht="23.25" customHeight="1" x14ac:dyDescent="0.25">
      <c r="A46" s="11"/>
      <c r="B46" s="11"/>
      <c r="C46" s="10"/>
      <c r="D46" s="10"/>
      <c r="E46" s="10"/>
      <c r="F46" s="9"/>
      <c r="G46" s="8"/>
      <c r="H46" s="8"/>
    </row>
    <row r="47" spans="1:8" ht="23.25" customHeight="1" x14ac:dyDescent="0.25">
      <c r="A47" s="11"/>
      <c r="B47" s="11"/>
      <c r="C47" s="10"/>
      <c r="D47" s="10"/>
      <c r="E47" s="10"/>
      <c r="F47" s="9"/>
      <c r="G47" s="8"/>
      <c r="H47" s="8"/>
    </row>
    <row r="48" spans="1:8" ht="23.25" customHeight="1" x14ac:dyDescent="0.25">
      <c r="A48" s="11"/>
      <c r="B48" s="11"/>
      <c r="C48" s="10"/>
      <c r="D48" s="10"/>
      <c r="E48" s="10"/>
      <c r="F48" s="9"/>
      <c r="G48" s="8"/>
      <c r="H48" s="8"/>
    </row>
    <row r="49" spans="1:8" s="12" customFormat="1" ht="15.75" customHeight="1" x14ac:dyDescent="0.25">
      <c r="A49" s="14"/>
      <c r="B49" s="17" t="s">
        <v>4</v>
      </c>
      <c r="C49" s="16"/>
      <c r="D49" s="16"/>
      <c r="E49" s="16"/>
      <c r="F49" s="16"/>
      <c r="G49" s="15"/>
      <c r="H49" s="15"/>
    </row>
    <row r="50" spans="1:8" s="12" customFormat="1" ht="12.75" customHeight="1" x14ac:dyDescent="0.25">
      <c r="A50" s="14"/>
      <c r="B50" s="17" t="s">
        <v>3</v>
      </c>
      <c r="C50" s="16"/>
      <c r="D50" s="16"/>
      <c r="E50" s="16"/>
      <c r="F50" s="16"/>
      <c r="G50" s="15"/>
      <c r="H50" s="15"/>
    </row>
    <row r="51" spans="1:8" s="12" customFormat="1" ht="26.25" customHeight="1" x14ac:dyDescent="0.25">
      <c r="A51" s="14"/>
      <c r="B51" s="13" t="s">
        <v>2</v>
      </c>
      <c r="C51" s="13"/>
      <c r="D51" s="13"/>
      <c r="E51" s="13"/>
      <c r="F51" s="13"/>
      <c r="G51" s="13"/>
      <c r="H51" s="13"/>
    </row>
    <row r="52" spans="1:8" ht="23.25" customHeight="1" x14ac:dyDescent="0.25">
      <c r="A52" s="11"/>
      <c r="B52" s="11"/>
      <c r="C52" s="10"/>
      <c r="D52" s="10"/>
      <c r="E52" s="10"/>
      <c r="F52" s="9"/>
      <c r="G52" s="8"/>
      <c r="H52" s="8"/>
    </row>
    <row r="53" spans="1:8" ht="8.25" customHeight="1" x14ac:dyDescent="0.25">
      <c r="A53" s="7"/>
      <c r="B53" s="1"/>
    </row>
    <row r="54" spans="1:8" x14ac:dyDescent="0.25">
      <c r="B54" s="1"/>
      <c r="H54" s="6"/>
    </row>
    <row r="55" spans="1:8" x14ac:dyDescent="0.25">
      <c r="A55" s="5"/>
      <c r="B55" s="4" t="s">
        <v>1</v>
      </c>
      <c r="C55" s="3"/>
      <c r="D55" s="3"/>
      <c r="E55" s="3"/>
      <c r="F55" s="3"/>
      <c r="G55" s="3"/>
      <c r="H55" s="3"/>
    </row>
    <row r="56" spans="1:8" x14ac:dyDescent="0.25">
      <c r="A56" s="5"/>
      <c r="B56" s="4" t="s">
        <v>0</v>
      </c>
      <c r="C56" s="3"/>
      <c r="D56" s="3"/>
      <c r="E56" s="3"/>
      <c r="F56" s="3"/>
      <c r="G56" s="3"/>
      <c r="H56" s="3"/>
    </row>
    <row r="57" spans="1:8" x14ac:dyDescent="0.25">
      <c r="A57" s="5"/>
      <c r="B57" s="4"/>
      <c r="C57" s="3"/>
      <c r="D57" s="3"/>
      <c r="E57" s="3"/>
      <c r="F57" s="3"/>
      <c r="G57" s="3"/>
      <c r="H57" s="3"/>
    </row>
  </sheetData>
  <sheetProtection password="C195" sheet="1" formatColumns="0" formatRows="0" insertHyperlinks="0"/>
  <mergeCells count="17">
    <mergeCell ref="A30:B30"/>
    <mergeCell ref="A1:H1"/>
    <mergeCell ref="A2:H2"/>
    <mergeCell ref="A3:H3"/>
    <mergeCell ref="C4:F4"/>
    <mergeCell ref="C5:G5"/>
    <mergeCell ref="A5:B7"/>
    <mergeCell ref="B51:H51"/>
    <mergeCell ref="A44:B44"/>
    <mergeCell ref="A35:B35"/>
    <mergeCell ref="A22:B24"/>
    <mergeCell ref="A19:B19"/>
    <mergeCell ref="A29:B29"/>
    <mergeCell ref="A31:B31"/>
    <mergeCell ref="A33:B33"/>
    <mergeCell ref="C22:G22"/>
    <mergeCell ref="A25:B25"/>
  </mergeCells>
  <printOptions horizontalCentered="1"/>
  <pageMargins left="0.39370078740157483" right="0.39370078740157483" top="0.39370078740157483" bottom="0.51181102362204722" header="0.31496062992125984" footer="0.31496062992125984"/>
  <pageSetup scale="88" fitToHeight="2" orientation="landscape" r:id="rId1"/>
  <rowBreaks count="1" manualBreakCount="1">
    <brk id="21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595E-8CC5-4FCA-A5DC-FDD7987FE06F}">
  <sheetPr>
    <tabColor theme="0" tint="-0.14999847407452621"/>
  </sheetPr>
  <dimension ref="A1:J90"/>
  <sheetViews>
    <sheetView view="pageBreakPreview" topLeftCell="A4" zoomScale="130" zoomScaleNormal="120" zoomScaleSheetLayoutView="130" workbookViewId="0">
      <selection activeCell="S24" sqref="S24"/>
    </sheetView>
  </sheetViews>
  <sheetFormatPr baseColWidth="10" defaultColWidth="11.42578125" defaultRowHeight="15" x14ac:dyDescent="0.25"/>
  <cols>
    <col min="1" max="1" width="1.85546875" customWidth="1"/>
    <col min="2" max="2" width="0.85546875" customWidth="1"/>
    <col min="3" max="3" width="48.28515625" customWidth="1"/>
    <col min="5" max="5" width="12.85546875" customWidth="1"/>
  </cols>
  <sheetData>
    <row r="1" spans="1:9" ht="15.75" x14ac:dyDescent="0.25">
      <c r="A1" s="172" t="str">
        <f>'[1]ETCA-I-01'!A1:G1</f>
        <v xml:space="preserve">Comision Estatal del Agua  </v>
      </c>
      <c r="B1" s="172"/>
      <c r="C1" s="172"/>
      <c r="D1" s="172"/>
      <c r="E1" s="172"/>
      <c r="F1" s="172"/>
      <c r="G1" s="172"/>
      <c r="H1" s="172"/>
      <c r="I1" s="172"/>
    </row>
    <row r="2" spans="1:9" ht="15.75" customHeight="1" x14ac:dyDescent="0.25">
      <c r="A2" s="171" t="s">
        <v>113</v>
      </c>
      <c r="B2" s="171"/>
      <c r="C2" s="171"/>
      <c r="D2" s="171"/>
      <c r="E2" s="171"/>
      <c r="F2" s="171"/>
      <c r="G2" s="171"/>
      <c r="H2" s="171"/>
      <c r="I2" s="171"/>
    </row>
    <row r="3" spans="1:9" ht="15.75" customHeight="1" x14ac:dyDescent="0.25">
      <c r="A3" s="170" t="str">
        <f>'[1]ETCA-I-10'!A3:K3</f>
        <v>Del 01 de Enero al 31 de Marzo de 2020</v>
      </c>
      <c r="B3" s="170"/>
      <c r="C3" s="170"/>
      <c r="D3" s="170"/>
      <c r="E3" s="170"/>
      <c r="F3" s="170"/>
      <c r="G3" s="170"/>
      <c r="H3" s="170"/>
      <c r="I3" s="170"/>
    </row>
    <row r="4" spans="1:9" ht="15.75" customHeight="1" thickBot="1" x14ac:dyDescent="0.3">
      <c r="A4" s="169"/>
      <c r="B4" s="169"/>
      <c r="C4" s="169"/>
      <c r="D4" s="169"/>
      <c r="E4" s="169"/>
      <c r="F4" s="169"/>
      <c r="G4" s="169"/>
      <c r="H4" s="169"/>
      <c r="I4" s="169"/>
    </row>
    <row r="5" spans="1:9" ht="15.75" thickBot="1" x14ac:dyDescent="0.3">
      <c r="A5" s="168"/>
      <c r="B5" s="167"/>
      <c r="C5" s="166"/>
      <c r="D5" s="165" t="s">
        <v>33</v>
      </c>
      <c r="E5" s="164"/>
      <c r="F5" s="164"/>
      <c r="G5" s="164"/>
      <c r="H5" s="163"/>
      <c r="I5" s="158" t="s">
        <v>112</v>
      </c>
    </row>
    <row r="6" spans="1:9" x14ac:dyDescent="0.25">
      <c r="A6" s="162" t="s">
        <v>111</v>
      </c>
      <c r="B6" s="161"/>
      <c r="C6" s="160"/>
      <c r="D6" s="158" t="s">
        <v>110</v>
      </c>
      <c r="E6" s="159" t="s">
        <v>109</v>
      </c>
      <c r="F6" s="158" t="s">
        <v>30</v>
      </c>
      <c r="G6" s="158" t="s">
        <v>108</v>
      </c>
      <c r="H6" s="158" t="s">
        <v>107</v>
      </c>
      <c r="I6" s="157"/>
    </row>
    <row r="7" spans="1:9" ht="15.75" thickBot="1" x14ac:dyDescent="0.3">
      <c r="A7" s="156" t="s">
        <v>106</v>
      </c>
      <c r="B7" s="155"/>
      <c r="C7" s="154"/>
      <c r="D7" s="152"/>
      <c r="E7" s="153"/>
      <c r="F7" s="152"/>
      <c r="G7" s="152"/>
      <c r="H7" s="152"/>
      <c r="I7" s="152"/>
    </row>
    <row r="8" spans="1:9" x14ac:dyDescent="0.25">
      <c r="A8" s="151"/>
      <c r="B8" s="150"/>
      <c r="C8" s="149"/>
      <c r="D8" s="148"/>
      <c r="E8" s="148"/>
      <c r="F8" s="148"/>
      <c r="G8" s="148"/>
      <c r="H8" s="148"/>
      <c r="I8" s="148"/>
    </row>
    <row r="9" spans="1:9" x14ac:dyDescent="0.25">
      <c r="A9" s="120" t="s">
        <v>105</v>
      </c>
      <c r="B9" s="112"/>
      <c r="C9" s="147"/>
      <c r="D9" s="146"/>
      <c r="E9" s="146"/>
      <c r="F9" s="146"/>
      <c r="G9" s="146"/>
      <c r="H9" s="146"/>
      <c r="I9" s="146"/>
    </row>
    <row r="10" spans="1:9" x14ac:dyDescent="0.25">
      <c r="A10" s="113"/>
      <c r="B10" s="119" t="s">
        <v>104</v>
      </c>
      <c r="C10" s="118"/>
      <c r="D10" s="115">
        <v>0</v>
      </c>
      <c r="E10" s="115">
        <v>0</v>
      </c>
      <c r="F10" s="115">
        <f>+D10+E10</f>
        <v>0</v>
      </c>
      <c r="G10" s="115">
        <v>0</v>
      </c>
      <c r="H10" s="115">
        <v>0</v>
      </c>
      <c r="I10" s="114">
        <f>+H10-D10</f>
        <v>0</v>
      </c>
    </row>
    <row r="11" spans="1:9" x14ac:dyDescent="0.25">
      <c r="A11" s="113"/>
      <c r="B11" s="119" t="s">
        <v>103</v>
      </c>
      <c r="C11" s="118"/>
      <c r="D11" s="115">
        <v>0</v>
      </c>
      <c r="E11" s="115">
        <v>0</v>
      </c>
      <c r="F11" s="115">
        <f>+D11+E11</f>
        <v>0</v>
      </c>
      <c r="G11" s="115">
        <v>0</v>
      </c>
      <c r="H11" s="115">
        <v>0</v>
      </c>
      <c r="I11" s="114">
        <f>+H11-D11</f>
        <v>0</v>
      </c>
    </row>
    <row r="12" spans="1:9" x14ac:dyDescent="0.25">
      <c r="A12" s="113"/>
      <c r="B12" s="119" t="s">
        <v>102</v>
      </c>
      <c r="C12" s="118"/>
      <c r="D12" s="115">
        <v>0</v>
      </c>
      <c r="E12" s="115">
        <v>0</v>
      </c>
      <c r="F12" s="115">
        <f>+D12+E12</f>
        <v>0</v>
      </c>
      <c r="G12" s="115">
        <v>0</v>
      </c>
      <c r="H12" s="115">
        <v>0</v>
      </c>
      <c r="I12" s="114">
        <f>+H12-D12</f>
        <v>0</v>
      </c>
    </row>
    <row r="13" spans="1:9" x14ac:dyDescent="0.25">
      <c r="A13" s="113"/>
      <c r="B13" s="119" t="s">
        <v>101</v>
      </c>
      <c r="C13" s="118"/>
      <c r="D13" s="115">
        <v>0</v>
      </c>
      <c r="E13" s="115">
        <v>0</v>
      </c>
      <c r="F13" s="115">
        <f>+D13+E13</f>
        <v>0</v>
      </c>
      <c r="G13" s="115">
        <v>0</v>
      </c>
      <c r="H13" s="115">
        <v>0</v>
      </c>
      <c r="I13" s="114">
        <f>+H13-D13</f>
        <v>0</v>
      </c>
    </row>
    <row r="14" spans="1:9" x14ac:dyDescent="0.25">
      <c r="A14" s="113"/>
      <c r="B14" s="119" t="s">
        <v>100</v>
      </c>
      <c r="C14" s="118"/>
      <c r="D14" s="115">
        <v>0</v>
      </c>
      <c r="E14" s="115">
        <v>166181.81</v>
      </c>
      <c r="F14" s="115">
        <f>+D14+E14</f>
        <v>166181.81</v>
      </c>
      <c r="G14" s="115">
        <v>166181.81</v>
      </c>
      <c r="H14" s="115">
        <v>166181.81</v>
      </c>
      <c r="I14" s="114">
        <f>+H14-D14</f>
        <v>166181.81</v>
      </c>
    </row>
    <row r="15" spans="1:9" x14ac:dyDescent="0.25">
      <c r="A15" s="113"/>
      <c r="B15" s="119" t="s">
        <v>99</v>
      </c>
      <c r="C15" s="118"/>
      <c r="D15" s="115">
        <v>0</v>
      </c>
      <c r="E15" s="115">
        <v>0</v>
      </c>
      <c r="F15" s="115">
        <f>+D15+E15</f>
        <v>0</v>
      </c>
      <c r="G15" s="115">
        <v>0</v>
      </c>
      <c r="H15" s="115"/>
      <c r="I15" s="114">
        <f>+H15-D15</f>
        <v>0</v>
      </c>
    </row>
    <row r="16" spans="1:9" x14ac:dyDescent="0.25">
      <c r="A16" s="113"/>
      <c r="B16" s="119" t="s">
        <v>98</v>
      </c>
      <c r="C16" s="118"/>
      <c r="D16" s="42">
        <v>236101777</v>
      </c>
      <c r="E16" s="42">
        <v>11352662.979999999</v>
      </c>
      <c r="F16" s="115">
        <f>+D16+E16</f>
        <v>247454439.97999999</v>
      </c>
      <c r="G16" s="42">
        <v>52651914.830000006</v>
      </c>
      <c r="H16" s="42">
        <v>52651914.830000006</v>
      </c>
      <c r="I16" s="114">
        <f>+H16-D16</f>
        <v>-183449862.16999999</v>
      </c>
    </row>
    <row r="17" spans="1:9" x14ac:dyDescent="0.25">
      <c r="A17" s="145"/>
      <c r="B17" s="119" t="s">
        <v>97</v>
      </c>
      <c r="C17" s="118"/>
      <c r="D17" s="144">
        <f>SUM(D19:D29)</f>
        <v>0</v>
      </c>
      <c r="E17" s="144">
        <f>SUM(E19:E29)</f>
        <v>0</v>
      </c>
      <c r="F17" s="144">
        <f>SUM(F19:F29)</f>
        <v>0</v>
      </c>
      <c r="G17" s="144">
        <f>SUM(G19:G29)</f>
        <v>0</v>
      </c>
      <c r="H17" s="144">
        <f>SUM(H19:H29)</f>
        <v>0</v>
      </c>
      <c r="I17" s="144">
        <f>SUM(I19:I29)</f>
        <v>0</v>
      </c>
    </row>
    <row r="18" spans="1:9" x14ac:dyDescent="0.25">
      <c r="A18" s="145"/>
      <c r="B18" s="119" t="s">
        <v>96</v>
      </c>
      <c r="C18" s="118"/>
      <c r="D18" s="144"/>
      <c r="E18" s="144"/>
      <c r="F18" s="144"/>
      <c r="G18" s="144"/>
      <c r="H18" s="144"/>
      <c r="I18" s="144"/>
    </row>
    <row r="19" spans="1:9" x14ac:dyDescent="0.25">
      <c r="A19" s="113"/>
      <c r="B19" s="126"/>
      <c r="C19" s="131" t="s">
        <v>95</v>
      </c>
      <c r="D19" s="115">
        <v>0</v>
      </c>
      <c r="E19" s="115">
        <v>0</v>
      </c>
      <c r="F19" s="115">
        <f>+D19+E19</f>
        <v>0</v>
      </c>
      <c r="G19" s="115">
        <v>0</v>
      </c>
      <c r="H19" s="115">
        <v>0</v>
      </c>
      <c r="I19" s="114">
        <f>+H19-D19</f>
        <v>0</v>
      </c>
    </row>
    <row r="20" spans="1:9" x14ac:dyDescent="0.25">
      <c r="A20" s="113"/>
      <c r="B20" s="126"/>
      <c r="C20" s="131" t="s">
        <v>94</v>
      </c>
      <c r="D20" s="115">
        <v>0</v>
      </c>
      <c r="E20" s="115">
        <v>0</v>
      </c>
      <c r="F20" s="115">
        <f>+D20+E20</f>
        <v>0</v>
      </c>
      <c r="G20" s="115">
        <v>0</v>
      </c>
      <c r="H20" s="115">
        <v>0</v>
      </c>
      <c r="I20" s="114">
        <f>+H20-D20</f>
        <v>0</v>
      </c>
    </row>
    <row r="21" spans="1:9" x14ac:dyDescent="0.25">
      <c r="A21" s="113"/>
      <c r="B21" s="126"/>
      <c r="C21" s="131" t="s">
        <v>93</v>
      </c>
      <c r="D21" s="115">
        <v>0</v>
      </c>
      <c r="E21" s="115">
        <v>0</v>
      </c>
      <c r="F21" s="115">
        <f>+D21+E21</f>
        <v>0</v>
      </c>
      <c r="G21" s="115">
        <v>0</v>
      </c>
      <c r="H21" s="115">
        <v>0</v>
      </c>
      <c r="I21" s="114">
        <f>+H21-D21</f>
        <v>0</v>
      </c>
    </row>
    <row r="22" spans="1:9" x14ac:dyDescent="0.25">
      <c r="A22" s="113"/>
      <c r="B22" s="126"/>
      <c r="C22" s="131" t="s">
        <v>92</v>
      </c>
      <c r="D22" s="115">
        <v>0</v>
      </c>
      <c r="E22" s="115">
        <v>0</v>
      </c>
      <c r="F22" s="115">
        <f>+D22+E22</f>
        <v>0</v>
      </c>
      <c r="G22" s="115">
        <v>0</v>
      </c>
      <c r="H22" s="115">
        <v>0</v>
      </c>
      <c r="I22" s="114">
        <f>+H22-D22</f>
        <v>0</v>
      </c>
    </row>
    <row r="23" spans="1:9" x14ac:dyDescent="0.25">
      <c r="A23" s="113"/>
      <c r="B23" s="126"/>
      <c r="C23" s="131" t="s">
        <v>91</v>
      </c>
      <c r="D23" s="115">
        <v>0</v>
      </c>
      <c r="E23" s="115">
        <v>0</v>
      </c>
      <c r="F23" s="115">
        <f>+D23+E23</f>
        <v>0</v>
      </c>
      <c r="G23" s="115">
        <v>0</v>
      </c>
      <c r="H23" s="115">
        <v>0</v>
      </c>
      <c r="I23" s="114">
        <f>+H23-D23</f>
        <v>0</v>
      </c>
    </row>
    <row r="24" spans="1:9" x14ac:dyDescent="0.25">
      <c r="A24" s="113"/>
      <c r="B24" s="126"/>
      <c r="C24" s="131" t="s">
        <v>90</v>
      </c>
      <c r="D24" s="115">
        <v>0</v>
      </c>
      <c r="E24" s="115">
        <v>0</v>
      </c>
      <c r="F24" s="115">
        <f>+D24+E24</f>
        <v>0</v>
      </c>
      <c r="G24" s="115">
        <v>0</v>
      </c>
      <c r="H24" s="115">
        <v>0</v>
      </c>
      <c r="I24" s="114">
        <f>+H24-D24</f>
        <v>0</v>
      </c>
    </row>
    <row r="25" spans="1:9" x14ac:dyDescent="0.25">
      <c r="A25" s="113"/>
      <c r="B25" s="126"/>
      <c r="C25" s="131" t="s">
        <v>89</v>
      </c>
      <c r="D25" s="115">
        <v>0</v>
      </c>
      <c r="E25" s="115">
        <v>0</v>
      </c>
      <c r="F25" s="115">
        <f>+D25+E25</f>
        <v>0</v>
      </c>
      <c r="G25" s="115">
        <v>0</v>
      </c>
      <c r="H25" s="115">
        <v>0</v>
      </c>
      <c r="I25" s="114">
        <f>+H25-D25</f>
        <v>0</v>
      </c>
    </row>
    <row r="26" spans="1:9" x14ac:dyDescent="0.25">
      <c r="A26" s="113"/>
      <c r="B26" s="126"/>
      <c r="C26" s="131" t="s">
        <v>88</v>
      </c>
      <c r="D26" s="115">
        <v>0</v>
      </c>
      <c r="E26" s="115">
        <v>0</v>
      </c>
      <c r="F26" s="115">
        <f>+D26+E26</f>
        <v>0</v>
      </c>
      <c r="G26" s="115">
        <v>0</v>
      </c>
      <c r="H26" s="115">
        <v>0</v>
      </c>
      <c r="I26" s="114">
        <f>+H26-D26</f>
        <v>0</v>
      </c>
    </row>
    <row r="27" spans="1:9" x14ac:dyDescent="0.25">
      <c r="A27" s="113"/>
      <c r="B27" s="126"/>
      <c r="C27" s="131" t="s">
        <v>87</v>
      </c>
      <c r="D27" s="115">
        <v>0</v>
      </c>
      <c r="E27" s="115">
        <v>0</v>
      </c>
      <c r="F27" s="115">
        <f>+D27+E27</f>
        <v>0</v>
      </c>
      <c r="G27" s="115">
        <v>0</v>
      </c>
      <c r="H27" s="115">
        <v>0</v>
      </c>
      <c r="I27" s="114">
        <f>+H27-D27</f>
        <v>0</v>
      </c>
    </row>
    <row r="28" spans="1:9" x14ac:dyDescent="0.25">
      <c r="A28" s="113"/>
      <c r="B28" s="126"/>
      <c r="C28" s="131" t="s">
        <v>86</v>
      </c>
      <c r="D28" s="115">
        <v>0</v>
      </c>
      <c r="E28" s="115">
        <v>0</v>
      </c>
      <c r="F28" s="115">
        <f>+D28+E28</f>
        <v>0</v>
      </c>
      <c r="G28" s="115">
        <v>0</v>
      </c>
      <c r="H28" s="115">
        <v>0</v>
      </c>
      <c r="I28" s="114">
        <f>+H28-D28</f>
        <v>0</v>
      </c>
    </row>
    <row r="29" spans="1:9" x14ac:dyDescent="0.25">
      <c r="A29" s="113"/>
      <c r="B29" s="126"/>
      <c r="C29" s="131" t="s">
        <v>85</v>
      </c>
      <c r="D29" s="115">
        <v>0</v>
      </c>
      <c r="E29" s="115">
        <v>0</v>
      </c>
      <c r="F29" s="115">
        <f>+D29+E29</f>
        <v>0</v>
      </c>
      <c r="G29" s="115">
        <v>0</v>
      </c>
      <c r="H29" s="115">
        <v>0</v>
      </c>
      <c r="I29" s="114">
        <f>+H29-D29</f>
        <v>0</v>
      </c>
    </row>
    <row r="30" spans="1:9" x14ac:dyDescent="0.25">
      <c r="A30" s="113"/>
      <c r="B30" s="119" t="s">
        <v>84</v>
      </c>
      <c r="C30" s="118"/>
      <c r="D30" s="114">
        <f>SUM(D31:D35)</f>
        <v>0</v>
      </c>
      <c r="E30" s="114">
        <f>SUM(E31:E35)</f>
        <v>0</v>
      </c>
      <c r="F30" s="114">
        <f>SUM(F31:F35)</f>
        <v>0</v>
      </c>
      <c r="G30" s="114">
        <f>SUM(G31:G35)</f>
        <v>0</v>
      </c>
      <c r="H30" s="114">
        <f>SUM(H31:H35)</f>
        <v>0</v>
      </c>
      <c r="I30" s="114">
        <f>SUM(I31:I35)</f>
        <v>0</v>
      </c>
    </row>
    <row r="31" spans="1:9" x14ac:dyDescent="0.25">
      <c r="A31" s="113"/>
      <c r="B31" s="126"/>
      <c r="C31" s="131" t="s">
        <v>83</v>
      </c>
      <c r="D31" s="115">
        <v>0</v>
      </c>
      <c r="E31" s="115">
        <v>0</v>
      </c>
      <c r="F31" s="115">
        <v>0</v>
      </c>
      <c r="G31" s="115"/>
      <c r="H31" s="115">
        <v>0</v>
      </c>
      <c r="I31" s="114">
        <f>+H31-D31</f>
        <v>0</v>
      </c>
    </row>
    <row r="32" spans="1:9" x14ac:dyDescent="0.25">
      <c r="A32" s="113"/>
      <c r="B32" s="126"/>
      <c r="C32" s="131" t="s">
        <v>82</v>
      </c>
      <c r="D32" s="115">
        <v>0</v>
      </c>
      <c r="E32" s="115">
        <v>0</v>
      </c>
      <c r="F32" s="115">
        <f>+D32+E32</f>
        <v>0</v>
      </c>
      <c r="G32" s="115"/>
      <c r="H32" s="115">
        <v>0</v>
      </c>
      <c r="I32" s="114">
        <f>+H32-D32</f>
        <v>0</v>
      </c>
    </row>
    <row r="33" spans="1:9" ht="15.75" thickBot="1" x14ac:dyDescent="0.3">
      <c r="A33" s="130"/>
      <c r="B33" s="129"/>
      <c r="C33" s="143" t="s">
        <v>81</v>
      </c>
      <c r="D33" s="127">
        <v>0</v>
      </c>
      <c r="E33" s="127">
        <v>0</v>
      </c>
      <c r="F33" s="127">
        <f>+D33+E33</f>
        <v>0</v>
      </c>
      <c r="G33" s="127"/>
      <c r="H33" s="127"/>
      <c r="I33" s="106">
        <f>+H33-D33</f>
        <v>0</v>
      </c>
    </row>
    <row r="34" spans="1:9" x14ac:dyDescent="0.25">
      <c r="A34" s="113"/>
      <c r="B34" s="126"/>
      <c r="C34" s="131" t="s">
        <v>80</v>
      </c>
      <c r="D34" s="115">
        <v>0</v>
      </c>
      <c r="E34" s="115">
        <v>0</v>
      </c>
      <c r="F34" s="115">
        <f>+D34+E34</f>
        <v>0</v>
      </c>
      <c r="G34" s="115"/>
      <c r="H34" s="115"/>
      <c r="I34" s="114">
        <f>+H34-D34</f>
        <v>0</v>
      </c>
    </row>
    <row r="35" spans="1:9" x14ac:dyDescent="0.25">
      <c r="A35" s="113"/>
      <c r="B35" s="126"/>
      <c r="C35" s="131" t="s">
        <v>79</v>
      </c>
      <c r="D35" s="115">
        <v>0</v>
      </c>
      <c r="E35" s="115">
        <v>0</v>
      </c>
      <c r="F35" s="115">
        <f>+D35+E35</f>
        <v>0</v>
      </c>
      <c r="G35" s="115"/>
      <c r="H35" s="115"/>
      <c r="I35" s="114">
        <f>+H35-D35</f>
        <v>0</v>
      </c>
    </row>
    <row r="36" spans="1:9" x14ac:dyDescent="0.25">
      <c r="A36" s="113"/>
      <c r="B36" s="142" t="s">
        <v>78</v>
      </c>
      <c r="C36" s="141"/>
      <c r="D36" s="115">
        <v>299012407</v>
      </c>
      <c r="E36" s="115">
        <v>11817268.48</v>
      </c>
      <c r="F36" s="124">
        <f>+D36+E36</f>
        <v>310829675.48000002</v>
      </c>
      <c r="G36" s="115">
        <v>52149295.32</v>
      </c>
      <c r="H36" s="115">
        <v>52149295.32</v>
      </c>
      <c r="I36" s="140">
        <f>+H36-D36</f>
        <v>-246863111.68000001</v>
      </c>
    </row>
    <row r="37" spans="1:9" x14ac:dyDescent="0.25">
      <c r="A37" s="113"/>
      <c r="B37" s="119" t="s">
        <v>77</v>
      </c>
      <c r="C37" s="118"/>
      <c r="D37" s="114">
        <f>SUM(D38)</f>
        <v>0</v>
      </c>
      <c r="E37" s="114">
        <f>SUM(E38)</f>
        <v>0</v>
      </c>
      <c r="F37" s="114">
        <f>SUM(F38)</f>
        <v>0</v>
      </c>
      <c r="G37" s="114">
        <f>SUM(G38)</f>
        <v>0</v>
      </c>
      <c r="H37" s="114">
        <f>SUM(H38)</f>
        <v>0</v>
      </c>
      <c r="I37" s="114">
        <f>SUM(I38)</f>
        <v>0</v>
      </c>
    </row>
    <row r="38" spans="1:9" x14ac:dyDescent="0.25">
      <c r="A38" s="113"/>
      <c r="B38" s="126"/>
      <c r="C38" s="131" t="s">
        <v>76</v>
      </c>
      <c r="D38" s="115">
        <v>0</v>
      </c>
      <c r="E38" s="115"/>
      <c r="F38" s="115">
        <f>+D38+E38</f>
        <v>0</v>
      </c>
      <c r="G38" s="115"/>
      <c r="H38" s="115"/>
      <c r="I38" s="114">
        <f>+H38-D38</f>
        <v>0</v>
      </c>
    </row>
    <row r="39" spans="1:9" x14ac:dyDescent="0.25">
      <c r="A39" s="113"/>
      <c r="B39" s="119" t="s">
        <v>75</v>
      </c>
      <c r="C39" s="118"/>
      <c r="D39" s="114">
        <f>SUM(D40:D41)</f>
        <v>0</v>
      </c>
      <c r="E39" s="114">
        <f>SUM(E40:E41)</f>
        <v>0</v>
      </c>
      <c r="F39" s="114">
        <f>SUM(F40:F41)</f>
        <v>0</v>
      </c>
      <c r="G39" s="114">
        <f>SUM(G40:G41)</f>
        <v>0</v>
      </c>
      <c r="H39" s="114">
        <f>SUM(H40:H41)</f>
        <v>0</v>
      </c>
      <c r="I39" s="114">
        <f>SUM(I40:I41)</f>
        <v>0</v>
      </c>
    </row>
    <row r="40" spans="1:9" x14ac:dyDescent="0.25">
      <c r="A40" s="113"/>
      <c r="B40" s="126"/>
      <c r="C40" s="131" t="s">
        <v>74</v>
      </c>
      <c r="D40" s="115">
        <v>0</v>
      </c>
      <c r="E40" s="115">
        <v>0</v>
      </c>
      <c r="F40" s="115">
        <f>+D40+E40</f>
        <v>0</v>
      </c>
      <c r="G40" s="115"/>
      <c r="H40" s="115"/>
      <c r="I40" s="114">
        <f>H40-D40</f>
        <v>0</v>
      </c>
    </row>
    <row r="41" spans="1:9" x14ac:dyDescent="0.25">
      <c r="A41" s="113"/>
      <c r="B41" s="126"/>
      <c r="C41" s="131" t="s">
        <v>73</v>
      </c>
      <c r="D41" s="115">
        <v>0</v>
      </c>
      <c r="E41" s="115">
        <v>0</v>
      </c>
      <c r="F41" s="115">
        <f>+D41+E41</f>
        <v>0</v>
      </c>
      <c r="G41" s="115"/>
      <c r="H41" s="115"/>
      <c r="I41" s="114">
        <f>H41-D41</f>
        <v>0</v>
      </c>
    </row>
    <row r="42" spans="1:9" ht="8.25" customHeight="1" x14ac:dyDescent="0.25">
      <c r="A42" s="113"/>
      <c r="B42" s="126"/>
      <c r="C42" s="131"/>
      <c r="D42" s="114"/>
      <c r="E42" s="114"/>
      <c r="F42" s="114"/>
      <c r="G42" s="114"/>
      <c r="H42" s="114"/>
      <c r="I42" s="114"/>
    </row>
    <row r="43" spans="1:9" ht="15" customHeight="1" x14ac:dyDescent="0.25">
      <c r="A43" s="139" t="s">
        <v>72</v>
      </c>
      <c r="B43" s="138"/>
      <c r="C43" s="137"/>
      <c r="D43" s="133">
        <f>+D10+D11+D12+D13+D14+D15+D16+D17+D30+D36+D37+D39</f>
        <v>535114184</v>
      </c>
      <c r="E43" s="133">
        <f>+E10+E11+E12+E13+E14+E15+E16+E17+E30+E36+E37+E39</f>
        <v>23336113.27</v>
      </c>
      <c r="F43" s="133">
        <f>+F10+F11+F12+F13+F14+F15+F16+F17+F30+F36+F37+F39</f>
        <v>558450297.26999998</v>
      </c>
      <c r="G43" s="133">
        <f>+G10+G11+G12+G13+G14+G15+G16+G17+G30+G36+G37+G39</f>
        <v>104967391.96000001</v>
      </c>
      <c r="H43" s="133">
        <f>+H10+H11+H12+H13+H14+H15+H16+H17+H30+H36+H37+H39</f>
        <v>104967391.96000001</v>
      </c>
      <c r="I43" s="133">
        <f>+I10+I11+I12+I13+I14+I15+I16+I17+I30+I36+I37+I39</f>
        <v>-430146792.03999996</v>
      </c>
    </row>
    <row r="44" spans="1:9" x14ac:dyDescent="0.25">
      <c r="A44" s="139" t="s">
        <v>71</v>
      </c>
      <c r="B44" s="138"/>
      <c r="C44" s="137"/>
      <c r="D44" s="133"/>
      <c r="E44" s="133"/>
      <c r="F44" s="133"/>
      <c r="G44" s="133"/>
      <c r="H44" s="133"/>
      <c r="I44" s="133"/>
    </row>
    <row r="45" spans="1:9" ht="8.25" customHeight="1" x14ac:dyDescent="0.25">
      <c r="A45" s="136"/>
      <c r="B45" s="135"/>
      <c r="C45" s="134"/>
      <c r="D45" s="133"/>
      <c r="E45" s="133"/>
      <c r="F45" s="133"/>
      <c r="G45" s="133"/>
      <c r="H45" s="133"/>
      <c r="I45" s="133"/>
    </row>
    <row r="46" spans="1:9" x14ac:dyDescent="0.25">
      <c r="A46" s="120" t="s">
        <v>70</v>
      </c>
      <c r="B46" s="112"/>
      <c r="C46" s="111"/>
      <c r="D46" s="132"/>
      <c r="E46" s="132"/>
      <c r="F46" s="132"/>
      <c r="G46" s="132"/>
      <c r="H46" s="132"/>
      <c r="I46" s="114" t="str">
        <f>IF(($H$43-$D$43)&lt;=0," ",$H$43-$D$43)</f>
        <v xml:space="preserve"> </v>
      </c>
    </row>
    <row r="47" spans="1:9" ht="11.25" customHeight="1" x14ac:dyDescent="0.25">
      <c r="A47" s="113"/>
      <c r="B47" s="126"/>
      <c r="C47" s="131"/>
      <c r="D47" s="114"/>
      <c r="E47" s="114"/>
      <c r="F47" s="114"/>
      <c r="G47" s="114"/>
      <c r="H47" s="114"/>
      <c r="I47" s="114"/>
    </row>
    <row r="48" spans="1:9" x14ac:dyDescent="0.25">
      <c r="A48" s="120" t="s">
        <v>69</v>
      </c>
      <c r="B48" s="112"/>
      <c r="C48" s="111"/>
      <c r="D48" s="114"/>
      <c r="E48" s="114"/>
      <c r="F48" s="114"/>
      <c r="G48" s="114"/>
      <c r="H48" s="114"/>
      <c r="I48" s="114"/>
    </row>
    <row r="49" spans="1:9" x14ac:dyDescent="0.25">
      <c r="A49" s="113"/>
      <c r="B49" s="119" t="s">
        <v>68</v>
      </c>
      <c r="C49" s="118"/>
      <c r="D49" s="114">
        <f>SUM(D50:D57)</f>
        <v>0</v>
      </c>
      <c r="E49" s="114">
        <f>SUM(E50:E57)</f>
        <v>0</v>
      </c>
      <c r="F49" s="114">
        <f>SUM(F50:F57)</f>
        <v>0</v>
      </c>
      <c r="G49" s="114">
        <f>SUM(G50:G57)</f>
        <v>0</v>
      </c>
      <c r="H49" s="114">
        <f>SUM(H50:H57)</f>
        <v>0</v>
      </c>
      <c r="I49" s="114">
        <f>SUM(I50:I57)</f>
        <v>0</v>
      </c>
    </row>
    <row r="50" spans="1:9" x14ac:dyDescent="0.25">
      <c r="A50" s="113"/>
      <c r="B50" s="126"/>
      <c r="C50" s="131" t="s">
        <v>67</v>
      </c>
      <c r="D50" s="115">
        <v>0</v>
      </c>
      <c r="E50" s="115">
        <v>0</v>
      </c>
      <c r="F50" s="115">
        <f>+D50+E50</f>
        <v>0</v>
      </c>
      <c r="G50" s="115">
        <v>0</v>
      </c>
      <c r="H50" s="115">
        <v>0</v>
      </c>
      <c r="I50" s="114">
        <f>H50-D50</f>
        <v>0</v>
      </c>
    </row>
    <row r="51" spans="1:9" x14ac:dyDescent="0.25">
      <c r="A51" s="113"/>
      <c r="B51" s="126"/>
      <c r="C51" s="131" t="s">
        <v>66</v>
      </c>
      <c r="D51" s="115">
        <v>0</v>
      </c>
      <c r="E51" s="115"/>
      <c r="F51" s="115">
        <f>+D51+E51</f>
        <v>0</v>
      </c>
      <c r="G51" s="115"/>
      <c r="H51" s="115"/>
      <c r="I51" s="114">
        <f>H51-D51</f>
        <v>0</v>
      </c>
    </row>
    <row r="52" spans="1:9" x14ac:dyDescent="0.25">
      <c r="A52" s="113"/>
      <c r="B52" s="126"/>
      <c r="C52" s="131" t="s">
        <v>65</v>
      </c>
      <c r="D52" s="115">
        <v>0</v>
      </c>
      <c r="E52" s="115"/>
      <c r="F52" s="115">
        <f>+D52+E52</f>
        <v>0</v>
      </c>
      <c r="G52" s="115"/>
      <c r="H52" s="115"/>
      <c r="I52" s="114">
        <f>H52-D52</f>
        <v>0</v>
      </c>
    </row>
    <row r="53" spans="1:9" ht="19.5" x14ac:dyDescent="0.25">
      <c r="A53" s="113"/>
      <c r="B53" s="126"/>
      <c r="C53" s="125" t="s">
        <v>64</v>
      </c>
      <c r="D53" s="115">
        <v>0</v>
      </c>
      <c r="E53" s="115"/>
      <c r="F53" s="115">
        <f>+D53+E53</f>
        <v>0</v>
      </c>
      <c r="G53" s="115"/>
      <c r="H53" s="115"/>
      <c r="I53" s="114">
        <f>H53-D53</f>
        <v>0</v>
      </c>
    </row>
    <row r="54" spans="1:9" x14ac:dyDescent="0.25">
      <c r="A54" s="113"/>
      <c r="B54" s="126"/>
      <c r="C54" s="131" t="s">
        <v>63</v>
      </c>
      <c r="D54" s="115">
        <v>0</v>
      </c>
      <c r="E54" s="115">
        <v>0</v>
      </c>
      <c r="F54" s="115">
        <f>+D54+E54</f>
        <v>0</v>
      </c>
      <c r="G54" s="115">
        <v>0</v>
      </c>
      <c r="H54" s="115">
        <v>0</v>
      </c>
      <c r="I54" s="114">
        <f>H54-D54</f>
        <v>0</v>
      </c>
    </row>
    <row r="55" spans="1:9" x14ac:dyDescent="0.25">
      <c r="A55" s="113"/>
      <c r="B55" s="126"/>
      <c r="C55" s="131" t="s">
        <v>62</v>
      </c>
      <c r="D55" s="115">
        <v>0</v>
      </c>
      <c r="E55" s="115"/>
      <c r="F55" s="115">
        <f>+D55+E55</f>
        <v>0</v>
      </c>
      <c r="G55" s="115"/>
      <c r="H55" s="115"/>
      <c r="I55" s="114">
        <f>H55-D55</f>
        <v>0</v>
      </c>
    </row>
    <row r="56" spans="1:9" ht="19.5" x14ac:dyDescent="0.25">
      <c r="A56" s="113"/>
      <c r="B56" s="126"/>
      <c r="C56" s="125" t="s">
        <v>61</v>
      </c>
      <c r="D56" s="115">
        <v>0</v>
      </c>
      <c r="E56" s="115"/>
      <c r="F56" s="115">
        <f>+D56+E56</f>
        <v>0</v>
      </c>
      <c r="G56" s="115"/>
      <c r="H56" s="115"/>
      <c r="I56" s="114">
        <f>H56-D56</f>
        <v>0</v>
      </c>
    </row>
    <row r="57" spans="1:9" ht="19.5" x14ac:dyDescent="0.25">
      <c r="A57" s="113"/>
      <c r="B57" s="126"/>
      <c r="C57" s="125" t="s">
        <v>60</v>
      </c>
      <c r="D57" s="115">
        <v>0</v>
      </c>
      <c r="E57" s="115"/>
      <c r="F57" s="115">
        <f>+D57+E57</f>
        <v>0</v>
      </c>
      <c r="G57" s="115"/>
      <c r="H57" s="115"/>
      <c r="I57" s="114">
        <f>H57-D57</f>
        <v>0</v>
      </c>
    </row>
    <row r="58" spans="1:9" x14ac:dyDescent="0.25">
      <c r="A58" s="113"/>
      <c r="B58" s="119" t="s">
        <v>59</v>
      </c>
      <c r="C58" s="118"/>
      <c r="D58" s="114">
        <f>SUM(D59:D62)</f>
        <v>0</v>
      </c>
      <c r="E58" s="114">
        <f>SUM(E59:E62)</f>
        <v>0</v>
      </c>
      <c r="F58" s="114">
        <f>SUM(F59:F62)</f>
        <v>0</v>
      </c>
      <c r="G58" s="114">
        <f>SUM(G59:G62)</f>
        <v>0</v>
      </c>
      <c r="H58" s="114">
        <f>SUM(H59:H62)</f>
        <v>0</v>
      </c>
      <c r="I58" s="114">
        <f>SUM(I59:I62)</f>
        <v>0</v>
      </c>
    </row>
    <row r="59" spans="1:9" x14ac:dyDescent="0.25">
      <c r="A59" s="113"/>
      <c r="B59" s="126"/>
      <c r="C59" s="131" t="s">
        <v>58</v>
      </c>
      <c r="D59" s="115">
        <v>0</v>
      </c>
      <c r="E59" s="115"/>
      <c r="F59" s="115">
        <f>+D59+E59</f>
        <v>0</v>
      </c>
      <c r="G59" s="115"/>
      <c r="H59" s="115"/>
      <c r="I59" s="114">
        <f>H59-D59</f>
        <v>0</v>
      </c>
    </row>
    <row r="60" spans="1:9" x14ac:dyDescent="0.25">
      <c r="A60" s="113"/>
      <c r="B60" s="126"/>
      <c r="C60" s="131" t="s">
        <v>57</v>
      </c>
      <c r="D60" s="115">
        <v>0</v>
      </c>
      <c r="E60" s="115"/>
      <c r="F60" s="115">
        <v>0</v>
      </c>
      <c r="G60" s="115"/>
      <c r="H60" s="115"/>
      <c r="I60" s="114">
        <f>H60-D60</f>
        <v>0</v>
      </c>
    </row>
    <row r="61" spans="1:9" x14ac:dyDescent="0.25">
      <c r="A61" s="113"/>
      <c r="B61" s="126"/>
      <c r="C61" s="131" t="s">
        <v>56</v>
      </c>
      <c r="D61" s="115">
        <v>0</v>
      </c>
      <c r="E61" s="115"/>
      <c r="F61" s="115">
        <v>0</v>
      </c>
      <c r="G61" s="115"/>
      <c r="H61" s="115"/>
      <c r="I61" s="114">
        <f>H61-D61</f>
        <v>0</v>
      </c>
    </row>
    <row r="62" spans="1:9" x14ac:dyDescent="0.25">
      <c r="A62" s="113"/>
      <c r="B62" s="126"/>
      <c r="C62" s="131" t="s">
        <v>55</v>
      </c>
      <c r="D62" s="115">
        <v>0</v>
      </c>
      <c r="E62" s="115"/>
      <c r="F62" s="115">
        <v>0</v>
      </c>
      <c r="G62" s="115"/>
      <c r="H62" s="115"/>
      <c r="I62" s="114">
        <f>H62-D62</f>
        <v>0</v>
      </c>
    </row>
    <row r="63" spans="1:9" x14ac:dyDescent="0.25">
      <c r="A63" s="113"/>
      <c r="B63" s="119" t="s">
        <v>54</v>
      </c>
      <c r="C63" s="118"/>
      <c r="D63" s="114">
        <f>SUM(D64:D65)</f>
        <v>0</v>
      </c>
      <c r="E63" s="114">
        <f>SUM(E64:E65)</f>
        <v>0</v>
      </c>
      <c r="F63" s="114">
        <f>SUM(F64:F65)</f>
        <v>0</v>
      </c>
      <c r="G63" s="114">
        <f>SUM(G64:G65)</f>
        <v>0</v>
      </c>
      <c r="H63" s="114">
        <f>SUM(H64:H65)</f>
        <v>0</v>
      </c>
      <c r="I63" s="114">
        <f>SUM(I64:I65)</f>
        <v>0</v>
      </c>
    </row>
    <row r="64" spans="1:9" ht="20.25" thickBot="1" x14ac:dyDescent="0.3">
      <c r="A64" s="130"/>
      <c r="B64" s="129"/>
      <c r="C64" s="128" t="s">
        <v>53</v>
      </c>
      <c r="D64" s="127">
        <v>0</v>
      </c>
      <c r="E64" s="127">
        <v>0</v>
      </c>
      <c r="F64" s="127">
        <f>+D64+E64</f>
        <v>0</v>
      </c>
      <c r="G64" s="127">
        <v>0</v>
      </c>
      <c r="H64" s="127">
        <v>0</v>
      </c>
      <c r="I64" s="106">
        <f>H64-D64</f>
        <v>0</v>
      </c>
    </row>
    <row r="65" spans="1:10" x14ac:dyDescent="0.25">
      <c r="A65" s="113"/>
      <c r="B65" s="126"/>
      <c r="C65" s="125" t="s">
        <v>52</v>
      </c>
      <c r="D65" s="115">
        <v>0</v>
      </c>
      <c r="E65" s="115">
        <v>0</v>
      </c>
      <c r="F65" s="124">
        <v>0</v>
      </c>
      <c r="G65" s="115">
        <v>0</v>
      </c>
      <c r="H65" s="115">
        <v>0</v>
      </c>
      <c r="I65" s="114">
        <f>H65-D65</f>
        <v>0</v>
      </c>
    </row>
    <row r="66" spans="1:10" x14ac:dyDescent="0.25">
      <c r="A66" s="113"/>
      <c r="B66" s="119" t="s">
        <v>51</v>
      </c>
      <c r="C66" s="118"/>
      <c r="D66" s="115">
        <v>88275234</v>
      </c>
      <c r="E66" s="115">
        <v>0</v>
      </c>
      <c r="F66" s="115">
        <f>+D66+E66</f>
        <v>88275234</v>
      </c>
      <c r="G66" s="115">
        <v>0</v>
      </c>
      <c r="H66" s="115">
        <v>0</v>
      </c>
      <c r="I66" s="114">
        <f>H66-D66</f>
        <v>-88275234</v>
      </c>
    </row>
    <row r="67" spans="1:10" x14ac:dyDescent="0.25">
      <c r="A67" s="113"/>
      <c r="B67" s="119" t="s">
        <v>50</v>
      </c>
      <c r="C67" s="118"/>
      <c r="D67" s="115">
        <v>0</v>
      </c>
      <c r="E67" s="115">
        <v>0</v>
      </c>
      <c r="F67" s="115">
        <f>+D67+E67</f>
        <v>0</v>
      </c>
      <c r="G67" s="115">
        <v>0</v>
      </c>
      <c r="H67" s="115">
        <v>0</v>
      </c>
      <c r="I67" s="114">
        <f>H67-D67</f>
        <v>0</v>
      </c>
    </row>
    <row r="68" spans="1:10" ht="8.25" customHeight="1" x14ac:dyDescent="0.25">
      <c r="A68" s="113"/>
      <c r="B68" s="119"/>
      <c r="C68" s="118"/>
      <c r="D68" s="114"/>
      <c r="E68" s="114"/>
      <c r="F68" s="114" t="s">
        <v>44</v>
      </c>
      <c r="G68" s="114"/>
      <c r="H68" s="114"/>
      <c r="I68" s="114"/>
    </row>
    <row r="69" spans="1:10" x14ac:dyDescent="0.25">
      <c r="A69" s="123" t="s">
        <v>49</v>
      </c>
      <c r="B69" s="122"/>
      <c r="C69" s="121"/>
      <c r="D69" s="110">
        <f>+D49+D58+D63+D66+D67</f>
        <v>88275234</v>
      </c>
      <c r="E69" s="110">
        <f>+E49+E58+E63+E66+E67</f>
        <v>0</v>
      </c>
      <c r="F69" s="110">
        <f>+F49+F58+F63+F66+F67</f>
        <v>88275234</v>
      </c>
      <c r="G69" s="110">
        <f>+G49+G58+G63+G66+G67</f>
        <v>0</v>
      </c>
      <c r="H69" s="110">
        <f>+H49+H58+H63+H66+H67</f>
        <v>0</v>
      </c>
      <c r="I69" s="110">
        <f>+I49+I58+I63+I66+I67</f>
        <v>-88275234</v>
      </c>
    </row>
    <row r="70" spans="1:10" ht="6" customHeight="1" x14ac:dyDescent="0.25">
      <c r="A70" s="113"/>
      <c r="B70" s="119"/>
      <c r="C70" s="118"/>
      <c r="D70" s="114"/>
      <c r="E70" s="114"/>
      <c r="F70" s="114" t="s">
        <v>44</v>
      </c>
      <c r="G70" s="114"/>
      <c r="H70" s="114"/>
      <c r="I70" s="114"/>
    </row>
    <row r="71" spans="1:10" x14ac:dyDescent="0.25">
      <c r="A71" s="120" t="s">
        <v>48</v>
      </c>
      <c r="B71" s="112"/>
      <c r="C71" s="111"/>
      <c r="D71" s="110">
        <f>SUM(D72)</f>
        <v>0</v>
      </c>
      <c r="E71" s="110">
        <f>SUM(E72)</f>
        <v>0</v>
      </c>
      <c r="F71" s="110">
        <f>SUM(F72)</f>
        <v>0</v>
      </c>
      <c r="G71" s="110">
        <f>SUM(G72)</f>
        <v>0</v>
      </c>
      <c r="H71" s="110">
        <f>SUM(H72)</f>
        <v>0</v>
      </c>
      <c r="I71" s="110">
        <f>SUM(I72)</f>
        <v>0</v>
      </c>
    </row>
    <row r="72" spans="1:10" x14ac:dyDescent="0.25">
      <c r="A72" s="113"/>
      <c r="B72" s="119" t="s">
        <v>47</v>
      </c>
      <c r="C72" s="118"/>
      <c r="D72" s="115">
        <v>0</v>
      </c>
      <c r="E72" s="115"/>
      <c r="F72" s="115" t="s">
        <v>44</v>
      </c>
      <c r="G72" s="115"/>
      <c r="H72" s="115">
        <v>0</v>
      </c>
      <c r="I72" s="114">
        <f>H72-D72</f>
        <v>0</v>
      </c>
    </row>
    <row r="73" spans="1:10" ht="7.5" customHeight="1" x14ac:dyDescent="0.25">
      <c r="A73" s="113"/>
      <c r="B73" s="119"/>
      <c r="C73" s="118"/>
      <c r="D73" s="114"/>
      <c r="E73" s="114"/>
      <c r="F73" s="114" t="s">
        <v>44</v>
      </c>
      <c r="G73" s="114"/>
      <c r="H73" s="114"/>
      <c r="I73" s="114"/>
    </row>
    <row r="74" spans="1:10" x14ac:dyDescent="0.25">
      <c r="A74" s="120" t="s">
        <v>46</v>
      </c>
      <c r="B74" s="112"/>
      <c r="C74" s="111"/>
      <c r="D74" s="110">
        <f>+D43+D69+D71</f>
        <v>623389418</v>
      </c>
      <c r="E74" s="110">
        <f>+E43+E69+E71</f>
        <v>23336113.27</v>
      </c>
      <c r="F74" s="110">
        <f>+F43+F69+F71</f>
        <v>646725531.26999998</v>
      </c>
      <c r="G74" s="110">
        <f>+G43+G69+G71</f>
        <v>104967391.96000001</v>
      </c>
      <c r="H74" s="110">
        <f>+H43+H69+H71</f>
        <v>104967391.96000001</v>
      </c>
      <c r="I74" s="110">
        <f>+I43+I69+I71</f>
        <v>-518422026.03999996</v>
      </c>
    </row>
    <row r="75" spans="1:10" ht="6" customHeight="1" x14ac:dyDescent="0.25">
      <c r="A75" s="113"/>
      <c r="B75" s="119"/>
      <c r="C75" s="118"/>
      <c r="D75" s="114"/>
      <c r="E75" s="114"/>
      <c r="F75" s="114" t="s">
        <v>44</v>
      </c>
      <c r="G75" s="114"/>
      <c r="H75" s="114"/>
      <c r="I75" s="114"/>
    </row>
    <row r="76" spans="1:10" x14ac:dyDescent="0.25">
      <c r="A76" s="113"/>
      <c r="B76" s="112" t="s">
        <v>45</v>
      </c>
      <c r="C76" s="111"/>
      <c r="D76" s="114"/>
      <c r="E76" s="114"/>
      <c r="F76" s="114" t="s">
        <v>44</v>
      </c>
      <c r="G76" s="114"/>
      <c r="H76" s="114"/>
      <c r="I76" s="114"/>
    </row>
    <row r="77" spans="1:10" ht="21.75" customHeight="1" x14ac:dyDescent="0.25">
      <c r="A77" s="113"/>
      <c r="B77" s="117" t="s">
        <v>43</v>
      </c>
      <c r="C77" s="116"/>
      <c r="D77" s="115">
        <v>0</v>
      </c>
      <c r="E77" s="115">
        <v>0</v>
      </c>
      <c r="F77" s="115">
        <f>+D77+E77</f>
        <v>0</v>
      </c>
      <c r="G77" s="115">
        <v>0</v>
      </c>
      <c r="H77" s="115">
        <v>0</v>
      </c>
      <c r="I77" s="114">
        <f>H77-D77</f>
        <v>0</v>
      </c>
    </row>
    <row r="78" spans="1:10" ht="22.5" customHeight="1" x14ac:dyDescent="0.25">
      <c r="A78" s="113"/>
      <c r="B78" s="117" t="s">
        <v>42</v>
      </c>
      <c r="C78" s="116"/>
      <c r="D78" s="115">
        <v>0</v>
      </c>
      <c r="E78" s="115">
        <v>0</v>
      </c>
      <c r="F78" s="115">
        <f>+D78+E78</f>
        <v>0</v>
      </c>
      <c r="G78" s="115">
        <v>0</v>
      </c>
      <c r="H78" s="115">
        <v>0</v>
      </c>
      <c r="I78" s="114">
        <f>H78-D78</f>
        <v>0</v>
      </c>
    </row>
    <row r="79" spans="1:10" x14ac:dyDescent="0.25">
      <c r="A79" s="113"/>
      <c r="B79" s="112" t="s">
        <v>41</v>
      </c>
      <c r="C79" s="111"/>
      <c r="D79" s="110">
        <f>+D77+D78</f>
        <v>0</v>
      </c>
      <c r="E79" s="110">
        <f>+E77+E78</f>
        <v>0</v>
      </c>
      <c r="F79" s="110">
        <f>+F77+F78</f>
        <v>0</v>
      </c>
      <c r="G79" s="110">
        <f>+G77+G78</f>
        <v>0</v>
      </c>
      <c r="H79" s="110">
        <f>+H77+H78</f>
        <v>0</v>
      </c>
      <c r="I79" s="110">
        <f>+I77+I78</f>
        <v>0</v>
      </c>
      <c r="J79" s="105" t="str">
        <f>IF(D74&lt;&gt;'ETCA-II-01'!C19,"ERROR!!!!! EL MONTO ESTIMADO NO COINCIDE CON LO REPORTADO EN EL FORMATO ETCA-II-01 EN EL TOTAL DE INGRESOS","")</f>
        <v/>
      </c>
    </row>
    <row r="80" spans="1:10" ht="15.75" thickBot="1" x14ac:dyDescent="0.3">
      <c r="A80" s="109"/>
      <c r="B80" s="108"/>
      <c r="C80" s="107"/>
      <c r="D80" s="106"/>
      <c r="E80" s="106"/>
      <c r="F80" s="106"/>
      <c r="G80" s="106"/>
      <c r="H80" s="106"/>
      <c r="I80" s="106"/>
      <c r="J80" s="105" t="str">
        <f>IF(E74&lt;&gt;'ETCA-II-01'!D19,"ERROR!!!!! EL MONTO NO COINCIDE CON LO REPORTADO EN EL FORMATO ETCA-II-01 EN EL TOTAL DE INGRESOS","")</f>
        <v/>
      </c>
    </row>
    <row r="81" spans="10:10" x14ac:dyDescent="0.25">
      <c r="J81" s="105" t="str">
        <f>IF(F74&lt;&gt;'ETCA-II-01'!E19,"ERROR!!!!! EL MONTO NO COINCIDE CON LO REPORTADO EN EL FORMATO ETCA-II-01 EN EL TOTAL DE INGRESOS","")</f>
        <v/>
      </c>
    </row>
    <row r="82" spans="10:10" x14ac:dyDescent="0.25">
      <c r="J82" s="105" t="str">
        <f>IF(G74&lt;&gt;'ETCA-II-01'!F19,"ERROR!!!!! EL MONTO NO COINCIDE CON LO REPORTADO EN EL FORMATO ETCA-II-01 EN EL TOTAL DE INGRESOS","")</f>
        <v/>
      </c>
    </row>
    <row r="83" spans="10:10" x14ac:dyDescent="0.25">
      <c r="J83" s="105" t="str">
        <f>IF(H74&lt;&gt;'ETCA-II-01'!G19,"ERROR!!!!! EL MONTO NO COINCIDE CON LO REPORTADO EN EL FORMATO ETCA-II-01 EN EL TOTAL DE INGRESOS","")</f>
        <v/>
      </c>
    </row>
    <row r="84" spans="10:10" x14ac:dyDescent="0.25">
      <c r="J84" s="105" t="str">
        <f>IF(I74&lt;&gt;'ETCA-II-01'!H19,"ERROR!!!!! EL MONTO NO COINCIDE CON LO REPORTADO EN EL FORMATO ETCA-II-01 EN EL TOTAL DE INGRESOS","")</f>
        <v/>
      </c>
    </row>
    <row r="85" spans="10:10" x14ac:dyDescent="0.25">
      <c r="J85" s="105" t="str">
        <f>IF(D74&lt;&gt;'ETCA-II-01'!C44,"ERROR!!!!! EL MONTO NO COINCIDE CON LO REPORTADO EN EL FORMATO ETCA-II-01 EN EL TOTAL DE INGRESOS","")</f>
        <v/>
      </c>
    </row>
    <row r="86" spans="10:10" x14ac:dyDescent="0.25">
      <c r="J86" s="105" t="str">
        <f>IF(E74&lt;&gt;'ETCA-II-01'!D44,"ERROR!!!!! EL MONTO NO COINCIDE CON LO REPORTADO EN EL FORMATO ETCA-II-01 EN EL TOTAL DE INGRESOS","")</f>
        <v/>
      </c>
    </row>
    <row r="87" spans="10:10" x14ac:dyDescent="0.25">
      <c r="J87" s="105" t="str">
        <f>IF(F74&lt;&gt;'ETCA-II-01'!E44,"ERROR!!!!! EL MONTO NO COINCIDE CON LO REPORTADO EN EL FORMATO ETCA-II-01 EN EL TOTAL DE INGRESOS","")</f>
        <v>ERROR!!!!! EL MONTO NO COINCIDE CON LO REPORTADO EN EL FORMATO ETCA-II-01 EN EL TOTAL DE INGRESOS</v>
      </c>
    </row>
    <row r="88" spans="10:10" x14ac:dyDescent="0.25">
      <c r="J88" s="105" t="str">
        <f>IF(G74&lt;&gt;'ETCA-II-01'!F44,"ERROR!!!!! EL MONTO NO COINCIDE CON LO REPORTADO EN EL FORMATO ETCA-II-01 EN EL TOTAL DE INGRESOS","")</f>
        <v/>
      </c>
    </row>
    <row r="89" spans="10:10" x14ac:dyDescent="0.25">
      <c r="J89" s="105" t="str">
        <f>IF(H74&lt;&gt;'ETCA-II-01'!G44,"ERROR!!!!! EL MONTO NO COINCIDE CON LO REPORTADO EN EL FORMATO ETCA-II-01 EN EL TOTAL DE INGRESOS","")</f>
        <v/>
      </c>
    </row>
    <row r="90" spans="10:10" x14ac:dyDescent="0.25">
      <c r="J90" s="105" t="str">
        <f>IF(I74&lt;&gt;'ETCA-II-01'!H44,"ERROR!!!!! EL MONTO NO COINCIDE CON LO REPORTADO EN EL FORMATO ETCA-II-01 EN EL TOTAL DE INGRESOS","")</f>
        <v>ERROR!!!!! EL MONTO NO COINCIDE CON LO REPORTADO EN EL FORMATO ETCA-II-01 EN EL TOTAL DE INGRESOS</v>
      </c>
    </row>
  </sheetData>
  <sheetProtection password="C115" sheet="1" scenarios="1" formatColumns="0" formatRows="0" insertHyperlinks="0"/>
  <mergeCells count="62">
    <mergeCell ref="A7:C7"/>
    <mergeCell ref="D6:D7"/>
    <mergeCell ref="E6:E7"/>
    <mergeCell ref="F6:F7"/>
    <mergeCell ref="G6:G7"/>
    <mergeCell ref="H6:H7"/>
    <mergeCell ref="B12:C12"/>
    <mergeCell ref="B13:C13"/>
    <mergeCell ref="A4:I4"/>
    <mergeCell ref="A3:I3"/>
    <mergeCell ref="A2:I2"/>
    <mergeCell ref="A1:I1"/>
    <mergeCell ref="A5:C5"/>
    <mergeCell ref="D5:H5"/>
    <mergeCell ref="I5:I7"/>
    <mergeCell ref="A6:C6"/>
    <mergeCell ref="A8:C8"/>
    <mergeCell ref="B16:C16"/>
    <mergeCell ref="A17:A18"/>
    <mergeCell ref="B17:C17"/>
    <mergeCell ref="B18:C18"/>
    <mergeCell ref="B15:C15"/>
    <mergeCell ref="B14:C14"/>
    <mergeCell ref="A9:C9"/>
    <mergeCell ref="B10:C10"/>
    <mergeCell ref="B11:C11"/>
    <mergeCell ref="D17:D18"/>
    <mergeCell ref="E17:E18"/>
    <mergeCell ref="G43:G45"/>
    <mergeCell ref="H43:H45"/>
    <mergeCell ref="I43:I45"/>
    <mergeCell ref="B30:C30"/>
    <mergeCell ref="B36:C36"/>
    <mergeCell ref="F17:F18"/>
    <mergeCell ref="E43:E45"/>
    <mergeCell ref="F43:F45"/>
    <mergeCell ref="G17:G18"/>
    <mergeCell ref="H17:H18"/>
    <mergeCell ref="I17:I18"/>
    <mergeCell ref="A71:C71"/>
    <mergeCell ref="B72:C72"/>
    <mergeCell ref="A46:C46"/>
    <mergeCell ref="B37:C37"/>
    <mergeCell ref="B39:C39"/>
    <mergeCell ref="D43:D45"/>
    <mergeCell ref="B73:C73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B80:C80"/>
    <mergeCell ref="A74:C74"/>
    <mergeCell ref="B75:C75"/>
    <mergeCell ref="B76:C76"/>
    <mergeCell ref="B77:C77"/>
    <mergeCell ref="B78:C78"/>
    <mergeCell ref="B79:C79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607F-BA49-43AB-97E4-B08C3D4B0915}">
  <sheetPr>
    <tabColor theme="0" tint="-0.14999847407452621"/>
    <pageSetUpPr fitToPage="1"/>
  </sheetPr>
  <dimension ref="A1:E26"/>
  <sheetViews>
    <sheetView view="pageBreakPreview" zoomScale="130" zoomScaleNormal="100" zoomScaleSheetLayoutView="130" workbookViewId="0">
      <selection activeCell="S24" sqref="S24"/>
    </sheetView>
  </sheetViews>
  <sheetFormatPr baseColWidth="10" defaultColWidth="11.28515625" defaultRowHeight="16.5" x14ac:dyDescent="0.25"/>
  <cols>
    <col min="1" max="1" width="1.28515625" style="1" customWidth="1"/>
    <col min="2" max="2" width="43.85546875" style="1" customWidth="1"/>
    <col min="3" max="4" width="25.7109375" style="1" customWidth="1"/>
    <col min="5" max="5" width="62" style="78" customWidth="1"/>
    <col min="6" max="16384" width="11.28515625" style="1"/>
  </cols>
  <sheetData>
    <row r="1" spans="1:5" x14ac:dyDescent="0.25">
      <c r="A1" s="104" t="str">
        <f>'[1]ETCA-I-01'!A1:G1</f>
        <v xml:space="preserve">Comision Estatal del Agua  </v>
      </c>
      <c r="B1" s="104"/>
      <c r="C1" s="104"/>
      <c r="D1" s="104"/>
    </row>
    <row r="2" spans="1:5" s="102" customFormat="1" ht="15.75" x14ac:dyDescent="0.25">
      <c r="A2" s="104" t="s">
        <v>129</v>
      </c>
      <c r="B2" s="104"/>
      <c r="C2" s="104"/>
      <c r="D2" s="104"/>
      <c r="E2" s="226"/>
    </row>
    <row r="3" spans="1:5" s="102" customFormat="1" x14ac:dyDescent="0.25">
      <c r="A3" s="103" t="str">
        <f>'[1]ETCA-I-01'!A3:G3</f>
        <v>Al 31 de Marzo de 2020</v>
      </c>
      <c r="B3" s="103"/>
      <c r="C3" s="103"/>
      <c r="D3" s="103"/>
      <c r="E3" s="225"/>
    </row>
    <row r="4" spans="1:5" s="26" customFormat="1" ht="17.25" thickBot="1" x14ac:dyDescent="0.3">
      <c r="A4" s="101"/>
      <c r="B4" s="100" t="s">
        <v>128</v>
      </c>
      <c r="C4" s="100"/>
      <c r="D4" s="224"/>
      <c r="E4" s="223"/>
    </row>
    <row r="5" spans="1:5" s="219" customFormat="1" ht="27" customHeight="1" thickBot="1" x14ac:dyDescent="0.3">
      <c r="A5" s="222" t="s">
        <v>127</v>
      </c>
      <c r="B5" s="221"/>
      <c r="C5" s="220"/>
      <c r="D5" s="177">
        <f>'ETCA-II-01'!F19</f>
        <v>104967391.96000001</v>
      </c>
      <c r="E5" s="176" t="str">
        <f>IF(D5&lt;&gt;'ETCA-II-01'!F44,"ERROR!!!!! EL MONTO NO COINCIDE CON LO REPORTADO EN EL FORMATO ETCA-II-01 EN EL TOTAL DEVENGADO DEL ANALÍTICO DE INGRESOS","")</f>
        <v/>
      </c>
    </row>
    <row r="6" spans="1:5" s="209" customFormat="1" ht="9.75" customHeight="1" x14ac:dyDescent="0.25">
      <c r="A6" s="218"/>
      <c r="B6" s="217"/>
      <c r="C6" s="216"/>
      <c r="D6" s="215"/>
      <c r="E6" s="214"/>
    </row>
    <row r="7" spans="1:5" s="209" customFormat="1" ht="17.25" customHeight="1" thickBot="1" x14ac:dyDescent="0.3">
      <c r="A7" s="213"/>
      <c r="B7" s="212"/>
      <c r="C7" s="211"/>
      <c r="D7" s="210"/>
      <c r="E7" s="176"/>
    </row>
    <row r="8" spans="1:5" ht="20.100000000000001" customHeight="1" thickBot="1" x14ac:dyDescent="0.3">
      <c r="A8" s="193" t="s">
        <v>126</v>
      </c>
      <c r="B8" s="192"/>
      <c r="C8" s="191"/>
      <c r="D8" s="190">
        <f>SUM(C9:C14)</f>
        <v>0</v>
      </c>
      <c r="E8" s="176"/>
    </row>
    <row r="9" spans="1:5" ht="20.100000000000001" customHeight="1" x14ac:dyDescent="0.2">
      <c r="A9" s="208"/>
      <c r="B9" s="189" t="s">
        <v>125</v>
      </c>
      <c r="C9" s="207"/>
      <c r="D9" s="181"/>
      <c r="E9" s="206" t="str">
        <f>IF(C9&lt;&gt;'[1]ETCA-I-03'!C20,"ERROR!!!, NO COINCIDEN LOS MONTOS CON LO REPORTADO EN EL FORMATO ETCA-I-03","")</f>
        <v/>
      </c>
    </row>
    <row r="10" spans="1:5" ht="20.100000000000001" customHeight="1" x14ac:dyDescent="0.2">
      <c r="A10" s="208"/>
      <c r="B10" s="188" t="s">
        <v>124</v>
      </c>
      <c r="C10" s="207"/>
      <c r="D10" s="181"/>
      <c r="E10" s="206"/>
    </row>
    <row r="11" spans="1:5" ht="33" customHeight="1" x14ac:dyDescent="0.2">
      <c r="A11" s="208"/>
      <c r="B11" s="188" t="s">
        <v>123</v>
      </c>
      <c r="C11" s="207"/>
      <c r="D11" s="181"/>
      <c r="E11" s="206" t="str">
        <f>IF(C11&lt;&gt;'[1]ETCA-I-03'!C21,"ERROR!!!, NO COINCIDEN LOS MONTOS CON LO REPORTADO EN EL FORMATO ETCA-I-03","")</f>
        <v/>
      </c>
    </row>
    <row r="12" spans="1:5" ht="20.100000000000001" customHeight="1" x14ac:dyDescent="0.2">
      <c r="A12" s="184"/>
      <c r="B12" s="188" t="s">
        <v>122</v>
      </c>
      <c r="C12" s="207"/>
      <c r="D12" s="181"/>
      <c r="E12" s="206" t="str">
        <f>IF(C12&lt;&gt;'[1]ETCA-I-03'!C22,"ERROR!!!, NO COINCIDEN LOS MONTOS CON LO REPORTADO EN EL FORMATO ETCA-I-03","")</f>
        <v/>
      </c>
    </row>
    <row r="13" spans="1:5" ht="20.100000000000001" customHeight="1" x14ac:dyDescent="0.2">
      <c r="A13" s="184"/>
      <c r="B13" s="188" t="s">
        <v>121</v>
      </c>
      <c r="C13" s="207"/>
      <c r="D13" s="181"/>
      <c r="E13" s="206"/>
    </row>
    <row r="14" spans="1:5" ht="24.75" customHeight="1" thickBot="1" x14ac:dyDescent="0.3">
      <c r="A14" s="205" t="s">
        <v>120</v>
      </c>
      <c r="B14" s="204"/>
      <c r="C14" s="203">
        <v>0</v>
      </c>
      <c r="D14" s="202"/>
      <c r="E14" s="176"/>
    </row>
    <row r="15" spans="1:5" ht="7.5" customHeight="1" x14ac:dyDescent="0.25">
      <c r="A15" s="201"/>
      <c r="B15" s="200"/>
      <c r="C15" s="199"/>
      <c r="D15" s="198"/>
      <c r="E15" s="176"/>
    </row>
    <row r="16" spans="1:5" ht="20.100000000000001" customHeight="1" thickBot="1" x14ac:dyDescent="0.3">
      <c r="A16" s="197"/>
      <c r="B16" s="196"/>
      <c r="C16" s="195"/>
      <c r="D16" s="194"/>
      <c r="E16" s="176"/>
    </row>
    <row r="17" spans="1:5" ht="20.100000000000001" customHeight="1" thickBot="1" x14ac:dyDescent="0.3">
      <c r="A17" s="193" t="s">
        <v>119</v>
      </c>
      <c r="B17" s="192"/>
      <c r="C17" s="191"/>
      <c r="D17" s="190">
        <f>SUM(C18:C21)</f>
        <v>0</v>
      </c>
      <c r="E17" s="176"/>
    </row>
    <row r="18" spans="1:5" ht="20.100000000000001" customHeight="1" x14ac:dyDescent="0.25">
      <c r="A18" s="184"/>
      <c r="B18" s="189" t="s">
        <v>118</v>
      </c>
      <c r="C18" s="185"/>
      <c r="D18" s="181"/>
      <c r="E18" s="176"/>
    </row>
    <row r="19" spans="1:5" ht="20.100000000000001" customHeight="1" x14ac:dyDescent="0.25">
      <c r="A19" s="184"/>
      <c r="B19" s="188" t="s">
        <v>7</v>
      </c>
      <c r="C19" s="185"/>
      <c r="D19" s="181"/>
      <c r="E19" s="176"/>
    </row>
    <row r="20" spans="1:5" ht="20.100000000000001" customHeight="1" x14ac:dyDescent="0.25">
      <c r="A20" s="187" t="s">
        <v>117</v>
      </c>
      <c r="B20" s="186"/>
      <c r="C20" s="185">
        <v>0</v>
      </c>
      <c r="D20" s="181"/>
      <c r="E20" s="176"/>
    </row>
    <row r="21" spans="1:5" ht="20.100000000000001" customHeight="1" thickBot="1" x14ac:dyDescent="0.3">
      <c r="A21" s="184"/>
      <c r="B21" s="183"/>
      <c r="C21" s="182"/>
      <c r="D21" s="181"/>
      <c r="E21" s="176"/>
    </row>
    <row r="22" spans="1:5" ht="26.25" customHeight="1" thickBot="1" x14ac:dyDescent="0.3">
      <c r="A22" s="180" t="s">
        <v>116</v>
      </c>
      <c r="B22" s="179"/>
      <c r="C22" s="178"/>
      <c r="D22" s="177">
        <f>D5+D8-D17</f>
        <v>104967391.96000001</v>
      </c>
      <c r="E22" s="176" t="str">
        <f>IF(D22&lt;&gt;'[1]ETCA-I-03'!C24,"ERROR!!!!! EL MONTO NO COINCIDE CON LO REPORTADO EN EL FORMATO ETCA-I-03 EN EL TOTAL DE INGRESOS Y OTROS BENEFICIOS","")</f>
        <v/>
      </c>
    </row>
    <row r="25" spans="1:5" s="173" customFormat="1" ht="13.5" x14ac:dyDescent="0.25">
      <c r="B25" s="175" t="s">
        <v>115</v>
      </c>
      <c r="C25" s="175"/>
      <c r="D25" s="175"/>
      <c r="E25" s="174"/>
    </row>
    <row r="26" spans="1:5" s="173" customFormat="1" ht="13.5" x14ac:dyDescent="0.25">
      <c r="B26" s="175" t="s">
        <v>114</v>
      </c>
      <c r="C26" s="175"/>
      <c r="D26" s="175"/>
      <c r="E26" s="174"/>
    </row>
  </sheetData>
  <sheetProtection password="C195" sheet="1" scenarios="1" insertHyperlinks="0"/>
  <mergeCells count="5">
    <mergeCell ref="A5:B5"/>
    <mergeCell ref="A1:D1"/>
    <mergeCell ref="A2:D2"/>
    <mergeCell ref="A3:D3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70C2-2DFF-4A06-BDC0-64C6E812A8DB}">
  <sheetPr>
    <tabColor theme="0" tint="-0.14999847407452621"/>
  </sheetPr>
  <dimension ref="A1:G90"/>
  <sheetViews>
    <sheetView view="pageBreakPreview" zoomScale="98" zoomScaleNormal="100" zoomScaleSheetLayoutView="98" workbookViewId="0">
      <selection activeCell="S24" sqref="S24"/>
    </sheetView>
  </sheetViews>
  <sheetFormatPr baseColWidth="10" defaultRowHeight="15" x14ac:dyDescent="0.25"/>
  <cols>
    <col min="1" max="1" width="49.85546875" customWidth="1"/>
    <col min="2" max="2" width="13.7109375" customWidth="1"/>
    <col min="3" max="3" width="15.42578125" customWidth="1"/>
    <col min="4" max="7" width="13.7109375" customWidth="1"/>
  </cols>
  <sheetData>
    <row r="1" spans="1:7" ht="15.75" x14ac:dyDescent="0.25">
      <c r="A1" s="104" t="str">
        <f>'[1]ETCA-I-01'!A1:G1</f>
        <v xml:space="preserve">Comision Estatal del Agua  </v>
      </c>
      <c r="B1" s="104"/>
      <c r="C1" s="104"/>
      <c r="D1" s="104"/>
      <c r="E1" s="104"/>
      <c r="F1" s="104"/>
      <c r="G1" s="104"/>
    </row>
    <row r="2" spans="1:7" ht="15.75" x14ac:dyDescent="0.25">
      <c r="A2" s="104" t="s">
        <v>213</v>
      </c>
      <c r="B2" s="104"/>
      <c r="C2" s="104"/>
      <c r="D2" s="104"/>
      <c r="E2" s="104"/>
      <c r="F2" s="104"/>
      <c r="G2" s="104"/>
    </row>
    <row r="3" spans="1:7" ht="15.75" x14ac:dyDescent="0.25">
      <c r="A3" s="104" t="s">
        <v>212</v>
      </c>
      <c r="B3" s="104"/>
      <c r="C3" s="104"/>
      <c r="D3" s="104"/>
      <c r="E3" s="104"/>
      <c r="F3" s="104"/>
      <c r="G3" s="104"/>
    </row>
    <row r="4" spans="1:7" ht="16.5" x14ac:dyDescent="0.25">
      <c r="A4" s="103" t="str">
        <f>'[1]ETCA-I-03'!A3:D3</f>
        <v>Del 01 de Enero al 31 de Marzo de 2020</v>
      </c>
      <c r="B4" s="103"/>
      <c r="C4" s="103"/>
      <c r="D4" s="103"/>
      <c r="E4" s="103"/>
      <c r="F4" s="103"/>
      <c r="G4" s="103"/>
    </row>
    <row r="5" spans="1:7" ht="17.25" thickBot="1" x14ac:dyDescent="0.3">
      <c r="A5" s="252" t="s">
        <v>211</v>
      </c>
      <c r="B5" s="252"/>
      <c r="C5" s="252"/>
      <c r="D5" s="252"/>
      <c r="E5" s="252"/>
      <c r="F5" s="224"/>
      <c r="G5" s="26"/>
    </row>
    <row r="6" spans="1:7" ht="38.25" x14ac:dyDescent="0.25">
      <c r="A6" s="251" t="s">
        <v>210</v>
      </c>
      <c r="B6" s="250" t="s">
        <v>209</v>
      </c>
      <c r="C6" s="250" t="s">
        <v>109</v>
      </c>
      <c r="D6" s="249" t="s">
        <v>208</v>
      </c>
      <c r="E6" s="248" t="s">
        <v>207</v>
      </c>
      <c r="F6" s="248" t="s">
        <v>206</v>
      </c>
      <c r="G6" s="247" t="s">
        <v>205</v>
      </c>
    </row>
    <row r="7" spans="1:7" ht="15.75" thickBot="1" x14ac:dyDescent="0.3">
      <c r="A7" s="246"/>
      <c r="B7" s="245" t="s">
        <v>26</v>
      </c>
      <c r="C7" s="245" t="s">
        <v>25</v>
      </c>
      <c r="D7" s="244" t="s">
        <v>204</v>
      </c>
      <c r="E7" s="243" t="s">
        <v>23</v>
      </c>
      <c r="F7" s="243" t="s">
        <v>22</v>
      </c>
      <c r="G7" s="242" t="s">
        <v>203</v>
      </c>
    </row>
    <row r="8" spans="1:7" x14ac:dyDescent="0.25">
      <c r="A8" s="241" t="s">
        <v>202</v>
      </c>
      <c r="B8" s="238">
        <f>SUM(B9:B15)</f>
        <v>204443147.32279521</v>
      </c>
      <c r="C8" s="238">
        <f>SUM(C9:C15)</f>
        <v>-632242.46</v>
      </c>
      <c r="D8" s="238">
        <f>B8+C8</f>
        <v>203810904.8627952</v>
      </c>
      <c r="E8" s="238">
        <f>SUM(E9:E15)</f>
        <v>53838907.320000008</v>
      </c>
      <c r="F8" s="238">
        <f>SUM(F9:F15)</f>
        <v>48389236.329999998</v>
      </c>
      <c r="G8" s="236">
        <f>D8-E8</f>
        <v>149971997.54279518</v>
      </c>
    </row>
    <row r="9" spans="1:7" x14ac:dyDescent="0.25">
      <c r="A9" s="239" t="s">
        <v>201</v>
      </c>
      <c r="B9" s="237">
        <v>115843503.13592325</v>
      </c>
      <c r="C9" s="237">
        <v>-834328.46</v>
      </c>
      <c r="D9" s="238">
        <f>B9+C9</f>
        <v>115009174.67592326</v>
      </c>
      <c r="E9" s="237">
        <v>29367767.989999998</v>
      </c>
      <c r="F9" s="237">
        <v>25772782.050000001</v>
      </c>
      <c r="G9" s="236">
        <f>D9-E9</f>
        <v>85641406.685923263</v>
      </c>
    </row>
    <row r="10" spans="1:7" x14ac:dyDescent="0.25">
      <c r="A10" s="239" t="s">
        <v>200</v>
      </c>
      <c r="B10" s="237">
        <v>1883200.3508860434</v>
      </c>
      <c r="C10" s="237">
        <v>0</v>
      </c>
      <c r="D10" s="238">
        <f>B10+C10</f>
        <v>1883200.3508860434</v>
      </c>
      <c r="E10" s="237">
        <v>410725.17000000004</v>
      </c>
      <c r="F10" s="237">
        <v>392858.18</v>
      </c>
      <c r="G10" s="236">
        <f>D10-E10</f>
        <v>1472475.1808860432</v>
      </c>
    </row>
    <row r="11" spans="1:7" x14ac:dyDescent="0.25">
      <c r="A11" s="239" t="s">
        <v>199</v>
      </c>
      <c r="B11" s="237">
        <v>10262941.40592527</v>
      </c>
      <c r="C11" s="237">
        <v>92086</v>
      </c>
      <c r="D11" s="238">
        <f>B11+C11</f>
        <v>10355027.40592527</v>
      </c>
      <c r="E11" s="237">
        <v>2578247.58</v>
      </c>
      <c r="F11" s="237">
        <v>2316590.15</v>
      </c>
      <c r="G11" s="236">
        <f>D11-E11</f>
        <v>7776779.8259252701</v>
      </c>
    </row>
    <row r="12" spans="1:7" x14ac:dyDescent="0.25">
      <c r="A12" s="239" t="s">
        <v>198</v>
      </c>
      <c r="B12" s="237">
        <v>39796179.374640383</v>
      </c>
      <c r="C12" s="237">
        <v>0</v>
      </c>
      <c r="D12" s="238">
        <f>B12+C12</f>
        <v>39796179.374640383</v>
      </c>
      <c r="E12" s="237">
        <v>11827622.16</v>
      </c>
      <c r="F12" s="237">
        <v>10392788.84</v>
      </c>
      <c r="G12" s="236">
        <f>D12-E12</f>
        <v>27968557.214640383</v>
      </c>
    </row>
    <row r="13" spans="1:7" x14ac:dyDescent="0.25">
      <c r="A13" s="239" t="s">
        <v>197</v>
      </c>
      <c r="B13" s="237">
        <v>35786324.26935032</v>
      </c>
      <c r="C13" s="237">
        <v>110000</v>
      </c>
      <c r="D13" s="238">
        <f>B13+C13</f>
        <v>35896324.26935032</v>
      </c>
      <c r="E13" s="237">
        <v>9482585.9900000002</v>
      </c>
      <c r="F13" s="237">
        <v>9342258.6800000016</v>
      </c>
      <c r="G13" s="236">
        <f>D13-E13</f>
        <v>26413738.279350318</v>
      </c>
    </row>
    <row r="14" spans="1:7" x14ac:dyDescent="0.25">
      <c r="A14" s="239" t="s">
        <v>196</v>
      </c>
      <c r="B14" s="237"/>
      <c r="C14" s="237"/>
      <c r="D14" s="238">
        <f>B14+C14</f>
        <v>0</v>
      </c>
      <c r="E14" s="237"/>
      <c r="F14" s="237"/>
      <c r="G14" s="236">
        <f>D14-E14</f>
        <v>0</v>
      </c>
    </row>
    <row r="15" spans="1:7" x14ac:dyDescent="0.25">
      <c r="A15" s="239" t="s">
        <v>195</v>
      </c>
      <c r="B15" s="237">
        <v>870998.78606991796</v>
      </c>
      <c r="C15" s="237">
        <v>0</v>
      </c>
      <c r="D15" s="238">
        <f>B15+C15</f>
        <v>870998.78606991796</v>
      </c>
      <c r="E15" s="237">
        <v>171958.43</v>
      </c>
      <c r="F15" s="237">
        <v>171958.43</v>
      </c>
      <c r="G15" s="236">
        <f>D15-E15</f>
        <v>699040.35606991802</v>
      </c>
    </row>
    <row r="16" spans="1:7" x14ac:dyDescent="0.25">
      <c r="A16" s="240" t="s">
        <v>194</v>
      </c>
      <c r="B16" s="238">
        <f>SUM(B17:B25)</f>
        <v>29390389.214226238</v>
      </c>
      <c r="C16" s="238">
        <f>SUM(C17:C25)</f>
        <v>2116504.3199999998</v>
      </c>
      <c r="D16" s="238">
        <f>B16+C16</f>
        <v>31506893.534226239</v>
      </c>
      <c r="E16" s="238">
        <f>SUM(E17:E25)</f>
        <v>3963082.95</v>
      </c>
      <c r="F16" s="238">
        <f>SUM(F17:F25)</f>
        <v>2858849.4899999998</v>
      </c>
      <c r="G16" s="236">
        <f>D16-E16</f>
        <v>27543810.584226239</v>
      </c>
    </row>
    <row r="17" spans="1:7" ht="25.5" x14ac:dyDescent="0.25">
      <c r="A17" s="239" t="s">
        <v>193</v>
      </c>
      <c r="B17" s="237">
        <v>2348248.1320336713</v>
      </c>
      <c r="C17" s="237">
        <v>0</v>
      </c>
      <c r="D17" s="238">
        <f>B17+C17</f>
        <v>2348248.1320336713</v>
      </c>
      <c r="E17" s="237">
        <v>243587.32000000004</v>
      </c>
      <c r="F17" s="237">
        <v>219616.99000000002</v>
      </c>
      <c r="G17" s="236">
        <f>D17-E17</f>
        <v>2104660.8120336714</v>
      </c>
    </row>
    <row r="18" spans="1:7" x14ac:dyDescent="0.25">
      <c r="A18" s="239" t="s">
        <v>192</v>
      </c>
      <c r="B18" s="237">
        <v>495539.67176440824</v>
      </c>
      <c r="C18" s="237">
        <v>0</v>
      </c>
      <c r="D18" s="238">
        <f>B18+C18</f>
        <v>495539.67176440824</v>
      </c>
      <c r="E18" s="237">
        <v>130334.39</v>
      </c>
      <c r="F18" s="237">
        <v>85162.79</v>
      </c>
      <c r="G18" s="236">
        <f>D18-E18</f>
        <v>365205.28176440822</v>
      </c>
    </row>
    <row r="19" spans="1:7" x14ac:dyDescent="0.25">
      <c r="A19" s="239" t="s">
        <v>191</v>
      </c>
      <c r="B19" s="237">
        <v>6451276.4820699999</v>
      </c>
      <c r="C19" s="237">
        <v>1317063.78</v>
      </c>
      <c r="D19" s="238">
        <f>B19+C19</f>
        <v>7768340.2620700002</v>
      </c>
      <c r="E19" s="237">
        <v>350257.08</v>
      </c>
      <c r="F19" s="237">
        <v>288778.07999999996</v>
      </c>
      <c r="G19" s="236">
        <f>D19-E19</f>
        <v>7418083.1820700001</v>
      </c>
    </row>
    <row r="20" spans="1:7" x14ac:dyDescent="0.25">
      <c r="A20" s="239" t="s">
        <v>190</v>
      </c>
      <c r="B20" s="237">
        <v>647543.79660407268</v>
      </c>
      <c r="C20" s="237">
        <v>1500</v>
      </c>
      <c r="D20" s="238">
        <f>B20+C20</f>
        <v>649043.79660407268</v>
      </c>
      <c r="E20" s="237">
        <v>80328.600000000006</v>
      </c>
      <c r="F20" s="237">
        <v>79483.64</v>
      </c>
      <c r="G20" s="236">
        <f>D20-E20</f>
        <v>568715.1966040727</v>
      </c>
    </row>
    <row r="21" spans="1:7" x14ac:dyDescent="0.25">
      <c r="A21" s="239" t="s">
        <v>189</v>
      </c>
      <c r="B21" s="237">
        <v>7668652.7501789946</v>
      </c>
      <c r="C21" s="237">
        <v>0</v>
      </c>
      <c r="D21" s="238">
        <f>B21+C21</f>
        <v>7668652.7501789946</v>
      </c>
      <c r="E21" s="237">
        <v>13188.62</v>
      </c>
      <c r="F21" s="237">
        <v>9457.3799999999992</v>
      </c>
      <c r="G21" s="236">
        <f>D21-E21</f>
        <v>7655464.1301789945</v>
      </c>
    </row>
    <row r="22" spans="1:7" x14ac:dyDescent="0.25">
      <c r="A22" s="239" t="s">
        <v>188</v>
      </c>
      <c r="B22" s="237">
        <v>7323123.8132909173</v>
      </c>
      <c r="C22" s="237">
        <v>196484.22</v>
      </c>
      <c r="D22" s="238">
        <f>B22+C22</f>
        <v>7519608.0332909171</v>
      </c>
      <c r="E22" s="237">
        <v>2573659.7000000002</v>
      </c>
      <c r="F22" s="237">
        <v>1762729.69</v>
      </c>
      <c r="G22" s="236">
        <f>D22-E22</f>
        <v>4945948.3332909169</v>
      </c>
    </row>
    <row r="23" spans="1:7" x14ac:dyDescent="0.25">
      <c r="A23" s="239" t="s">
        <v>187</v>
      </c>
      <c r="B23" s="237">
        <v>2068168.613606584</v>
      </c>
      <c r="C23" s="237">
        <v>430567.76</v>
      </c>
      <c r="D23" s="238">
        <f>B23+C23</f>
        <v>2498736.373606584</v>
      </c>
      <c r="E23" s="237">
        <v>20739.95</v>
      </c>
      <c r="F23" s="237">
        <v>15458.369999999999</v>
      </c>
      <c r="G23" s="236">
        <f>D23-E23</f>
        <v>2477996.4236065838</v>
      </c>
    </row>
    <row r="24" spans="1:7" x14ac:dyDescent="0.25">
      <c r="A24" s="239" t="s">
        <v>186</v>
      </c>
      <c r="B24" s="237"/>
      <c r="C24" s="237"/>
      <c r="D24" s="238">
        <f>B24+C24</f>
        <v>0</v>
      </c>
      <c r="E24" s="237"/>
      <c r="F24" s="237"/>
      <c r="G24" s="236">
        <f>D24-E24</f>
        <v>0</v>
      </c>
    </row>
    <row r="25" spans="1:7" x14ac:dyDescent="0.25">
      <c r="A25" s="239" t="s">
        <v>185</v>
      </c>
      <c r="B25" s="237">
        <v>2387835.9546775939</v>
      </c>
      <c r="C25" s="237">
        <v>170888.56</v>
      </c>
      <c r="D25" s="238">
        <f>B25+C25</f>
        <v>2558724.514677594</v>
      </c>
      <c r="E25" s="237">
        <v>550987.29</v>
      </c>
      <c r="F25" s="237">
        <v>398162.55</v>
      </c>
      <c r="G25" s="236">
        <f>D25-E25</f>
        <v>2007737.2246775939</v>
      </c>
    </row>
    <row r="26" spans="1:7" x14ac:dyDescent="0.25">
      <c r="A26" s="240" t="s">
        <v>184</v>
      </c>
      <c r="B26" s="238">
        <f>SUM(B27:B35)</f>
        <v>174368088.12890899</v>
      </c>
      <c r="C26" s="238">
        <f>SUM(C27:C35)</f>
        <v>5746870.6600000001</v>
      </c>
      <c r="D26" s="238">
        <f>B26+C26</f>
        <v>180114958.78890899</v>
      </c>
      <c r="E26" s="238">
        <f>SUM(E27:E35)</f>
        <v>51181337.519999996</v>
      </c>
      <c r="F26" s="238">
        <f>SUM(F27:F35)</f>
        <v>40214326.640000001</v>
      </c>
      <c r="G26" s="236">
        <f>D26-E26</f>
        <v>128933621.26890899</v>
      </c>
    </row>
    <row r="27" spans="1:7" x14ac:dyDescent="0.25">
      <c r="A27" s="239" t="s">
        <v>183</v>
      </c>
      <c r="B27" s="237">
        <v>111236399.01198274</v>
      </c>
      <c r="C27" s="237">
        <v>-9353481</v>
      </c>
      <c r="D27" s="238">
        <f>B27+C27</f>
        <v>101882918.01198274</v>
      </c>
      <c r="E27" s="237">
        <v>26914223.329999998</v>
      </c>
      <c r="F27" s="237">
        <v>22845897.449999996</v>
      </c>
      <c r="G27" s="236">
        <f>D27-E27</f>
        <v>74968694.681982741</v>
      </c>
    </row>
    <row r="28" spans="1:7" x14ac:dyDescent="0.25">
      <c r="A28" s="239" t="s">
        <v>182</v>
      </c>
      <c r="B28" s="237">
        <v>5424645.4848321658</v>
      </c>
      <c r="C28" s="237">
        <v>278795.01</v>
      </c>
      <c r="D28" s="238">
        <f>B28+C28</f>
        <v>5703440.4948321655</v>
      </c>
      <c r="E28" s="237">
        <v>1269285.08</v>
      </c>
      <c r="F28" s="237">
        <v>688316.74</v>
      </c>
      <c r="G28" s="236">
        <f>D28-E28</f>
        <v>4434155.4148321655</v>
      </c>
    </row>
    <row r="29" spans="1:7" x14ac:dyDescent="0.25">
      <c r="A29" s="239" t="s">
        <v>181</v>
      </c>
      <c r="B29" s="237">
        <v>15544134.88463385</v>
      </c>
      <c r="C29" s="237">
        <v>-21524.03</v>
      </c>
      <c r="D29" s="238">
        <f>B29+C29</f>
        <v>15522610.854633851</v>
      </c>
      <c r="E29" s="237">
        <v>1466909.23</v>
      </c>
      <c r="F29" s="237">
        <v>768985.51</v>
      </c>
      <c r="G29" s="236">
        <f>D29-E29</f>
        <v>14055701.624633851</v>
      </c>
    </row>
    <row r="30" spans="1:7" x14ac:dyDescent="0.25">
      <c r="A30" s="239" t="s">
        <v>180</v>
      </c>
      <c r="B30" s="237">
        <v>17119181.076834731</v>
      </c>
      <c r="C30" s="237">
        <v>1969740.83</v>
      </c>
      <c r="D30" s="238">
        <f>B30+C30</f>
        <v>19088921.906834729</v>
      </c>
      <c r="E30" s="237">
        <v>2582443.1500000004</v>
      </c>
      <c r="F30" s="237">
        <v>1445671.7399999998</v>
      </c>
      <c r="G30" s="236">
        <f>D30-E30</f>
        <v>16506478.756834729</v>
      </c>
    </row>
    <row r="31" spans="1:7" ht="25.5" x14ac:dyDescent="0.25">
      <c r="A31" s="239" t="s">
        <v>179</v>
      </c>
      <c r="B31" s="237">
        <v>8212615.9761829665</v>
      </c>
      <c r="C31" s="237">
        <v>1604230</v>
      </c>
      <c r="D31" s="238">
        <f>B31+C31</f>
        <v>9816845.9761829674</v>
      </c>
      <c r="E31" s="237">
        <v>1599980.4299999997</v>
      </c>
      <c r="F31" s="237">
        <v>1014510.8</v>
      </c>
      <c r="G31" s="236">
        <f>D31-E31</f>
        <v>8216865.5461829677</v>
      </c>
    </row>
    <row r="32" spans="1:7" x14ac:dyDescent="0.25">
      <c r="A32" s="239" t="s">
        <v>178</v>
      </c>
      <c r="B32" s="237">
        <v>1384669.3778340495</v>
      </c>
      <c r="C32" s="237">
        <v>134800</v>
      </c>
      <c r="D32" s="238">
        <f>B32+C32</f>
        <v>1519469.3778340495</v>
      </c>
      <c r="E32" s="237">
        <v>206480</v>
      </c>
      <c r="F32" s="237">
        <v>58000</v>
      </c>
      <c r="G32" s="236">
        <f>D32-E32</f>
        <v>1312989.3778340495</v>
      </c>
    </row>
    <row r="33" spans="1:7" x14ac:dyDescent="0.25">
      <c r="A33" s="239" t="s">
        <v>177</v>
      </c>
      <c r="B33" s="237">
        <v>3092396.6332266806</v>
      </c>
      <c r="C33" s="237">
        <v>40391</v>
      </c>
      <c r="D33" s="238">
        <f>B33+C33</f>
        <v>3132787.6332266806</v>
      </c>
      <c r="E33" s="237">
        <v>626371.98</v>
      </c>
      <c r="F33" s="237">
        <v>527272.54999999993</v>
      </c>
      <c r="G33" s="236">
        <f>D33-E33</f>
        <v>2506415.6532266806</v>
      </c>
    </row>
    <row r="34" spans="1:7" ht="15.75" thickBot="1" x14ac:dyDescent="0.3">
      <c r="A34" s="235" t="s">
        <v>176</v>
      </c>
      <c r="B34" s="233">
        <v>182017.4938</v>
      </c>
      <c r="C34" s="233">
        <v>9860</v>
      </c>
      <c r="D34" s="234">
        <f>B34+C34</f>
        <v>191877.4938</v>
      </c>
      <c r="E34" s="233">
        <v>9860</v>
      </c>
      <c r="F34" s="233">
        <v>9860</v>
      </c>
      <c r="G34" s="232">
        <f>D34-E34</f>
        <v>182017.4938</v>
      </c>
    </row>
    <row r="35" spans="1:7" x14ac:dyDescent="0.25">
      <c r="A35" s="239" t="s">
        <v>175</v>
      </c>
      <c r="B35" s="237">
        <v>12172028.189581791</v>
      </c>
      <c r="C35" s="237">
        <v>11084058.85</v>
      </c>
      <c r="D35" s="238">
        <f>B35+C35</f>
        <v>23256087.039581791</v>
      </c>
      <c r="E35" s="237">
        <v>16505784.32</v>
      </c>
      <c r="F35" s="237">
        <v>12855811.850000001</v>
      </c>
      <c r="G35" s="236">
        <f>D35-E35</f>
        <v>6750302.7195817903</v>
      </c>
    </row>
    <row r="36" spans="1:7" x14ac:dyDescent="0.25">
      <c r="A36" s="240" t="s">
        <v>174</v>
      </c>
      <c r="B36" s="238">
        <f>SUM(B37:B45)</f>
        <v>0</v>
      </c>
      <c r="C36" s="238">
        <f>SUM(C37:C45)</f>
        <v>2100000</v>
      </c>
      <c r="D36" s="238">
        <f>B36+C36</f>
        <v>2100000</v>
      </c>
      <c r="E36" s="238">
        <f>SUM(E37:E45)</f>
        <v>2100000</v>
      </c>
      <c r="F36" s="238">
        <f>SUM(F37:F45)</f>
        <v>2100000</v>
      </c>
      <c r="G36" s="236">
        <f>D36-E36</f>
        <v>0</v>
      </c>
    </row>
    <row r="37" spans="1:7" x14ac:dyDescent="0.25">
      <c r="A37" s="239" t="s">
        <v>173</v>
      </c>
      <c r="B37" s="237"/>
      <c r="C37" s="237"/>
      <c r="D37" s="238">
        <f>B37+C37</f>
        <v>0</v>
      </c>
      <c r="E37" s="237"/>
      <c r="F37" s="237"/>
      <c r="G37" s="236">
        <f>D37-E37</f>
        <v>0</v>
      </c>
    </row>
    <row r="38" spans="1:7" x14ac:dyDescent="0.25">
      <c r="A38" s="239" t="s">
        <v>172</v>
      </c>
      <c r="B38" s="237"/>
      <c r="C38" s="237">
        <v>2100000</v>
      </c>
      <c r="D38" s="238">
        <f>B38+C38</f>
        <v>2100000</v>
      </c>
      <c r="E38" s="237">
        <v>2100000</v>
      </c>
      <c r="F38" s="237">
        <v>2100000</v>
      </c>
      <c r="G38" s="236">
        <f>D38-E38</f>
        <v>0</v>
      </c>
    </row>
    <row r="39" spans="1:7" x14ac:dyDescent="0.25">
      <c r="A39" s="239" t="s">
        <v>171</v>
      </c>
      <c r="B39" s="237"/>
      <c r="C39" s="237"/>
      <c r="D39" s="238">
        <f>B39+C39</f>
        <v>0</v>
      </c>
      <c r="E39" s="237"/>
      <c r="F39" s="237"/>
      <c r="G39" s="236">
        <f>D39-E39</f>
        <v>0</v>
      </c>
    </row>
    <row r="40" spans="1:7" x14ac:dyDescent="0.25">
      <c r="A40" s="239" t="s">
        <v>170</v>
      </c>
      <c r="B40" s="237"/>
      <c r="C40" s="237"/>
      <c r="D40" s="238">
        <f>B40+C40</f>
        <v>0</v>
      </c>
      <c r="E40" s="237"/>
      <c r="F40" s="237"/>
      <c r="G40" s="236">
        <f>D40-E40</f>
        <v>0</v>
      </c>
    </row>
    <row r="41" spans="1:7" x14ac:dyDescent="0.25">
      <c r="A41" s="239" t="s">
        <v>169</v>
      </c>
      <c r="B41" s="237"/>
      <c r="C41" s="237"/>
      <c r="D41" s="238">
        <f>B41+C41</f>
        <v>0</v>
      </c>
      <c r="E41" s="237"/>
      <c r="F41" s="237"/>
      <c r="G41" s="236">
        <f>D41-E41</f>
        <v>0</v>
      </c>
    </row>
    <row r="42" spans="1:7" x14ac:dyDescent="0.25">
      <c r="A42" s="239" t="s">
        <v>168</v>
      </c>
      <c r="B42" s="237"/>
      <c r="C42" s="237"/>
      <c r="D42" s="238">
        <f>B42+C42</f>
        <v>0</v>
      </c>
      <c r="E42" s="237"/>
      <c r="F42" s="237"/>
      <c r="G42" s="236">
        <f>D42-E42</f>
        <v>0</v>
      </c>
    </row>
    <row r="43" spans="1:7" x14ac:dyDescent="0.25">
      <c r="A43" s="239" t="s">
        <v>167</v>
      </c>
      <c r="B43" s="237"/>
      <c r="C43" s="237"/>
      <c r="D43" s="238">
        <f>B43+C43</f>
        <v>0</v>
      </c>
      <c r="E43" s="237"/>
      <c r="F43" s="237"/>
      <c r="G43" s="236">
        <f>D43-E43</f>
        <v>0</v>
      </c>
    </row>
    <row r="44" spans="1:7" x14ac:dyDescent="0.25">
      <c r="A44" s="239" t="s">
        <v>166</v>
      </c>
      <c r="B44" s="237"/>
      <c r="C44" s="237"/>
      <c r="D44" s="238">
        <f>B44+C44</f>
        <v>0</v>
      </c>
      <c r="E44" s="237"/>
      <c r="F44" s="237"/>
      <c r="G44" s="236">
        <f>D44-E44</f>
        <v>0</v>
      </c>
    </row>
    <row r="45" spans="1:7" x14ac:dyDescent="0.25">
      <c r="A45" s="239" t="s">
        <v>165</v>
      </c>
      <c r="B45" s="237"/>
      <c r="C45" s="237"/>
      <c r="D45" s="238">
        <f>B45+C45</f>
        <v>0</v>
      </c>
      <c r="E45" s="237"/>
      <c r="F45" s="237"/>
      <c r="G45" s="236">
        <f>D45-E45</f>
        <v>0</v>
      </c>
    </row>
    <row r="46" spans="1:7" x14ac:dyDescent="0.25">
      <c r="A46" s="240" t="s">
        <v>164</v>
      </c>
      <c r="B46" s="238">
        <f>SUM(B47:B55)</f>
        <v>0</v>
      </c>
      <c r="C46" s="238">
        <f>SUM(C47:C55)</f>
        <v>465257.28</v>
      </c>
      <c r="D46" s="238">
        <f>B46+C46</f>
        <v>465257.28</v>
      </c>
      <c r="E46" s="238">
        <f>SUM(E47:E55)</f>
        <v>192869.49</v>
      </c>
      <c r="F46" s="238">
        <f>SUM(F47:F55)</f>
        <v>60000</v>
      </c>
      <c r="G46" s="236">
        <f>D46-E46</f>
        <v>272387.79000000004</v>
      </c>
    </row>
    <row r="47" spans="1:7" x14ac:dyDescent="0.25">
      <c r="A47" s="239" t="s">
        <v>163</v>
      </c>
      <c r="B47" s="237">
        <v>0</v>
      </c>
      <c r="C47" s="237"/>
      <c r="D47" s="238">
        <f>B47+C47</f>
        <v>0</v>
      </c>
      <c r="E47" s="237"/>
      <c r="F47" s="237"/>
      <c r="G47" s="236">
        <f>D47-E47</f>
        <v>0</v>
      </c>
    </row>
    <row r="48" spans="1:7" x14ac:dyDescent="0.25">
      <c r="A48" s="239" t="s">
        <v>162</v>
      </c>
      <c r="B48" s="237"/>
      <c r="C48" s="237"/>
      <c r="D48" s="238">
        <f>B48+C48</f>
        <v>0</v>
      </c>
      <c r="E48" s="237"/>
      <c r="F48" s="237"/>
      <c r="G48" s="236">
        <f>D48-E48</f>
        <v>0</v>
      </c>
    </row>
    <row r="49" spans="1:7" x14ac:dyDescent="0.25">
      <c r="A49" s="239" t="s">
        <v>161</v>
      </c>
      <c r="B49" s="237"/>
      <c r="C49" s="237"/>
      <c r="D49" s="238">
        <f>B49+C49</f>
        <v>0</v>
      </c>
      <c r="E49" s="237"/>
      <c r="F49" s="237"/>
      <c r="G49" s="236">
        <f>D49-E49</f>
        <v>0</v>
      </c>
    </row>
    <row r="50" spans="1:7" x14ac:dyDescent="0.25">
      <c r="A50" s="239" t="s">
        <v>160</v>
      </c>
      <c r="B50" s="237"/>
      <c r="C50" s="237">
        <v>272133.68</v>
      </c>
      <c r="D50" s="238">
        <f>B50+C50</f>
        <v>272133.68</v>
      </c>
      <c r="E50" s="237"/>
      <c r="F50" s="237"/>
      <c r="G50" s="236">
        <f>D50-E50</f>
        <v>272133.68</v>
      </c>
    </row>
    <row r="51" spans="1:7" x14ac:dyDescent="0.25">
      <c r="A51" s="239" t="s">
        <v>159</v>
      </c>
      <c r="B51" s="237"/>
      <c r="C51" s="237"/>
      <c r="D51" s="238">
        <f>B51+C51</f>
        <v>0</v>
      </c>
      <c r="E51" s="237"/>
      <c r="F51" s="237"/>
      <c r="G51" s="236">
        <f>D51-E51</f>
        <v>0</v>
      </c>
    </row>
    <row r="52" spans="1:7" x14ac:dyDescent="0.25">
      <c r="A52" s="239" t="s">
        <v>158</v>
      </c>
      <c r="B52" s="237"/>
      <c r="C52" s="237">
        <v>193123.6</v>
      </c>
      <c r="D52" s="238">
        <f>B52+C52</f>
        <v>193123.6</v>
      </c>
      <c r="E52" s="237">
        <v>192869.49</v>
      </c>
      <c r="F52" s="237">
        <v>60000</v>
      </c>
      <c r="G52" s="236">
        <f>D52-E52</f>
        <v>254.11000000001513</v>
      </c>
    </row>
    <row r="53" spans="1:7" x14ac:dyDescent="0.25">
      <c r="A53" s="239" t="s">
        <v>157</v>
      </c>
      <c r="B53" s="237"/>
      <c r="C53" s="237"/>
      <c r="D53" s="238">
        <f>B53+C53</f>
        <v>0</v>
      </c>
      <c r="E53" s="237"/>
      <c r="F53" s="237"/>
      <c r="G53" s="236">
        <f>D53-E53</f>
        <v>0</v>
      </c>
    </row>
    <row r="54" spans="1:7" x14ac:dyDescent="0.25">
      <c r="A54" s="239" t="s">
        <v>156</v>
      </c>
      <c r="B54" s="237"/>
      <c r="C54" s="237"/>
      <c r="D54" s="238">
        <f>B54+C54</f>
        <v>0</v>
      </c>
      <c r="E54" s="237"/>
      <c r="F54" s="237"/>
      <c r="G54" s="236">
        <f>D54-E54</f>
        <v>0</v>
      </c>
    </row>
    <row r="55" spans="1:7" x14ac:dyDescent="0.25">
      <c r="A55" s="239" t="s">
        <v>155</v>
      </c>
      <c r="B55" s="237"/>
      <c r="C55" s="237"/>
      <c r="D55" s="238">
        <f>B55+C55</f>
        <v>0</v>
      </c>
      <c r="E55" s="237"/>
      <c r="F55" s="237"/>
      <c r="G55" s="236">
        <f>D55-E55</f>
        <v>0</v>
      </c>
    </row>
    <row r="56" spans="1:7" x14ac:dyDescent="0.25">
      <c r="A56" s="240" t="s">
        <v>154</v>
      </c>
      <c r="B56" s="238">
        <f>SUM(B57:B59)</f>
        <v>166755176</v>
      </c>
      <c r="C56" s="238">
        <f>SUM(C57:C59)</f>
        <v>43640495.189999998</v>
      </c>
      <c r="D56" s="238">
        <f>B56+C56</f>
        <v>210395671.19</v>
      </c>
      <c r="E56" s="238">
        <f>SUM(E57:E59)</f>
        <v>6260918.9299999997</v>
      </c>
      <c r="F56" s="238">
        <f>SUM(F57:F59)</f>
        <v>6260918.9299999997</v>
      </c>
      <c r="G56" s="236">
        <f>D56-E56</f>
        <v>204134752.25999999</v>
      </c>
    </row>
    <row r="57" spans="1:7" x14ac:dyDescent="0.25">
      <c r="A57" s="239" t="s">
        <v>153</v>
      </c>
      <c r="B57" s="237">
        <v>166755176</v>
      </c>
      <c r="C57" s="237">
        <v>43640495.189999998</v>
      </c>
      <c r="D57" s="238">
        <f>B57+C57</f>
        <v>210395671.19</v>
      </c>
      <c r="E57" s="237">
        <v>6260918.9299999997</v>
      </c>
      <c r="F57" s="237">
        <v>6260918.9299999997</v>
      </c>
      <c r="G57" s="236">
        <f>D57-E57</f>
        <v>204134752.25999999</v>
      </c>
    </row>
    <row r="58" spans="1:7" x14ac:dyDescent="0.25">
      <c r="A58" s="239" t="s">
        <v>152</v>
      </c>
      <c r="B58" s="237"/>
      <c r="C58" s="237"/>
      <c r="D58" s="238">
        <f>B58+C58</f>
        <v>0</v>
      </c>
      <c r="E58" s="237"/>
      <c r="F58" s="237"/>
      <c r="G58" s="236">
        <f>D58-E58</f>
        <v>0</v>
      </c>
    </row>
    <row r="59" spans="1:7" x14ac:dyDescent="0.25">
      <c r="A59" s="239" t="s">
        <v>151</v>
      </c>
      <c r="B59" s="237"/>
      <c r="C59" s="237"/>
      <c r="D59" s="238">
        <f>B59+C59</f>
        <v>0</v>
      </c>
      <c r="E59" s="237"/>
      <c r="F59" s="237"/>
      <c r="G59" s="236">
        <f>D59-E59</f>
        <v>0</v>
      </c>
    </row>
    <row r="60" spans="1:7" x14ac:dyDescent="0.25">
      <c r="A60" s="240" t="s">
        <v>150</v>
      </c>
      <c r="B60" s="238">
        <f>SUM(B61:B67)</f>
        <v>48432617</v>
      </c>
      <c r="C60" s="238">
        <f>SUM(C61:C67)</f>
        <v>0</v>
      </c>
      <c r="D60" s="238">
        <f>B60+C60</f>
        <v>48432617</v>
      </c>
      <c r="E60" s="238">
        <f>SUM(E61:E67)</f>
        <v>0</v>
      </c>
      <c r="F60" s="238">
        <f>SUM(F61:F67)</f>
        <v>0</v>
      </c>
      <c r="G60" s="236">
        <f>D60-E60</f>
        <v>48432617</v>
      </c>
    </row>
    <row r="61" spans="1:7" x14ac:dyDescent="0.25">
      <c r="A61" s="239" t="s">
        <v>149</v>
      </c>
      <c r="B61" s="237"/>
      <c r="C61" s="237"/>
      <c r="D61" s="238">
        <f>B61+C61</f>
        <v>0</v>
      </c>
      <c r="E61" s="237"/>
      <c r="F61" s="237"/>
      <c r="G61" s="236">
        <f>D61-E61</f>
        <v>0</v>
      </c>
    </row>
    <row r="62" spans="1:7" ht="15.75" thickBot="1" x14ac:dyDescent="0.3">
      <c r="A62" s="235" t="s">
        <v>148</v>
      </c>
      <c r="B62" s="233"/>
      <c r="C62" s="233"/>
      <c r="D62" s="234">
        <f>B62+C62</f>
        <v>0</v>
      </c>
      <c r="E62" s="233"/>
      <c r="F62" s="233"/>
      <c r="G62" s="232">
        <f>D62-E62</f>
        <v>0</v>
      </c>
    </row>
    <row r="63" spans="1:7" x14ac:dyDescent="0.25">
      <c r="A63" s="239" t="s">
        <v>147</v>
      </c>
      <c r="B63" s="237"/>
      <c r="C63" s="237"/>
      <c r="D63" s="238">
        <f>B63+C63</f>
        <v>0</v>
      </c>
      <c r="E63" s="237"/>
      <c r="F63" s="237"/>
      <c r="G63" s="236">
        <f>D63-E63</f>
        <v>0</v>
      </c>
    </row>
    <row r="64" spans="1:7" x14ac:dyDescent="0.25">
      <c r="A64" s="239" t="s">
        <v>146</v>
      </c>
      <c r="B64" s="237"/>
      <c r="C64" s="237"/>
      <c r="D64" s="238">
        <f>B64+C64</f>
        <v>0</v>
      </c>
      <c r="E64" s="237"/>
      <c r="F64" s="237"/>
      <c r="G64" s="236">
        <f>D64-E64</f>
        <v>0</v>
      </c>
    </row>
    <row r="65" spans="1:7" x14ac:dyDescent="0.25">
      <c r="A65" s="239" t="s">
        <v>145</v>
      </c>
      <c r="B65" s="237"/>
      <c r="C65" s="237"/>
      <c r="D65" s="238">
        <f>B65+C65</f>
        <v>0</v>
      </c>
      <c r="E65" s="237"/>
      <c r="F65" s="237"/>
      <c r="G65" s="236">
        <f>D65-E65</f>
        <v>0</v>
      </c>
    </row>
    <row r="66" spans="1:7" x14ac:dyDescent="0.25">
      <c r="A66" s="239" t="s">
        <v>144</v>
      </c>
      <c r="B66" s="237"/>
      <c r="C66" s="237"/>
      <c r="D66" s="238">
        <f>B66+C66</f>
        <v>0</v>
      </c>
      <c r="E66" s="237"/>
      <c r="F66" s="237"/>
      <c r="G66" s="236">
        <f>D66-E66</f>
        <v>0</v>
      </c>
    </row>
    <row r="67" spans="1:7" x14ac:dyDescent="0.25">
      <c r="A67" s="239" t="s">
        <v>143</v>
      </c>
      <c r="B67" s="237">
        <v>48432617</v>
      </c>
      <c r="C67" s="237">
        <v>0</v>
      </c>
      <c r="D67" s="238">
        <f>B67+C67</f>
        <v>48432617</v>
      </c>
      <c r="E67" s="237">
        <v>0</v>
      </c>
      <c r="F67" s="237">
        <v>0</v>
      </c>
      <c r="G67" s="236">
        <f>D67-E67</f>
        <v>48432617</v>
      </c>
    </row>
    <row r="68" spans="1:7" x14ac:dyDescent="0.25">
      <c r="A68" s="240" t="s">
        <v>142</v>
      </c>
      <c r="B68" s="238">
        <f>SUM(B69:B71)</f>
        <v>0</v>
      </c>
      <c r="C68" s="238">
        <f>SUM(C69:C71)</f>
        <v>0</v>
      </c>
      <c r="D68" s="238">
        <f>B68+C68</f>
        <v>0</v>
      </c>
      <c r="E68" s="238">
        <f>SUM(E69:E71)</f>
        <v>0</v>
      </c>
      <c r="F68" s="238">
        <f>SUM(F69:F71)</f>
        <v>0</v>
      </c>
      <c r="G68" s="236">
        <f>D68-E68</f>
        <v>0</v>
      </c>
    </row>
    <row r="69" spans="1:7" x14ac:dyDescent="0.25">
      <c r="A69" s="239" t="s">
        <v>141</v>
      </c>
      <c r="B69" s="237"/>
      <c r="C69" s="237"/>
      <c r="D69" s="238">
        <f>B69+C69</f>
        <v>0</v>
      </c>
      <c r="E69" s="237"/>
      <c r="F69" s="237"/>
      <c r="G69" s="236">
        <f>D69-E69</f>
        <v>0</v>
      </c>
    </row>
    <row r="70" spans="1:7" x14ac:dyDescent="0.25">
      <c r="A70" s="239" t="s">
        <v>140</v>
      </c>
      <c r="B70" s="237"/>
      <c r="C70" s="237"/>
      <c r="D70" s="238">
        <f>B70+C70</f>
        <v>0</v>
      </c>
      <c r="E70" s="237"/>
      <c r="F70" s="237"/>
      <c r="G70" s="236">
        <f>D70-E70</f>
        <v>0</v>
      </c>
    </row>
    <row r="71" spans="1:7" x14ac:dyDescent="0.25">
      <c r="A71" s="239" t="s">
        <v>139</v>
      </c>
      <c r="B71" s="237"/>
      <c r="C71" s="237"/>
      <c r="D71" s="238">
        <f>B71+C71</f>
        <v>0</v>
      </c>
      <c r="E71" s="237"/>
      <c r="F71" s="237"/>
      <c r="G71" s="236">
        <f>D71-E71</f>
        <v>0</v>
      </c>
    </row>
    <row r="72" spans="1:7" x14ac:dyDescent="0.25">
      <c r="A72" s="240" t="s">
        <v>138</v>
      </c>
      <c r="B72" s="238">
        <f>SUM(B73:B79)</f>
        <v>0</v>
      </c>
      <c r="C72" s="238">
        <f>SUM(C73:C79)</f>
        <v>45857376</v>
      </c>
      <c r="D72" s="238">
        <f>B72+C72</f>
        <v>45857376</v>
      </c>
      <c r="E72" s="238">
        <f>SUM(E73:E79)</f>
        <v>45857375.909999996</v>
      </c>
      <c r="F72" s="238">
        <f>SUM(F73:F79)</f>
        <v>45699747.400000006</v>
      </c>
      <c r="G72" s="236">
        <f>D72-E72</f>
        <v>9.0000003576278687E-2</v>
      </c>
    </row>
    <row r="73" spans="1:7" x14ac:dyDescent="0.25">
      <c r="A73" s="239" t="s">
        <v>137</v>
      </c>
      <c r="B73" s="237">
        <v>0</v>
      </c>
      <c r="C73" s="237">
        <v>4658787.2699999996</v>
      </c>
      <c r="D73" s="238">
        <f>B73+C73</f>
        <v>4658787.2699999996</v>
      </c>
      <c r="E73" s="237">
        <v>4658787.2600000007</v>
      </c>
      <c r="F73" s="237">
        <v>4658787.2600000007</v>
      </c>
      <c r="G73" s="236">
        <f>D73-E73</f>
        <v>9.9999988451600075E-3</v>
      </c>
    </row>
    <row r="74" spans="1:7" x14ac:dyDescent="0.25">
      <c r="A74" s="239" t="s">
        <v>136</v>
      </c>
      <c r="B74" s="237">
        <v>0</v>
      </c>
      <c r="C74" s="237">
        <v>6458481.2199999988</v>
      </c>
      <c r="D74" s="238">
        <f>B74+C74</f>
        <v>6458481.2199999988</v>
      </c>
      <c r="E74" s="237">
        <v>6458481.2199999988</v>
      </c>
      <c r="F74" s="237">
        <v>6458481.2199999988</v>
      </c>
      <c r="G74" s="236">
        <f>D74-E74</f>
        <v>0</v>
      </c>
    </row>
    <row r="75" spans="1:7" x14ac:dyDescent="0.25">
      <c r="A75" s="239" t="s">
        <v>135</v>
      </c>
      <c r="B75" s="237"/>
      <c r="C75" s="237"/>
      <c r="D75" s="238">
        <f>B75+C75</f>
        <v>0</v>
      </c>
      <c r="E75" s="237"/>
      <c r="F75" s="237"/>
      <c r="G75" s="236">
        <f>D75-E75</f>
        <v>0</v>
      </c>
    </row>
    <row r="76" spans="1:7" x14ac:dyDescent="0.25">
      <c r="A76" s="239" t="s">
        <v>134</v>
      </c>
      <c r="B76" s="237"/>
      <c r="C76" s="237"/>
      <c r="D76" s="238">
        <f>B76+C76</f>
        <v>0</v>
      </c>
      <c r="E76" s="237"/>
      <c r="F76" s="237"/>
      <c r="G76" s="236">
        <f>D76-E76</f>
        <v>0</v>
      </c>
    </row>
    <row r="77" spans="1:7" x14ac:dyDescent="0.25">
      <c r="A77" s="239" t="s">
        <v>133</v>
      </c>
      <c r="B77" s="237"/>
      <c r="C77" s="237"/>
      <c r="D77" s="238">
        <f>B77+C77</f>
        <v>0</v>
      </c>
      <c r="E77" s="237"/>
      <c r="F77" s="237"/>
      <c r="G77" s="236">
        <f>D77-E77</f>
        <v>0</v>
      </c>
    </row>
    <row r="78" spans="1:7" x14ac:dyDescent="0.25">
      <c r="A78" s="239" t="s">
        <v>132</v>
      </c>
      <c r="B78" s="237"/>
      <c r="C78" s="237"/>
      <c r="D78" s="238">
        <f>B78+C78</f>
        <v>0</v>
      </c>
      <c r="E78" s="237"/>
      <c r="F78" s="237"/>
      <c r="G78" s="236">
        <f>D78-E78</f>
        <v>0</v>
      </c>
    </row>
    <row r="79" spans="1:7" ht="15.75" thickBot="1" x14ac:dyDescent="0.3">
      <c r="A79" s="235" t="s">
        <v>131</v>
      </c>
      <c r="B79" s="233">
        <v>0</v>
      </c>
      <c r="C79" s="233">
        <v>34740107.510000005</v>
      </c>
      <c r="D79" s="234">
        <f>B79+C79</f>
        <v>34740107.510000005</v>
      </c>
      <c r="E79" s="233">
        <v>34740107.43</v>
      </c>
      <c r="F79" s="233">
        <v>34582478.920000002</v>
      </c>
      <c r="G79" s="232">
        <f>D79-E79</f>
        <v>8.0000005662441254E-2</v>
      </c>
    </row>
    <row r="80" spans="1:7" ht="15.75" thickBot="1" x14ac:dyDescent="0.3">
      <c r="A80" s="231" t="s">
        <v>130</v>
      </c>
      <c r="B80" s="230">
        <f>B72+B68+B60+B56+B46+B36+B26+B16+B8</f>
        <v>623389417.66593051</v>
      </c>
      <c r="C80" s="230">
        <f>C72+C68+C60+C56+C46+C36+C26+C16+C8</f>
        <v>99294260.989999995</v>
      </c>
      <c r="D80" s="230">
        <f>B80+C80</f>
        <v>722683678.65593052</v>
      </c>
      <c r="E80" s="230">
        <f>E72+E68+E60+E56+E46+E36+E26+E16+E8</f>
        <v>163394492.12</v>
      </c>
      <c r="F80" s="230">
        <f>F72+F68+F60+F56+F46+F36+F26+F16+F8</f>
        <v>145583078.78999999</v>
      </c>
      <c r="G80" s="229">
        <f>D80-E80</f>
        <v>559289186.53593051</v>
      </c>
    </row>
    <row r="81" spans="1:7" x14ac:dyDescent="0.25">
      <c r="A81" s="228"/>
      <c r="B81" s="227"/>
      <c r="C81" s="227"/>
      <c r="D81" s="227"/>
      <c r="E81" s="227"/>
      <c r="F81" s="227"/>
      <c r="G81" s="227"/>
    </row>
    <row r="82" spans="1:7" x14ac:dyDescent="0.25">
      <c r="A82" s="228"/>
      <c r="B82" s="227"/>
      <c r="C82" s="227"/>
      <c r="D82" s="227"/>
      <c r="E82" s="227"/>
      <c r="F82" s="227"/>
      <c r="G82" s="227"/>
    </row>
    <row r="83" spans="1:7" x14ac:dyDescent="0.25">
      <c r="A83" s="228"/>
      <c r="B83" s="227"/>
      <c r="C83" s="227"/>
      <c r="D83" s="227"/>
      <c r="E83" s="227"/>
      <c r="F83" s="227"/>
      <c r="G83" s="227"/>
    </row>
    <row r="84" spans="1:7" x14ac:dyDescent="0.25">
      <c r="A84" s="228"/>
      <c r="B84" s="227"/>
      <c r="C84" s="227"/>
      <c r="D84" s="227"/>
      <c r="E84" s="227"/>
      <c r="F84" s="227"/>
      <c r="G84" s="227"/>
    </row>
    <row r="85" spans="1:7" x14ac:dyDescent="0.25">
      <c r="A85" s="228"/>
      <c r="B85" s="227"/>
      <c r="C85" s="227"/>
      <c r="D85" s="227"/>
      <c r="E85" s="227"/>
      <c r="F85" s="227"/>
      <c r="G85" s="227"/>
    </row>
    <row r="86" spans="1:7" x14ac:dyDescent="0.25">
      <c r="A86" s="228"/>
      <c r="B86" s="227"/>
      <c r="C86" s="227"/>
      <c r="D86" s="227"/>
      <c r="E86" s="227"/>
      <c r="F86" s="227"/>
      <c r="G86" s="227"/>
    </row>
    <row r="87" spans="1:7" ht="16.5" x14ac:dyDescent="0.25">
      <c r="A87" s="1"/>
      <c r="B87" s="1"/>
      <c r="C87" s="1"/>
      <c r="D87" s="1"/>
      <c r="E87" s="1"/>
      <c r="F87" s="1"/>
      <c r="G87" s="1"/>
    </row>
    <row r="88" spans="1:7" ht="16.5" x14ac:dyDescent="0.25">
      <c r="A88" s="1"/>
      <c r="B88" s="1"/>
      <c r="C88" s="1"/>
      <c r="D88" s="1"/>
      <c r="E88" s="1"/>
      <c r="F88" s="1"/>
      <c r="G88" s="1"/>
    </row>
    <row r="89" spans="1:7" ht="16.5" x14ac:dyDescent="0.25">
      <c r="A89" s="1"/>
      <c r="B89" s="1"/>
      <c r="C89" s="1"/>
      <c r="D89" s="1"/>
      <c r="E89" s="1"/>
      <c r="F89" s="1"/>
      <c r="G89" s="1"/>
    </row>
    <row r="90" spans="1:7" ht="16.5" x14ac:dyDescent="0.25">
      <c r="A90" s="1"/>
      <c r="B90" s="1"/>
      <c r="C90" s="1"/>
      <c r="D90" s="1"/>
      <c r="E90" s="1"/>
      <c r="F90" s="1"/>
      <c r="G90" s="1"/>
    </row>
  </sheetData>
  <sheetProtection password="C115" sheet="1" scenarios="1" formatColumns="0" formatRows="0"/>
  <mergeCells count="6">
    <mergeCell ref="A6:A7"/>
    <mergeCell ref="A1:G1"/>
    <mergeCell ref="A2:G2"/>
    <mergeCell ref="A3:G3"/>
    <mergeCell ref="A4:G4"/>
    <mergeCell ref="A5:E5"/>
  </mergeCells>
  <pageMargins left="0.70866141732283472" right="0.70866141732283472" top="0.74803149606299213" bottom="0.74803149606299213" header="0.31496062992125984" footer="0.31496062992125984"/>
  <pageSetup scale="67" orientation="portrait" horizontalDpi="1200" verticalDpi="1200" r:id="rId1"/>
  <rowBreaks count="1" manualBreakCount="1">
    <brk id="6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C1AA-7BF4-4CB0-BA24-5AA8D2291D79}">
  <sheetPr>
    <tabColor theme="0" tint="-0.14999847407452621"/>
  </sheetPr>
  <dimension ref="A1:I159"/>
  <sheetViews>
    <sheetView view="pageBreakPreview" zoomScaleNormal="100" zoomScaleSheetLayoutView="100" workbookViewId="0">
      <selection activeCell="S24" sqref="S24"/>
    </sheetView>
  </sheetViews>
  <sheetFormatPr baseColWidth="10" defaultRowHeight="15" x14ac:dyDescent="0.25"/>
  <cols>
    <col min="1" max="1" width="6.140625" customWidth="1"/>
    <col min="2" max="2" width="35.28515625" customWidth="1"/>
    <col min="3" max="3" width="14.85546875" customWidth="1"/>
    <col min="4" max="4" width="12.85546875" customWidth="1"/>
    <col min="5" max="5" width="14.140625" customWidth="1"/>
    <col min="6" max="6" width="12.85546875" customWidth="1"/>
    <col min="7" max="7" width="13" customWidth="1"/>
    <col min="8" max="8" width="13.5703125" customWidth="1"/>
  </cols>
  <sheetData>
    <row r="1" spans="1:8" ht="15.75" x14ac:dyDescent="0.25">
      <c r="A1" s="292" t="str">
        <f>'[1]ETCA-I-01'!A1:G1</f>
        <v xml:space="preserve">Comision Estatal del Agua  </v>
      </c>
      <c r="B1" s="291"/>
      <c r="C1" s="291"/>
      <c r="D1" s="291"/>
      <c r="E1" s="291"/>
      <c r="F1" s="291"/>
      <c r="G1" s="291"/>
      <c r="H1" s="290"/>
    </row>
    <row r="2" spans="1:8" x14ac:dyDescent="0.25">
      <c r="A2" s="289" t="s">
        <v>299</v>
      </c>
      <c r="B2" s="288"/>
      <c r="C2" s="288"/>
      <c r="D2" s="288"/>
      <c r="E2" s="288"/>
      <c r="F2" s="288"/>
      <c r="G2" s="288"/>
      <c r="H2" s="287"/>
    </row>
    <row r="3" spans="1:8" x14ac:dyDescent="0.25">
      <c r="A3" s="289" t="s">
        <v>298</v>
      </c>
      <c r="B3" s="288"/>
      <c r="C3" s="288"/>
      <c r="D3" s="288"/>
      <c r="E3" s="288"/>
      <c r="F3" s="288"/>
      <c r="G3" s="288"/>
      <c r="H3" s="287"/>
    </row>
    <row r="4" spans="1:8" x14ac:dyDescent="0.25">
      <c r="A4" s="289" t="str">
        <f>'ETCA-II-02'!A3:I3</f>
        <v>Del 01 de Enero al 31 de Marzo de 2020</v>
      </c>
      <c r="B4" s="288"/>
      <c r="C4" s="288"/>
      <c r="D4" s="288"/>
      <c r="E4" s="288"/>
      <c r="F4" s="288"/>
      <c r="G4" s="288"/>
      <c r="H4" s="287"/>
    </row>
    <row r="5" spans="1:8" ht="15.75" thickBot="1" x14ac:dyDescent="0.3">
      <c r="A5" s="278" t="s">
        <v>297</v>
      </c>
      <c r="B5" s="286"/>
      <c r="C5" s="286"/>
      <c r="D5" s="286"/>
      <c r="E5" s="286"/>
      <c r="F5" s="286"/>
      <c r="G5" s="286"/>
      <c r="H5" s="285"/>
    </row>
    <row r="6" spans="1:8" ht="15.75" thickBot="1" x14ac:dyDescent="0.3">
      <c r="A6" s="284" t="s">
        <v>296</v>
      </c>
      <c r="B6" s="283"/>
      <c r="C6" s="282" t="s">
        <v>295</v>
      </c>
      <c r="D6" s="281"/>
      <c r="E6" s="281"/>
      <c r="F6" s="281"/>
      <c r="G6" s="280"/>
      <c r="H6" s="279" t="s">
        <v>294</v>
      </c>
    </row>
    <row r="7" spans="1:8" ht="18.75" thickBot="1" x14ac:dyDescent="0.3">
      <c r="A7" s="278"/>
      <c r="B7" s="277"/>
      <c r="C7" s="275" t="s">
        <v>293</v>
      </c>
      <c r="D7" s="276" t="s">
        <v>292</v>
      </c>
      <c r="E7" s="275" t="s">
        <v>291</v>
      </c>
      <c r="F7" s="275" t="s">
        <v>108</v>
      </c>
      <c r="G7" s="275" t="s">
        <v>290</v>
      </c>
      <c r="H7" s="274"/>
    </row>
    <row r="8" spans="1:8" x14ac:dyDescent="0.25">
      <c r="A8" s="273"/>
      <c r="B8" s="271"/>
      <c r="C8" s="271"/>
      <c r="D8" s="272"/>
      <c r="E8" s="271"/>
      <c r="F8" s="271"/>
      <c r="G8" s="271"/>
      <c r="H8" s="270"/>
    </row>
    <row r="9" spans="1:8" x14ac:dyDescent="0.25">
      <c r="A9" s="259" t="s">
        <v>289</v>
      </c>
      <c r="B9" s="258"/>
      <c r="C9" s="257">
        <f>+C10+C18+C28+C38+C48+C58+C62+C71+C75</f>
        <v>535114183.66593045</v>
      </c>
      <c r="D9" s="257">
        <f>+D10+D18+D28+D38+D48+D58+D62+D71+D75</f>
        <v>55653765.799999997</v>
      </c>
      <c r="E9" s="257">
        <f>+E10+E18+E28+E38+E48+E58+E62+E71+E75</f>
        <v>590767949.46593046</v>
      </c>
      <c r="F9" s="257">
        <f>+F10+F18+F28+F38+F48+F58+F62+F71+F75</f>
        <v>157133573.19</v>
      </c>
      <c r="G9" s="257">
        <f>+G10+G18+G28+G38+G48+G58+G62+G71+G75</f>
        <v>139322159.86000001</v>
      </c>
      <c r="H9" s="257">
        <f>+H10+H18+H28+H38+H48+H58+H62+H71+H75</f>
        <v>433634376.27593046</v>
      </c>
    </row>
    <row r="10" spans="1:8" x14ac:dyDescent="0.25">
      <c r="A10" s="266" t="s">
        <v>287</v>
      </c>
      <c r="B10" s="265"/>
      <c r="C10" s="261">
        <f>SUM(C11:C17)</f>
        <v>204443147.32279521</v>
      </c>
      <c r="D10" s="261">
        <f>SUM(D11:D17)</f>
        <v>-632242.46</v>
      </c>
      <c r="E10" s="261">
        <f>SUM(E11:E17)</f>
        <v>203810904.8627952</v>
      </c>
      <c r="F10" s="261">
        <f>SUM(F11:F17)</f>
        <v>53838907.320000008</v>
      </c>
      <c r="G10" s="261">
        <f>SUM(G11:G17)</f>
        <v>48389236.329999998</v>
      </c>
      <c r="H10" s="261">
        <f>SUM(H11:H17)</f>
        <v>149971997.54279521</v>
      </c>
    </row>
    <row r="11" spans="1:8" x14ac:dyDescent="0.25">
      <c r="A11" s="263"/>
      <c r="B11" s="262" t="s">
        <v>286</v>
      </c>
      <c r="C11" s="264">
        <v>115843503.13592325</v>
      </c>
      <c r="D11" s="264">
        <v>-834328.46</v>
      </c>
      <c r="E11" s="261">
        <f>C11+D11</f>
        <v>115009174.67592326</v>
      </c>
      <c r="F11" s="264">
        <v>29367767.989999998</v>
      </c>
      <c r="G11" s="264">
        <v>25772782.050000001</v>
      </c>
      <c r="H11" s="260">
        <f>+E11-F11</f>
        <v>85641406.685923263</v>
      </c>
    </row>
    <row r="12" spans="1:8" x14ac:dyDescent="0.25">
      <c r="A12" s="263"/>
      <c r="B12" s="262" t="s">
        <v>285</v>
      </c>
      <c r="C12" s="264">
        <v>1883200.3508860434</v>
      </c>
      <c r="D12" s="264">
        <v>0</v>
      </c>
      <c r="E12" s="261">
        <f>C12+D12</f>
        <v>1883200.3508860434</v>
      </c>
      <c r="F12" s="264">
        <v>410725.17000000004</v>
      </c>
      <c r="G12" s="264">
        <v>392858.18</v>
      </c>
      <c r="H12" s="260">
        <f>+E12-F12</f>
        <v>1472475.1808860432</v>
      </c>
    </row>
    <row r="13" spans="1:8" x14ac:dyDescent="0.25">
      <c r="A13" s="263"/>
      <c r="B13" s="262" t="s">
        <v>284</v>
      </c>
      <c r="C13" s="264">
        <v>10262941.40592527</v>
      </c>
      <c r="D13" s="264">
        <v>92086</v>
      </c>
      <c r="E13" s="261">
        <f>C13+D13</f>
        <v>10355027.40592527</v>
      </c>
      <c r="F13" s="264">
        <v>2578247.58</v>
      </c>
      <c r="G13" s="264">
        <v>2316590.15</v>
      </c>
      <c r="H13" s="260">
        <f>+E13-F13</f>
        <v>7776779.8259252701</v>
      </c>
    </row>
    <row r="14" spans="1:8" x14ac:dyDescent="0.25">
      <c r="A14" s="263"/>
      <c r="B14" s="262" t="s">
        <v>283</v>
      </c>
      <c r="C14" s="264">
        <v>39796179.374640383</v>
      </c>
      <c r="D14" s="264">
        <v>0</v>
      </c>
      <c r="E14" s="261">
        <f>C14+D14</f>
        <v>39796179.374640383</v>
      </c>
      <c r="F14" s="264">
        <v>11827622.16</v>
      </c>
      <c r="G14" s="264">
        <v>10392788.84</v>
      </c>
      <c r="H14" s="260">
        <f>+E14-F14</f>
        <v>27968557.214640383</v>
      </c>
    </row>
    <row r="15" spans="1:8" x14ac:dyDescent="0.25">
      <c r="A15" s="263"/>
      <c r="B15" s="262" t="s">
        <v>282</v>
      </c>
      <c r="C15" s="264">
        <v>35786324.26935032</v>
      </c>
      <c r="D15" s="264">
        <v>110000</v>
      </c>
      <c r="E15" s="261">
        <f>C15+D15</f>
        <v>35896324.26935032</v>
      </c>
      <c r="F15" s="264">
        <v>9482585.9900000002</v>
      </c>
      <c r="G15" s="264">
        <v>9342258.6800000016</v>
      </c>
      <c r="H15" s="260">
        <f>+E15-F15</f>
        <v>26413738.279350318</v>
      </c>
    </row>
    <row r="16" spans="1:8" x14ac:dyDescent="0.25">
      <c r="A16" s="263"/>
      <c r="B16" s="262" t="s">
        <v>281</v>
      </c>
      <c r="C16" s="264"/>
      <c r="D16" s="264"/>
      <c r="E16" s="261">
        <f>C16+D16</f>
        <v>0</v>
      </c>
      <c r="F16" s="264"/>
      <c r="G16" s="264"/>
      <c r="H16" s="260">
        <f>+E16-F16</f>
        <v>0</v>
      </c>
    </row>
    <row r="17" spans="1:8" x14ac:dyDescent="0.25">
      <c r="A17" s="263"/>
      <c r="B17" s="262" t="s">
        <v>280</v>
      </c>
      <c r="C17" s="264">
        <v>870998.78606991796</v>
      </c>
      <c r="D17" s="264">
        <v>0</v>
      </c>
      <c r="E17" s="261">
        <f>C17+D17</f>
        <v>870998.78606991796</v>
      </c>
      <c r="F17" s="264">
        <v>171958.43</v>
      </c>
      <c r="G17" s="264">
        <v>171958.43</v>
      </c>
      <c r="H17" s="260">
        <f>+E17-F17</f>
        <v>699040.35606991802</v>
      </c>
    </row>
    <row r="18" spans="1:8" x14ac:dyDescent="0.25">
      <c r="A18" s="266" t="s">
        <v>279</v>
      </c>
      <c r="B18" s="265"/>
      <c r="C18" s="261">
        <f>SUM(C19:C27)</f>
        <v>29390389.214226238</v>
      </c>
      <c r="D18" s="261">
        <f>SUM(D19:D27)</f>
        <v>2116504.3199999998</v>
      </c>
      <c r="E18" s="261">
        <f>SUM(E19:E27)</f>
        <v>31506893.534226242</v>
      </c>
      <c r="F18" s="261">
        <f>SUM(F19:F27)</f>
        <v>3963082.95</v>
      </c>
      <c r="G18" s="261">
        <f>SUM(G19:G27)</f>
        <v>2858849.4899999998</v>
      </c>
      <c r="H18" s="261">
        <f>SUM(H19:H27)</f>
        <v>27543810.584226243</v>
      </c>
    </row>
    <row r="19" spans="1:8" x14ac:dyDescent="0.25">
      <c r="A19" s="263"/>
      <c r="B19" s="262" t="s">
        <v>278</v>
      </c>
      <c r="C19" s="264">
        <v>2348248.1320336713</v>
      </c>
      <c r="D19" s="264">
        <v>0</v>
      </c>
      <c r="E19" s="261">
        <f>C19+D19</f>
        <v>2348248.1320336713</v>
      </c>
      <c r="F19" s="264">
        <v>243587.32000000004</v>
      </c>
      <c r="G19" s="264">
        <v>219616.99000000002</v>
      </c>
      <c r="H19" s="260">
        <f>+E19-F19</f>
        <v>2104660.8120336714</v>
      </c>
    </row>
    <row r="20" spans="1:8" x14ac:dyDescent="0.25">
      <c r="A20" s="263"/>
      <c r="B20" s="262" t="s">
        <v>277</v>
      </c>
      <c r="C20" s="264">
        <v>495539.67176440824</v>
      </c>
      <c r="D20" s="264">
        <v>0</v>
      </c>
      <c r="E20" s="261">
        <f>C20+D20</f>
        <v>495539.67176440824</v>
      </c>
      <c r="F20" s="264">
        <v>130334.39</v>
      </c>
      <c r="G20" s="264">
        <v>85162.79</v>
      </c>
      <c r="H20" s="260">
        <f>+E20-F20</f>
        <v>365205.28176440822</v>
      </c>
    </row>
    <row r="21" spans="1:8" x14ac:dyDescent="0.25">
      <c r="A21" s="263"/>
      <c r="B21" s="262" t="s">
        <v>276</v>
      </c>
      <c r="C21" s="264">
        <v>6451276.4820699999</v>
      </c>
      <c r="D21" s="264">
        <v>1317063.78</v>
      </c>
      <c r="E21" s="261">
        <f>C21+D21</f>
        <v>7768340.2620700002</v>
      </c>
      <c r="F21" s="264">
        <v>350257.08</v>
      </c>
      <c r="G21" s="264">
        <v>288778.07999999996</v>
      </c>
      <c r="H21" s="260">
        <f>+E21-F21</f>
        <v>7418083.1820700001</v>
      </c>
    </row>
    <row r="22" spans="1:8" x14ac:dyDescent="0.25">
      <c r="A22" s="263"/>
      <c r="B22" s="262" t="s">
        <v>275</v>
      </c>
      <c r="C22" s="264">
        <v>647543.79660407268</v>
      </c>
      <c r="D22" s="264">
        <v>1500</v>
      </c>
      <c r="E22" s="261">
        <f>C22+D22</f>
        <v>649043.79660407268</v>
      </c>
      <c r="F22" s="264">
        <v>80328.600000000006</v>
      </c>
      <c r="G22" s="264">
        <v>79483.64</v>
      </c>
      <c r="H22" s="260">
        <f>+E22-F22</f>
        <v>568715.1966040727</v>
      </c>
    </row>
    <row r="23" spans="1:8" x14ac:dyDescent="0.25">
      <c r="A23" s="263"/>
      <c r="B23" s="262" t="s">
        <v>274</v>
      </c>
      <c r="C23" s="264">
        <v>7668652.7501789946</v>
      </c>
      <c r="D23" s="264">
        <v>0</v>
      </c>
      <c r="E23" s="261">
        <f>C23+D23</f>
        <v>7668652.7501789946</v>
      </c>
      <c r="F23" s="264">
        <v>13188.62</v>
      </c>
      <c r="G23" s="264">
        <v>9457.3799999999992</v>
      </c>
      <c r="H23" s="260">
        <f>+E23-F23</f>
        <v>7655464.1301789945</v>
      </c>
    </row>
    <row r="24" spans="1:8" x14ac:dyDescent="0.25">
      <c r="A24" s="263"/>
      <c r="B24" s="262" t="s">
        <v>273</v>
      </c>
      <c r="C24" s="264">
        <v>7323123.8132909173</v>
      </c>
      <c r="D24" s="264">
        <v>196484.22</v>
      </c>
      <c r="E24" s="261">
        <f>C24+D24</f>
        <v>7519608.0332909171</v>
      </c>
      <c r="F24" s="264">
        <v>2573659.7000000002</v>
      </c>
      <c r="G24" s="264">
        <v>1762729.69</v>
      </c>
      <c r="H24" s="260">
        <f>+E24-F24</f>
        <v>4945948.3332909169</v>
      </c>
    </row>
    <row r="25" spans="1:8" x14ac:dyDescent="0.25">
      <c r="A25" s="263"/>
      <c r="B25" s="262" t="s">
        <v>272</v>
      </c>
      <c r="C25" s="264">
        <v>2068168.613606584</v>
      </c>
      <c r="D25" s="264">
        <v>430567.76</v>
      </c>
      <c r="E25" s="261">
        <f>C25+D25</f>
        <v>2498736.373606584</v>
      </c>
      <c r="F25" s="264">
        <v>20739.95</v>
      </c>
      <c r="G25" s="264">
        <v>15458.369999999999</v>
      </c>
      <c r="H25" s="260">
        <f>+E25-F25</f>
        <v>2477996.4236065838</v>
      </c>
    </row>
    <row r="26" spans="1:8" x14ac:dyDescent="0.25">
      <c r="A26" s="263"/>
      <c r="B26" s="262" t="s">
        <v>271</v>
      </c>
      <c r="C26" s="264"/>
      <c r="D26" s="264"/>
      <c r="E26" s="261">
        <f>C26+D26</f>
        <v>0</v>
      </c>
      <c r="F26" s="264"/>
      <c r="G26" s="264"/>
      <c r="H26" s="260">
        <f>+E26-F26</f>
        <v>0</v>
      </c>
    </row>
    <row r="27" spans="1:8" x14ac:dyDescent="0.25">
      <c r="A27" s="263"/>
      <c r="B27" s="262" t="s">
        <v>270</v>
      </c>
      <c r="C27" s="264">
        <v>2387835.9546775939</v>
      </c>
      <c r="D27" s="264">
        <v>170888.56</v>
      </c>
      <c r="E27" s="261">
        <f>C27+D27</f>
        <v>2558724.514677594</v>
      </c>
      <c r="F27" s="264">
        <v>550987.29</v>
      </c>
      <c r="G27" s="264">
        <v>398162.55</v>
      </c>
      <c r="H27" s="260">
        <f>+E27-F27</f>
        <v>2007737.2246775939</v>
      </c>
    </row>
    <row r="28" spans="1:8" x14ac:dyDescent="0.25">
      <c r="A28" s="266" t="s">
        <v>269</v>
      </c>
      <c r="B28" s="265"/>
      <c r="C28" s="261">
        <f>SUM(C29:C37)</f>
        <v>174368088.12890899</v>
      </c>
      <c r="D28" s="261">
        <f>SUM(D29:D37)</f>
        <v>5746870.6600000001</v>
      </c>
      <c r="E28" s="261">
        <f>SUM(E29:E37)</f>
        <v>180114958.78890902</v>
      </c>
      <c r="F28" s="261">
        <f>SUM(F29:F37)</f>
        <v>51181337.519999996</v>
      </c>
      <c r="G28" s="261">
        <f>SUM(G29:G37)</f>
        <v>40214326.640000001</v>
      </c>
      <c r="H28" s="261">
        <f>SUM(H29:H37)</f>
        <v>128933621.26890898</v>
      </c>
    </row>
    <row r="29" spans="1:8" x14ac:dyDescent="0.25">
      <c r="A29" s="263"/>
      <c r="B29" s="262" t="s">
        <v>268</v>
      </c>
      <c r="C29" s="264">
        <v>111236399.01198274</v>
      </c>
      <c r="D29" s="264">
        <v>-9353481</v>
      </c>
      <c r="E29" s="261">
        <f>C29+D29</f>
        <v>101882918.01198274</v>
      </c>
      <c r="F29" s="264">
        <v>26914223.329999998</v>
      </c>
      <c r="G29" s="264">
        <v>22845897.449999996</v>
      </c>
      <c r="H29" s="260">
        <f>+E29-F29</f>
        <v>74968694.681982741</v>
      </c>
    </row>
    <row r="30" spans="1:8" x14ac:dyDescent="0.25">
      <c r="A30" s="263"/>
      <c r="B30" s="262" t="s">
        <v>267</v>
      </c>
      <c r="C30" s="264">
        <v>5424645.4848321658</v>
      </c>
      <c r="D30" s="264">
        <v>278795.01</v>
      </c>
      <c r="E30" s="261">
        <f>C30+D30</f>
        <v>5703440.4948321655</v>
      </c>
      <c r="F30" s="264">
        <v>1269285.08</v>
      </c>
      <c r="G30" s="264">
        <v>688316.74</v>
      </c>
      <c r="H30" s="260">
        <f>+E30-F30</f>
        <v>4434155.4148321655</v>
      </c>
    </row>
    <row r="31" spans="1:8" x14ac:dyDescent="0.25">
      <c r="A31" s="263"/>
      <c r="B31" s="262" t="s">
        <v>266</v>
      </c>
      <c r="C31" s="264">
        <v>15544134.88463385</v>
      </c>
      <c r="D31" s="264">
        <v>-21524.03</v>
      </c>
      <c r="E31" s="261">
        <f>C31+D31</f>
        <v>15522610.854633851</v>
      </c>
      <c r="F31" s="264">
        <v>1466909.23</v>
      </c>
      <c r="G31" s="264">
        <v>768985.51</v>
      </c>
      <c r="H31" s="260">
        <f>+E31-F31</f>
        <v>14055701.624633851</v>
      </c>
    </row>
    <row r="32" spans="1:8" x14ac:dyDescent="0.25">
      <c r="A32" s="263"/>
      <c r="B32" s="262" t="s">
        <v>265</v>
      </c>
      <c r="C32" s="264">
        <v>17119181.076834731</v>
      </c>
      <c r="D32" s="264">
        <v>1969740.83</v>
      </c>
      <c r="E32" s="261">
        <f>C32+D32</f>
        <v>19088921.906834729</v>
      </c>
      <c r="F32" s="264">
        <v>2582443.1500000004</v>
      </c>
      <c r="G32" s="264">
        <v>1445671.7399999998</v>
      </c>
      <c r="H32" s="260">
        <f>+E32-F32</f>
        <v>16506478.756834729</v>
      </c>
    </row>
    <row r="33" spans="1:8" x14ac:dyDescent="0.25">
      <c r="A33" s="263"/>
      <c r="B33" s="262" t="s">
        <v>264</v>
      </c>
      <c r="C33" s="264">
        <v>8212615.9761829665</v>
      </c>
      <c r="D33" s="264">
        <v>1604230</v>
      </c>
      <c r="E33" s="261">
        <f>C33+D33</f>
        <v>9816845.9761829674</v>
      </c>
      <c r="F33" s="264">
        <v>1599980.4299999997</v>
      </c>
      <c r="G33" s="264">
        <v>1014510.8</v>
      </c>
      <c r="H33" s="260">
        <f>+E33-F33</f>
        <v>8216865.5461829677</v>
      </c>
    </row>
    <row r="34" spans="1:8" x14ac:dyDescent="0.25">
      <c r="A34" s="263"/>
      <c r="B34" s="262" t="s">
        <v>263</v>
      </c>
      <c r="C34" s="264">
        <v>1384669.3778340495</v>
      </c>
      <c r="D34" s="264">
        <v>134800</v>
      </c>
      <c r="E34" s="261">
        <f>C34+D34</f>
        <v>1519469.3778340495</v>
      </c>
      <c r="F34" s="264">
        <v>206480</v>
      </c>
      <c r="G34" s="264">
        <v>58000</v>
      </c>
      <c r="H34" s="260">
        <f>+E34-F34</f>
        <v>1312989.3778340495</v>
      </c>
    </row>
    <row r="35" spans="1:8" x14ac:dyDescent="0.25">
      <c r="A35" s="263"/>
      <c r="B35" s="262" t="s">
        <v>262</v>
      </c>
      <c r="C35" s="264">
        <v>3092396.6332266806</v>
      </c>
      <c r="D35" s="264">
        <v>40391</v>
      </c>
      <c r="E35" s="261">
        <f>C35+D35</f>
        <v>3132787.6332266806</v>
      </c>
      <c r="F35" s="264">
        <v>626371.98</v>
      </c>
      <c r="G35" s="264">
        <v>527272.54999999993</v>
      </c>
      <c r="H35" s="260">
        <f>+E35-F35</f>
        <v>2506415.6532266806</v>
      </c>
    </row>
    <row r="36" spans="1:8" x14ac:dyDescent="0.25">
      <c r="A36" s="263"/>
      <c r="B36" s="262" t="s">
        <v>261</v>
      </c>
      <c r="C36" s="264">
        <v>182017.4938</v>
      </c>
      <c r="D36" s="264">
        <v>9860</v>
      </c>
      <c r="E36" s="261">
        <f>C36+D36</f>
        <v>191877.4938</v>
      </c>
      <c r="F36" s="264">
        <v>9860</v>
      </c>
      <c r="G36" s="264">
        <v>9860</v>
      </c>
      <c r="H36" s="260">
        <f>+E36-F36</f>
        <v>182017.4938</v>
      </c>
    </row>
    <row r="37" spans="1:8" ht="15.75" thickBot="1" x14ac:dyDescent="0.3">
      <c r="A37" s="256"/>
      <c r="B37" s="255" t="s">
        <v>260</v>
      </c>
      <c r="C37" s="268">
        <v>12172028.189581791</v>
      </c>
      <c r="D37" s="268">
        <v>11084058.85</v>
      </c>
      <c r="E37" s="269">
        <f>C37+D37</f>
        <v>23256087.039581791</v>
      </c>
      <c r="F37" s="268">
        <v>16505784.32</v>
      </c>
      <c r="G37" s="268">
        <v>12855811.850000001</v>
      </c>
      <c r="H37" s="267">
        <f>+E37-F37</f>
        <v>6750302.7195817903</v>
      </c>
    </row>
    <row r="38" spans="1:8" x14ac:dyDescent="0.25">
      <c r="A38" s="266" t="s">
        <v>259</v>
      </c>
      <c r="B38" s="265"/>
      <c r="C38" s="261">
        <f>SUM(C39:C47)</f>
        <v>0</v>
      </c>
      <c r="D38" s="261">
        <f>SUM(D39:D47)</f>
        <v>2100000</v>
      </c>
      <c r="E38" s="261">
        <f>SUM(E39:E47)</f>
        <v>2100000</v>
      </c>
      <c r="F38" s="261">
        <f>SUM(F39:F47)</f>
        <v>2100000</v>
      </c>
      <c r="G38" s="261">
        <f>SUM(G39:G47)</f>
        <v>2100000</v>
      </c>
      <c r="H38" s="261">
        <f>SUM(H39:H47)</f>
        <v>0</v>
      </c>
    </row>
    <row r="39" spans="1:8" x14ac:dyDescent="0.25">
      <c r="A39" s="263"/>
      <c r="B39" s="262" t="s">
        <v>258</v>
      </c>
      <c r="C39" s="264"/>
      <c r="D39" s="264"/>
      <c r="E39" s="261">
        <f>C39+D39</f>
        <v>0</v>
      </c>
      <c r="F39" s="264"/>
      <c r="G39" s="264"/>
      <c r="H39" s="260">
        <f>+E39-F39</f>
        <v>0</v>
      </c>
    </row>
    <row r="40" spans="1:8" x14ac:dyDescent="0.25">
      <c r="A40" s="263"/>
      <c r="B40" s="262" t="s">
        <v>257</v>
      </c>
      <c r="C40" s="264"/>
      <c r="D40" s="264">
        <v>2100000</v>
      </c>
      <c r="E40" s="261">
        <f>C40+D40</f>
        <v>2100000</v>
      </c>
      <c r="F40" s="264">
        <v>2100000</v>
      </c>
      <c r="G40" s="264">
        <v>2100000</v>
      </c>
      <c r="H40" s="260">
        <f>+E40-F40</f>
        <v>0</v>
      </c>
    </row>
    <row r="41" spans="1:8" x14ac:dyDescent="0.25">
      <c r="A41" s="263"/>
      <c r="B41" s="262" t="s">
        <v>256</v>
      </c>
      <c r="C41" s="264"/>
      <c r="D41" s="264"/>
      <c r="E41" s="261">
        <f>C41+D41</f>
        <v>0</v>
      </c>
      <c r="F41" s="264"/>
      <c r="G41" s="264"/>
      <c r="H41" s="260">
        <f>+E41-F41</f>
        <v>0</v>
      </c>
    </row>
    <row r="42" spans="1:8" x14ac:dyDescent="0.25">
      <c r="A42" s="263"/>
      <c r="B42" s="262" t="s">
        <v>255</v>
      </c>
      <c r="C42" s="264"/>
      <c r="D42" s="264"/>
      <c r="E42" s="261">
        <f>C42+D42</f>
        <v>0</v>
      </c>
      <c r="F42" s="264"/>
      <c r="G42" s="264"/>
      <c r="H42" s="260">
        <f>+E42-F42</f>
        <v>0</v>
      </c>
    </row>
    <row r="43" spans="1:8" x14ac:dyDescent="0.25">
      <c r="A43" s="263"/>
      <c r="B43" s="262" t="s">
        <v>254</v>
      </c>
      <c r="C43" s="264"/>
      <c r="D43" s="264"/>
      <c r="E43" s="261">
        <f>C43+D43</f>
        <v>0</v>
      </c>
      <c r="F43" s="264"/>
      <c r="G43" s="264"/>
      <c r="H43" s="260">
        <f>+E43-F43</f>
        <v>0</v>
      </c>
    </row>
    <row r="44" spans="1:8" x14ac:dyDescent="0.25">
      <c r="A44" s="263"/>
      <c r="B44" s="262" t="s">
        <v>253</v>
      </c>
      <c r="C44" s="264"/>
      <c r="D44" s="264"/>
      <c r="E44" s="261">
        <f>C44+D44</f>
        <v>0</v>
      </c>
      <c r="F44" s="264"/>
      <c r="G44" s="264"/>
      <c r="H44" s="260">
        <f>+E44-F44</f>
        <v>0</v>
      </c>
    </row>
    <row r="45" spans="1:8" x14ac:dyDescent="0.25">
      <c r="A45" s="263"/>
      <c r="B45" s="262" t="s">
        <v>252</v>
      </c>
      <c r="C45" s="264"/>
      <c r="D45" s="264"/>
      <c r="E45" s="261">
        <f>C45+D45</f>
        <v>0</v>
      </c>
      <c r="F45" s="264"/>
      <c r="G45" s="264"/>
      <c r="H45" s="260">
        <f>+E45-F45</f>
        <v>0</v>
      </c>
    </row>
    <row r="46" spans="1:8" x14ac:dyDescent="0.25">
      <c r="A46" s="263"/>
      <c r="B46" s="262" t="s">
        <v>251</v>
      </c>
      <c r="C46" s="264"/>
      <c r="D46" s="264"/>
      <c r="E46" s="261">
        <f>C46+D46</f>
        <v>0</v>
      </c>
      <c r="F46" s="264"/>
      <c r="G46" s="264"/>
      <c r="H46" s="260">
        <f>+E46-F46</f>
        <v>0</v>
      </c>
    </row>
    <row r="47" spans="1:8" x14ac:dyDescent="0.25">
      <c r="A47" s="263"/>
      <c r="B47" s="262" t="s">
        <v>250</v>
      </c>
      <c r="C47" s="264"/>
      <c r="D47" s="264"/>
      <c r="E47" s="261">
        <f>C47+D47</f>
        <v>0</v>
      </c>
      <c r="F47" s="264"/>
      <c r="G47" s="264"/>
      <c r="H47" s="260">
        <f>+E47-F47</f>
        <v>0</v>
      </c>
    </row>
    <row r="48" spans="1:8" x14ac:dyDescent="0.25">
      <c r="A48" s="266" t="s">
        <v>249</v>
      </c>
      <c r="B48" s="265"/>
      <c r="C48" s="261">
        <f>SUM(C49:C57)</f>
        <v>0</v>
      </c>
      <c r="D48" s="261">
        <f>SUM(D49:D57)</f>
        <v>465257.28</v>
      </c>
      <c r="E48" s="261">
        <f>SUM(E49:E57)</f>
        <v>465257.28</v>
      </c>
      <c r="F48" s="261">
        <f>SUM(F49:F57)</f>
        <v>192869.49</v>
      </c>
      <c r="G48" s="261">
        <f>SUM(G49:G57)</f>
        <v>60000</v>
      </c>
      <c r="H48" s="261">
        <f>SUM(H49:H57)</f>
        <v>272387.79000000004</v>
      </c>
    </row>
    <row r="49" spans="1:8" x14ac:dyDescent="0.25">
      <c r="A49" s="263"/>
      <c r="B49" s="262" t="s">
        <v>248</v>
      </c>
      <c r="C49" s="264">
        <v>0</v>
      </c>
      <c r="D49" s="264"/>
      <c r="E49" s="261">
        <f>C49+D49</f>
        <v>0</v>
      </c>
      <c r="F49" s="264"/>
      <c r="G49" s="264"/>
      <c r="H49" s="260">
        <f>+E49-F49</f>
        <v>0</v>
      </c>
    </row>
    <row r="50" spans="1:8" x14ac:dyDescent="0.25">
      <c r="A50" s="263"/>
      <c r="B50" s="262" t="s">
        <v>247</v>
      </c>
      <c r="C50" s="264">
        <v>0</v>
      </c>
      <c r="D50" s="264"/>
      <c r="E50" s="261">
        <f>C50+D50</f>
        <v>0</v>
      </c>
      <c r="F50" s="264"/>
      <c r="G50" s="264"/>
      <c r="H50" s="260">
        <f>+E50-F50</f>
        <v>0</v>
      </c>
    </row>
    <row r="51" spans="1:8" x14ac:dyDescent="0.25">
      <c r="A51" s="263"/>
      <c r="B51" s="262" t="s">
        <v>246</v>
      </c>
      <c r="C51" s="264"/>
      <c r="D51" s="264"/>
      <c r="E51" s="261">
        <f>C51+D51</f>
        <v>0</v>
      </c>
      <c r="F51" s="264"/>
      <c r="G51" s="264"/>
      <c r="H51" s="260">
        <f>+E51-F51</f>
        <v>0</v>
      </c>
    </row>
    <row r="52" spans="1:8" x14ac:dyDescent="0.25">
      <c r="A52" s="263"/>
      <c r="B52" s="262" t="s">
        <v>245</v>
      </c>
      <c r="C52" s="264"/>
      <c r="D52" s="264">
        <v>272133.68</v>
      </c>
      <c r="E52" s="261">
        <f>C52+D52</f>
        <v>272133.68</v>
      </c>
      <c r="F52" s="264"/>
      <c r="G52" s="264"/>
      <c r="H52" s="260">
        <f>+E52-F52</f>
        <v>272133.68</v>
      </c>
    </row>
    <row r="53" spans="1:8" x14ac:dyDescent="0.25">
      <c r="A53" s="263"/>
      <c r="B53" s="262" t="s">
        <v>244</v>
      </c>
      <c r="C53" s="264"/>
      <c r="D53" s="264"/>
      <c r="E53" s="261">
        <f>C53+D53</f>
        <v>0</v>
      </c>
      <c r="F53" s="264"/>
      <c r="G53" s="264"/>
      <c r="H53" s="260">
        <f>+E53-F53</f>
        <v>0</v>
      </c>
    </row>
    <row r="54" spans="1:8" x14ac:dyDescent="0.25">
      <c r="A54" s="263"/>
      <c r="B54" s="262" t="s">
        <v>243</v>
      </c>
      <c r="C54" s="264"/>
      <c r="D54" s="264">
        <v>193123.6</v>
      </c>
      <c r="E54" s="261">
        <f>C54+D54</f>
        <v>193123.6</v>
      </c>
      <c r="F54" s="264">
        <v>192869.49</v>
      </c>
      <c r="G54" s="264">
        <v>60000</v>
      </c>
      <c r="H54" s="260">
        <f>+E54-F54</f>
        <v>254.11000000001513</v>
      </c>
    </row>
    <row r="55" spans="1:8" x14ac:dyDescent="0.25">
      <c r="A55" s="263"/>
      <c r="B55" s="262" t="s">
        <v>242</v>
      </c>
      <c r="C55" s="264"/>
      <c r="D55" s="264"/>
      <c r="E55" s="261">
        <f>C55+D55</f>
        <v>0</v>
      </c>
      <c r="F55" s="264"/>
      <c r="G55" s="264"/>
      <c r="H55" s="260">
        <f>+E55-F55</f>
        <v>0</v>
      </c>
    </row>
    <row r="56" spans="1:8" x14ac:dyDescent="0.25">
      <c r="A56" s="263"/>
      <c r="B56" s="262" t="s">
        <v>241</v>
      </c>
      <c r="C56" s="264"/>
      <c r="D56" s="264"/>
      <c r="E56" s="261">
        <f>C56+D56</f>
        <v>0</v>
      </c>
      <c r="F56" s="264"/>
      <c r="G56" s="264"/>
      <c r="H56" s="260">
        <f>+E56-F56</f>
        <v>0</v>
      </c>
    </row>
    <row r="57" spans="1:8" x14ac:dyDescent="0.25">
      <c r="A57" s="263"/>
      <c r="B57" s="262" t="s">
        <v>240</v>
      </c>
      <c r="C57" s="264"/>
      <c r="D57" s="264"/>
      <c r="E57" s="261">
        <f>C57+D57</f>
        <v>0</v>
      </c>
      <c r="F57" s="264"/>
      <c r="G57" s="264"/>
      <c r="H57" s="260">
        <f>+E57-F57</f>
        <v>0</v>
      </c>
    </row>
    <row r="58" spans="1:8" x14ac:dyDescent="0.25">
      <c r="A58" s="266" t="s">
        <v>239</v>
      </c>
      <c r="B58" s="265"/>
      <c r="C58" s="261">
        <f>SUM(C59:C61)</f>
        <v>78479942</v>
      </c>
      <c r="D58" s="261">
        <f>SUM(D59:D61)</f>
        <v>0</v>
      </c>
      <c r="E58" s="261">
        <f>SUM(E59:E61)</f>
        <v>78479942</v>
      </c>
      <c r="F58" s="261">
        <f>SUM(F59:F61)</f>
        <v>0</v>
      </c>
      <c r="G58" s="261">
        <f>SUM(G59:G61)</f>
        <v>0</v>
      </c>
      <c r="H58" s="261">
        <f>SUM(H59:H61)</f>
        <v>78479942</v>
      </c>
    </row>
    <row r="59" spans="1:8" x14ac:dyDescent="0.25">
      <c r="A59" s="263"/>
      <c r="B59" s="262" t="s">
        <v>238</v>
      </c>
      <c r="C59" s="264">
        <v>78479942</v>
      </c>
      <c r="D59" s="264">
        <v>0</v>
      </c>
      <c r="E59" s="261">
        <f>C59+D59</f>
        <v>78479942</v>
      </c>
      <c r="F59" s="264">
        <v>0</v>
      </c>
      <c r="G59" s="264">
        <v>0</v>
      </c>
      <c r="H59" s="260">
        <f>+E59-F59</f>
        <v>78479942</v>
      </c>
    </row>
    <row r="60" spans="1:8" x14ac:dyDescent="0.25">
      <c r="A60" s="263"/>
      <c r="B60" s="262" t="s">
        <v>237</v>
      </c>
      <c r="C60" s="264"/>
      <c r="D60" s="264"/>
      <c r="E60" s="261">
        <f>C60+D60</f>
        <v>0</v>
      </c>
      <c r="F60" s="264"/>
      <c r="G60" s="264"/>
      <c r="H60" s="260">
        <f>+E60-F60</f>
        <v>0</v>
      </c>
    </row>
    <row r="61" spans="1:8" x14ac:dyDescent="0.25">
      <c r="A61" s="263"/>
      <c r="B61" s="262" t="s">
        <v>236</v>
      </c>
      <c r="C61" s="264"/>
      <c r="D61" s="264"/>
      <c r="E61" s="261">
        <f>C61+D61</f>
        <v>0</v>
      </c>
      <c r="F61" s="264"/>
      <c r="G61" s="264"/>
      <c r="H61" s="260">
        <f>+E61-F61</f>
        <v>0</v>
      </c>
    </row>
    <row r="62" spans="1:8" x14ac:dyDescent="0.25">
      <c r="A62" s="266" t="s">
        <v>235</v>
      </c>
      <c r="B62" s="265"/>
      <c r="C62" s="261">
        <f>SUM(C63:C70)</f>
        <v>48432617</v>
      </c>
      <c r="D62" s="261">
        <f>SUM(D63:D70)</f>
        <v>0</v>
      </c>
      <c r="E62" s="261">
        <f>SUM(E63:E70)</f>
        <v>48432617</v>
      </c>
      <c r="F62" s="261">
        <f>SUM(F63:F70)</f>
        <v>0</v>
      </c>
      <c r="G62" s="261">
        <f>SUM(G63:G70)</f>
        <v>0</v>
      </c>
      <c r="H62" s="261">
        <f>SUM(H63:H70)</f>
        <v>48432617</v>
      </c>
    </row>
    <row r="63" spans="1:8" x14ac:dyDescent="0.25">
      <c r="A63" s="263"/>
      <c r="B63" s="262" t="s">
        <v>234</v>
      </c>
      <c r="C63" s="264"/>
      <c r="D63" s="264"/>
      <c r="E63" s="261">
        <f>C63+D63</f>
        <v>0</v>
      </c>
      <c r="F63" s="264"/>
      <c r="G63" s="264"/>
      <c r="H63" s="260">
        <f>+E63-F63</f>
        <v>0</v>
      </c>
    </row>
    <row r="64" spans="1:8" x14ac:dyDescent="0.25">
      <c r="A64" s="263"/>
      <c r="B64" s="262" t="s">
        <v>233</v>
      </c>
      <c r="C64" s="264"/>
      <c r="D64" s="264"/>
      <c r="E64" s="261">
        <f>C64+D64</f>
        <v>0</v>
      </c>
      <c r="F64" s="264"/>
      <c r="G64" s="264"/>
      <c r="H64" s="260">
        <f>+E64-F64</f>
        <v>0</v>
      </c>
    </row>
    <row r="65" spans="1:8" x14ac:dyDescent="0.25">
      <c r="A65" s="263"/>
      <c r="B65" s="262" t="s">
        <v>232</v>
      </c>
      <c r="C65" s="264"/>
      <c r="D65" s="264"/>
      <c r="E65" s="261">
        <f>C65+D65</f>
        <v>0</v>
      </c>
      <c r="F65" s="264"/>
      <c r="G65" s="264"/>
      <c r="H65" s="260">
        <f>+E65-F65</f>
        <v>0</v>
      </c>
    </row>
    <row r="66" spans="1:8" x14ac:dyDescent="0.25">
      <c r="A66" s="263"/>
      <c r="B66" s="262" t="s">
        <v>231</v>
      </c>
      <c r="C66" s="264"/>
      <c r="D66" s="264"/>
      <c r="E66" s="261">
        <f>C66+D66</f>
        <v>0</v>
      </c>
      <c r="F66" s="264"/>
      <c r="G66" s="264"/>
      <c r="H66" s="260">
        <f>+E66-F66</f>
        <v>0</v>
      </c>
    </row>
    <row r="67" spans="1:8" x14ac:dyDescent="0.25">
      <c r="A67" s="263"/>
      <c r="B67" s="262" t="s">
        <v>230</v>
      </c>
      <c r="C67" s="264"/>
      <c r="D67" s="264"/>
      <c r="E67" s="261">
        <f>C67+D67</f>
        <v>0</v>
      </c>
      <c r="F67" s="264"/>
      <c r="G67" s="264"/>
      <c r="H67" s="260">
        <f>+E67-F67</f>
        <v>0</v>
      </c>
    </row>
    <row r="68" spans="1:8" x14ac:dyDescent="0.25">
      <c r="A68" s="263"/>
      <c r="B68" s="262" t="s">
        <v>229</v>
      </c>
      <c r="C68" s="264"/>
      <c r="D68" s="264"/>
      <c r="E68" s="261">
        <f>C68+D68</f>
        <v>0</v>
      </c>
      <c r="F68" s="264"/>
      <c r="G68" s="264"/>
      <c r="H68" s="260">
        <f>+E68-F68</f>
        <v>0</v>
      </c>
    </row>
    <row r="69" spans="1:8" x14ac:dyDescent="0.25">
      <c r="A69" s="263"/>
      <c r="B69" s="262" t="s">
        <v>228</v>
      </c>
      <c r="C69" s="264"/>
      <c r="D69" s="264"/>
      <c r="E69" s="261">
        <f>C69+D69</f>
        <v>0</v>
      </c>
      <c r="F69" s="264"/>
      <c r="G69" s="264"/>
      <c r="H69" s="260">
        <f>+E69-F69</f>
        <v>0</v>
      </c>
    </row>
    <row r="70" spans="1:8" x14ac:dyDescent="0.25">
      <c r="A70" s="263"/>
      <c r="B70" s="262" t="s">
        <v>227</v>
      </c>
      <c r="C70" s="264">
        <v>48432617</v>
      </c>
      <c r="D70" s="264">
        <v>0</v>
      </c>
      <c r="E70" s="261">
        <f>C70+D70</f>
        <v>48432617</v>
      </c>
      <c r="F70" s="264">
        <v>0</v>
      </c>
      <c r="G70" s="264">
        <v>0</v>
      </c>
      <c r="H70" s="260">
        <f>+E70-F70</f>
        <v>48432617</v>
      </c>
    </row>
    <row r="71" spans="1:8" x14ac:dyDescent="0.25">
      <c r="A71" s="266" t="s">
        <v>226</v>
      </c>
      <c r="B71" s="265"/>
      <c r="C71" s="261">
        <f>SUM(C72:C74)</f>
        <v>0</v>
      </c>
      <c r="D71" s="261">
        <f>SUM(D72:D74)</f>
        <v>0</v>
      </c>
      <c r="E71" s="261">
        <f>SUM(E72:E74)</f>
        <v>0</v>
      </c>
      <c r="F71" s="261">
        <f>SUM(F72:F74)</f>
        <v>0</v>
      </c>
      <c r="G71" s="261">
        <f>SUM(G72:G74)</f>
        <v>0</v>
      </c>
      <c r="H71" s="261">
        <f>SUM(H72:H74)</f>
        <v>0</v>
      </c>
    </row>
    <row r="72" spans="1:8" ht="15.75" thickBot="1" x14ac:dyDescent="0.3">
      <c r="A72" s="256"/>
      <c r="B72" s="255" t="s">
        <v>225</v>
      </c>
      <c r="C72" s="268"/>
      <c r="D72" s="268"/>
      <c r="E72" s="269">
        <f>C72+D72</f>
        <v>0</v>
      </c>
      <c r="F72" s="268"/>
      <c r="G72" s="268"/>
      <c r="H72" s="267">
        <f>+E72-F72</f>
        <v>0</v>
      </c>
    </row>
    <row r="73" spans="1:8" x14ac:dyDescent="0.25">
      <c r="A73" s="263"/>
      <c r="B73" s="262" t="s">
        <v>224</v>
      </c>
      <c r="C73" s="264"/>
      <c r="D73" s="264"/>
      <c r="E73" s="261">
        <f>C73+D73</f>
        <v>0</v>
      </c>
      <c r="F73" s="264"/>
      <c r="G73" s="264"/>
      <c r="H73" s="260">
        <f>+E73-F73</f>
        <v>0</v>
      </c>
    </row>
    <row r="74" spans="1:8" x14ac:dyDescent="0.25">
      <c r="A74" s="263"/>
      <c r="B74" s="262" t="s">
        <v>223</v>
      </c>
      <c r="C74" s="264"/>
      <c r="D74" s="264"/>
      <c r="E74" s="261">
        <f>C74+D74</f>
        <v>0</v>
      </c>
      <c r="F74" s="264"/>
      <c r="G74" s="264"/>
      <c r="H74" s="260">
        <f>+E74-F74</f>
        <v>0</v>
      </c>
    </row>
    <row r="75" spans="1:8" x14ac:dyDescent="0.25">
      <c r="A75" s="266" t="s">
        <v>222</v>
      </c>
      <c r="B75" s="265"/>
      <c r="C75" s="261">
        <f>SUM(C76:C82)</f>
        <v>0</v>
      </c>
      <c r="D75" s="261">
        <f>SUM(D76:D82)</f>
        <v>45857376</v>
      </c>
      <c r="E75" s="261">
        <f>SUM(E76:E82)</f>
        <v>45857376</v>
      </c>
      <c r="F75" s="261">
        <f>SUM(F76:F82)</f>
        <v>45857375.909999996</v>
      </c>
      <c r="G75" s="261">
        <f>SUM(G76:G82)</f>
        <v>45699747.400000006</v>
      </c>
      <c r="H75" s="261">
        <f>SUM(H76:H82)</f>
        <v>9.0000004507601261E-2</v>
      </c>
    </row>
    <row r="76" spans="1:8" x14ac:dyDescent="0.25">
      <c r="A76" s="263"/>
      <c r="B76" s="262" t="s">
        <v>221</v>
      </c>
      <c r="C76" s="264">
        <v>0</v>
      </c>
      <c r="D76" s="264">
        <v>4658787.2699999996</v>
      </c>
      <c r="E76" s="261">
        <f>C76+D76</f>
        <v>4658787.2699999996</v>
      </c>
      <c r="F76" s="264">
        <v>4658787.2600000007</v>
      </c>
      <c r="G76" s="264">
        <v>4658787.2600000007</v>
      </c>
      <c r="H76" s="260">
        <f>+E76-F76</f>
        <v>9.9999988451600075E-3</v>
      </c>
    </row>
    <row r="77" spans="1:8" x14ac:dyDescent="0.25">
      <c r="A77" s="263"/>
      <c r="B77" s="262" t="s">
        <v>220</v>
      </c>
      <c r="C77" s="264">
        <v>0</v>
      </c>
      <c r="D77" s="264">
        <v>6458481.2199999988</v>
      </c>
      <c r="E77" s="261">
        <f>C77+D77</f>
        <v>6458481.2199999988</v>
      </c>
      <c r="F77" s="264">
        <v>6458481.2199999988</v>
      </c>
      <c r="G77" s="264">
        <v>6458481.2199999988</v>
      </c>
      <c r="H77" s="260">
        <f>+E77-F77</f>
        <v>0</v>
      </c>
    </row>
    <row r="78" spans="1:8" x14ac:dyDescent="0.25">
      <c r="A78" s="263"/>
      <c r="B78" s="262" t="s">
        <v>219</v>
      </c>
      <c r="C78" s="264"/>
      <c r="D78" s="264"/>
      <c r="E78" s="261">
        <f>C78+D78</f>
        <v>0</v>
      </c>
      <c r="F78" s="264"/>
      <c r="G78" s="264"/>
      <c r="H78" s="260">
        <f>+E78-F78</f>
        <v>0</v>
      </c>
    </row>
    <row r="79" spans="1:8" x14ac:dyDescent="0.25">
      <c r="A79" s="263"/>
      <c r="B79" s="262" t="s">
        <v>218</v>
      </c>
      <c r="C79" s="264"/>
      <c r="D79" s="264"/>
      <c r="E79" s="261">
        <f>C79+D79</f>
        <v>0</v>
      </c>
      <c r="F79" s="264"/>
      <c r="G79" s="264"/>
      <c r="H79" s="260">
        <f>+E79-F79</f>
        <v>0</v>
      </c>
    </row>
    <row r="80" spans="1:8" x14ac:dyDescent="0.25">
      <c r="A80" s="263"/>
      <c r="B80" s="262" t="s">
        <v>217</v>
      </c>
      <c r="C80" s="264"/>
      <c r="D80" s="264"/>
      <c r="E80" s="261">
        <f>C80+D80</f>
        <v>0</v>
      </c>
      <c r="F80" s="264"/>
      <c r="G80" s="264"/>
      <c r="H80" s="260">
        <f>+E80-F80</f>
        <v>0</v>
      </c>
    </row>
    <row r="81" spans="1:8" x14ac:dyDescent="0.25">
      <c r="A81" s="263"/>
      <c r="B81" s="262" t="s">
        <v>216</v>
      </c>
      <c r="C81" s="264"/>
      <c r="D81" s="264"/>
      <c r="E81" s="261">
        <f>C81+D81</f>
        <v>0</v>
      </c>
      <c r="F81" s="264"/>
      <c r="G81" s="264"/>
      <c r="H81" s="260">
        <f>+E81-F81</f>
        <v>0</v>
      </c>
    </row>
    <row r="82" spans="1:8" x14ac:dyDescent="0.25">
      <c r="A82" s="263"/>
      <c r="B82" s="262" t="s">
        <v>215</v>
      </c>
      <c r="C82" s="264">
        <v>0</v>
      </c>
      <c r="D82" s="264">
        <v>34740107.510000005</v>
      </c>
      <c r="E82" s="261">
        <f>C82+D82</f>
        <v>34740107.510000005</v>
      </c>
      <c r="F82" s="264">
        <v>34740107.43</v>
      </c>
      <c r="G82" s="264">
        <v>34582478.920000002</v>
      </c>
      <c r="H82" s="260">
        <f>+E82-F82</f>
        <v>8.0000005662441254E-2</v>
      </c>
    </row>
    <row r="83" spans="1:8" x14ac:dyDescent="0.25">
      <c r="A83" s="259" t="s">
        <v>288</v>
      </c>
      <c r="B83" s="258"/>
      <c r="C83" s="257">
        <f>+C84+C92+C102+C112+C122+C132+C136+C145+C149</f>
        <v>88275234</v>
      </c>
      <c r="D83" s="257">
        <f>+D84+D92+D102+D112+D122+D132+D136+D145+D149</f>
        <v>43640495.189999998</v>
      </c>
      <c r="E83" s="257">
        <f>+E84+E92+E102+E112+E122+E132+E136+E145+E149</f>
        <v>131915729.19</v>
      </c>
      <c r="F83" s="257">
        <f>+F84+F92+F102+F112+F122+F132+F136+F145+F149</f>
        <v>6260918.9299999997</v>
      </c>
      <c r="G83" s="257">
        <f>+G84+G92+G102+G112+G122+G132+G136+G145+G149</f>
        <v>6260918.9299999997</v>
      </c>
      <c r="H83" s="257">
        <f>+H84+H92+H102+H112+H122+H132+H136+H145+H149</f>
        <v>125654810.25999999</v>
      </c>
    </row>
    <row r="84" spans="1:8" x14ac:dyDescent="0.25">
      <c r="A84" s="266" t="s">
        <v>287</v>
      </c>
      <c r="B84" s="265"/>
      <c r="C84" s="261">
        <f>SUM(C85:C91)</f>
        <v>0</v>
      </c>
      <c r="D84" s="261">
        <f>SUM(D85:D91)</f>
        <v>0</v>
      </c>
      <c r="E84" s="261">
        <f>SUM(E85:E91)</f>
        <v>0</v>
      </c>
      <c r="F84" s="261">
        <f>SUM(F85:F91)</f>
        <v>0</v>
      </c>
      <c r="G84" s="261">
        <f>SUM(G85:G91)</f>
        <v>0</v>
      </c>
      <c r="H84" s="261">
        <f>SUM(H85:H91)</f>
        <v>0</v>
      </c>
    </row>
    <row r="85" spans="1:8" x14ac:dyDescent="0.25">
      <c r="A85" s="263"/>
      <c r="B85" s="262" t="s">
        <v>286</v>
      </c>
      <c r="C85" s="264"/>
      <c r="D85" s="264"/>
      <c r="E85" s="261">
        <f>C85+D85</f>
        <v>0</v>
      </c>
      <c r="F85" s="264"/>
      <c r="G85" s="264"/>
      <c r="H85" s="260">
        <f>+E85-F85</f>
        <v>0</v>
      </c>
    </row>
    <row r="86" spans="1:8" x14ac:dyDescent="0.25">
      <c r="A86" s="263"/>
      <c r="B86" s="262" t="s">
        <v>285</v>
      </c>
      <c r="C86" s="264"/>
      <c r="D86" s="264"/>
      <c r="E86" s="261">
        <f>C86+D86</f>
        <v>0</v>
      </c>
      <c r="F86" s="264"/>
      <c r="G86" s="264"/>
      <c r="H86" s="260">
        <f>+E86-F86</f>
        <v>0</v>
      </c>
    </row>
    <row r="87" spans="1:8" x14ac:dyDescent="0.25">
      <c r="A87" s="263"/>
      <c r="B87" s="262" t="s">
        <v>284</v>
      </c>
      <c r="C87" s="264"/>
      <c r="D87" s="264"/>
      <c r="E87" s="261">
        <f>C87+D87</f>
        <v>0</v>
      </c>
      <c r="F87" s="264"/>
      <c r="G87" s="264"/>
      <c r="H87" s="260">
        <f>+E87-F87</f>
        <v>0</v>
      </c>
    </row>
    <row r="88" spans="1:8" x14ac:dyDescent="0.25">
      <c r="A88" s="263"/>
      <c r="B88" s="262" t="s">
        <v>283</v>
      </c>
      <c r="C88" s="264"/>
      <c r="D88" s="264"/>
      <c r="E88" s="261">
        <f>C88+D88</f>
        <v>0</v>
      </c>
      <c r="F88" s="264"/>
      <c r="G88" s="264"/>
      <c r="H88" s="260">
        <f>+E88-F88</f>
        <v>0</v>
      </c>
    </row>
    <row r="89" spans="1:8" x14ac:dyDescent="0.25">
      <c r="A89" s="263"/>
      <c r="B89" s="262" t="s">
        <v>282</v>
      </c>
      <c r="C89" s="264"/>
      <c r="D89" s="264"/>
      <c r="E89" s="261">
        <f>C89+D89</f>
        <v>0</v>
      </c>
      <c r="F89" s="264"/>
      <c r="G89" s="264"/>
      <c r="H89" s="260">
        <f>+E89-F89</f>
        <v>0</v>
      </c>
    </row>
    <row r="90" spans="1:8" x14ac:dyDescent="0.25">
      <c r="A90" s="263"/>
      <c r="B90" s="262" t="s">
        <v>281</v>
      </c>
      <c r="C90" s="264"/>
      <c r="D90" s="264"/>
      <c r="E90" s="261">
        <f>C90+D90</f>
        <v>0</v>
      </c>
      <c r="F90" s="264"/>
      <c r="G90" s="264"/>
      <c r="H90" s="260">
        <f>+E90-F90</f>
        <v>0</v>
      </c>
    </row>
    <row r="91" spans="1:8" x14ac:dyDescent="0.25">
      <c r="A91" s="263"/>
      <c r="B91" s="262" t="s">
        <v>280</v>
      </c>
      <c r="C91" s="264"/>
      <c r="D91" s="264"/>
      <c r="E91" s="261">
        <f>C91+D91</f>
        <v>0</v>
      </c>
      <c r="F91" s="264"/>
      <c r="G91" s="264"/>
      <c r="H91" s="260">
        <f>+E91-F91</f>
        <v>0</v>
      </c>
    </row>
    <row r="92" spans="1:8" x14ac:dyDescent="0.25">
      <c r="A92" s="266" t="s">
        <v>279</v>
      </c>
      <c r="B92" s="265"/>
      <c r="C92" s="261">
        <f>SUM(C93:C101)</f>
        <v>0</v>
      </c>
      <c r="D92" s="261">
        <f>SUM(D93:D101)</f>
        <v>0</v>
      </c>
      <c r="E92" s="261">
        <f>SUM(E93:E101)</f>
        <v>0</v>
      </c>
      <c r="F92" s="261">
        <f>SUM(F93:F101)</f>
        <v>0</v>
      </c>
      <c r="G92" s="261">
        <f>SUM(G93:G101)</f>
        <v>0</v>
      </c>
      <c r="H92" s="261">
        <f>SUM(H93:H101)</f>
        <v>0</v>
      </c>
    </row>
    <row r="93" spans="1:8" x14ac:dyDescent="0.25">
      <c r="A93" s="263"/>
      <c r="B93" s="262" t="s">
        <v>278</v>
      </c>
      <c r="C93" s="264"/>
      <c r="D93" s="264"/>
      <c r="E93" s="261">
        <f>C93+D93</f>
        <v>0</v>
      </c>
      <c r="F93" s="264"/>
      <c r="G93" s="264"/>
      <c r="H93" s="260">
        <f>+E93-F93</f>
        <v>0</v>
      </c>
    </row>
    <row r="94" spans="1:8" x14ac:dyDescent="0.25">
      <c r="A94" s="263"/>
      <c r="B94" s="262" t="s">
        <v>277</v>
      </c>
      <c r="C94" s="264"/>
      <c r="D94" s="264"/>
      <c r="E94" s="261">
        <f>C94+D94</f>
        <v>0</v>
      </c>
      <c r="F94" s="264"/>
      <c r="G94" s="264"/>
      <c r="H94" s="260">
        <f>+E94-F94</f>
        <v>0</v>
      </c>
    </row>
    <row r="95" spans="1:8" x14ac:dyDescent="0.25">
      <c r="A95" s="263"/>
      <c r="B95" s="262" t="s">
        <v>276</v>
      </c>
      <c r="C95" s="264"/>
      <c r="D95" s="264"/>
      <c r="E95" s="261">
        <f>C95+D95</f>
        <v>0</v>
      </c>
      <c r="F95" s="264"/>
      <c r="G95" s="264"/>
      <c r="H95" s="260">
        <f>+E95-F95</f>
        <v>0</v>
      </c>
    </row>
    <row r="96" spans="1:8" x14ac:dyDescent="0.25">
      <c r="A96" s="263"/>
      <c r="B96" s="262" t="s">
        <v>275</v>
      </c>
      <c r="C96" s="264"/>
      <c r="D96" s="264"/>
      <c r="E96" s="261">
        <f>C96+D96</f>
        <v>0</v>
      </c>
      <c r="F96" s="264"/>
      <c r="G96" s="264"/>
      <c r="H96" s="260">
        <f>+E96-F96</f>
        <v>0</v>
      </c>
    </row>
    <row r="97" spans="1:8" x14ac:dyDescent="0.25">
      <c r="A97" s="263"/>
      <c r="B97" s="262" t="s">
        <v>274</v>
      </c>
      <c r="C97" s="264"/>
      <c r="D97" s="264"/>
      <c r="E97" s="261">
        <f>C97+D97</f>
        <v>0</v>
      </c>
      <c r="F97" s="264"/>
      <c r="G97" s="264"/>
      <c r="H97" s="260">
        <f>+E97-F97</f>
        <v>0</v>
      </c>
    </row>
    <row r="98" spans="1:8" x14ac:dyDescent="0.25">
      <c r="A98" s="263"/>
      <c r="B98" s="262" t="s">
        <v>273</v>
      </c>
      <c r="C98" s="264"/>
      <c r="D98" s="264"/>
      <c r="E98" s="261">
        <f>C98+D98</f>
        <v>0</v>
      </c>
      <c r="F98" s="264"/>
      <c r="G98" s="264"/>
      <c r="H98" s="260">
        <f>+E98-F98</f>
        <v>0</v>
      </c>
    </row>
    <row r="99" spans="1:8" x14ac:dyDescent="0.25">
      <c r="A99" s="263"/>
      <c r="B99" s="262" t="s">
        <v>272</v>
      </c>
      <c r="C99" s="264"/>
      <c r="D99" s="264"/>
      <c r="E99" s="261">
        <f>C99+D99</f>
        <v>0</v>
      </c>
      <c r="F99" s="264"/>
      <c r="G99" s="264"/>
      <c r="H99" s="260">
        <f>+E99-F99</f>
        <v>0</v>
      </c>
    </row>
    <row r="100" spans="1:8" x14ac:dyDescent="0.25">
      <c r="A100" s="263"/>
      <c r="B100" s="262" t="s">
        <v>271</v>
      </c>
      <c r="C100" s="264"/>
      <c r="D100" s="264"/>
      <c r="E100" s="261">
        <f>C100+D100</f>
        <v>0</v>
      </c>
      <c r="F100" s="264"/>
      <c r="G100" s="264"/>
      <c r="H100" s="260">
        <f>+E100-F100</f>
        <v>0</v>
      </c>
    </row>
    <row r="101" spans="1:8" x14ac:dyDescent="0.25">
      <c r="A101" s="263"/>
      <c r="B101" s="262" t="s">
        <v>270</v>
      </c>
      <c r="C101" s="264"/>
      <c r="D101" s="264"/>
      <c r="E101" s="261">
        <f>C101+D101</f>
        <v>0</v>
      </c>
      <c r="F101" s="264"/>
      <c r="G101" s="264"/>
      <c r="H101" s="260">
        <f>+E101-F101</f>
        <v>0</v>
      </c>
    </row>
    <row r="102" spans="1:8" x14ac:dyDescent="0.25">
      <c r="A102" s="266" t="s">
        <v>269</v>
      </c>
      <c r="B102" s="265"/>
      <c r="C102" s="261">
        <f>SUM(C103:C111)</f>
        <v>0</v>
      </c>
      <c r="D102" s="261">
        <f>SUM(D103:D111)</f>
        <v>0</v>
      </c>
      <c r="E102" s="261">
        <f>SUM(E103:E111)</f>
        <v>0</v>
      </c>
      <c r="F102" s="261">
        <f>SUM(F103:F111)</f>
        <v>0</v>
      </c>
      <c r="G102" s="261">
        <f>SUM(G103:G111)</f>
        <v>0</v>
      </c>
      <c r="H102" s="261">
        <f>SUM(H103:H111)</f>
        <v>0</v>
      </c>
    </row>
    <row r="103" spans="1:8" x14ac:dyDescent="0.25">
      <c r="A103" s="263"/>
      <c r="B103" s="262" t="s">
        <v>268</v>
      </c>
      <c r="C103" s="264"/>
      <c r="D103" s="264"/>
      <c r="E103" s="261">
        <f>C103+D103</f>
        <v>0</v>
      </c>
      <c r="F103" s="264"/>
      <c r="G103" s="264"/>
      <c r="H103" s="260">
        <f>+E103-F103</f>
        <v>0</v>
      </c>
    </row>
    <row r="104" spans="1:8" x14ac:dyDescent="0.25">
      <c r="A104" s="263"/>
      <c r="B104" s="262" t="s">
        <v>267</v>
      </c>
      <c r="C104" s="264"/>
      <c r="D104" s="264"/>
      <c r="E104" s="261">
        <f>C104+D104</f>
        <v>0</v>
      </c>
      <c r="F104" s="264"/>
      <c r="G104" s="264"/>
      <c r="H104" s="260">
        <f>+E104-F104</f>
        <v>0</v>
      </c>
    </row>
    <row r="105" spans="1:8" x14ac:dyDescent="0.25">
      <c r="A105" s="263"/>
      <c r="B105" s="262" t="s">
        <v>266</v>
      </c>
      <c r="C105" s="264"/>
      <c r="D105" s="264"/>
      <c r="E105" s="261">
        <f>C105+D105</f>
        <v>0</v>
      </c>
      <c r="F105" s="264"/>
      <c r="G105" s="264"/>
      <c r="H105" s="260">
        <f>+E105-F105</f>
        <v>0</v>
      </c>
    </row>
    <row r="106" spans="1:8" x14ac:dyDescent="0.25">
      <c r="A106" s="263"/>
      <c r="B106" s="262" t="s">
        <v>265</v>
      </c>
      <c r="C106" s="264"/>
      <c r="D106" s="264"/>
      <c r="E106" s="261">
        <f>C106+D106</f>
        <v>0</v>
      </c>
      <c r="F106" s="264"/>
      <c r="G106" s="264"/>
      <c r="H106" s="260">
        <f>+E106-F106</f>
        <v>0</v>
      </c>
    </row>
    <row r="107" spans="1:8" ht="15.75" thickBot="1" x14ac:dyDescent="0.3">
      <c r="A107" s="256"/>
      <c r="B107" s="255" t="s">
        <v>264</v>
      </c>
      <c r="C107" s="268"/>
      <c r="D107" s="268"/>
      <c r="E107" s="269">
        <f>C107+D107</f>
        <v>0</v>
      </c>
      <c r="F107" s="268"/>
      <c r="G107" s="268"/>
      <c r="H107" s="267">
        <f>+E107-F107</f>
        <v>0</v>
      </c>
    </row>
    <row r="108" spans="1:8" x14ac:dyDescent="0.25">
      <c r="A108" s="263"/>
      <c r="B108" s="262" t="s">
        <v>263</v>
      </c>
      <c r="C108" s="264"/>
      <c r="D108" s="264"/>
      <c r="E108" s="261">
        <f>C108+D108</f>
        <v>0</v>
      </c>
      <c r="F108" s="264"/>
      <c r="G108" s="264"/>
      <c r="H108" s="260">
        <f>+E108-F108</f>
        <v>0</v>
      </c>
    </row>
    <row r="109" spans="1:8" x14ac:dyDescent="0.25">
      <c r="A109" s="263"/>
      <c r="B109" s="262" t="s">
        <v>262</v>
      </c>
      <c r="C109" s="264"/>
      <c r="D109" s="264"/>
      <c r="E109" s="261">
        <f>C109+D109</f>
        <v>0</v>
      </c>
      <c r="F109" s="264"/>
      <c r="G109" s="264"/>
      <c r="H109" s="260">
        <f>+E109-F109</f>
        <v>0</v>
      </c>
    </row>
    <row r="110" spans="1:8" x14ac:dyDescent="0.25">
      <c r="A110" s="263"/>
      <c r="B110" s="262" t="s">
        <v>261</v>
      </c>
      <c r="C110" s="264"/>
      <c r="D110" s="264"/>
      <c r="E110" s="261">
        <f>C110+D110</f>
        <v>0</v>
      </c>
      <c r="F110" s="264"/>
      <c r="G110" s="264"/>
      <c r="H110" s="260">
        <f>+E110-F110</f>
        <v>0</v>
      </c>
    </row>
    <row r="111" spans="1:8" x14ac:dyDescent="0.25">
      <c r="A111" s="263"/>
      <c r="B111" s="262" t="s">
        <v>260</v>
      </c>
      <c r="C111" s="264"/>
      <c r="D111" s="264"/>
      <c r="E111" s="261">
        <f>C111+D111</f>
        <v>0</v>
      </c>
      <c r="F111" s="264"/>
      <c r="G111" s="264"/>
      <c r="H111" s="260">
        <f>+E111-F111</f>
        <v>0</v>
      </c>
    </row>
    <row r="112" spans="1:8" x14ac:dyDescent="0.25">
      <c r="A112" s="266" t="s">
        <v>259</v>
      </c>
      <c r="B112" s="265"/>
      <c r="C112" s="261">
        <f>SUM(C113:C121)</f>
        <v>0</v>
      </c>
      <c r="D112" s="261">
        <f>SUM(D113:D121)</f>
        <v>0</v>
      </c>
      <c r="E112" s="261">
        <f>SUM(E113:E121)</f>
        <v>0</v>
      </c>
      <c r="F112" s="261">
        <f>SUM(F113:F121)</f>
        <v>0</v>
      </c>
      <c r="G112" s="261">
        <f>SUM(G113:G121)</f>
        <v>0</v>
      </c>
      <c r="H112" s="261">
        <f>SUM(H113:H121)</f>
        <v>0</v>
      </c>
    </row>
    <row r="113" spans="1:8" x14ac:dyDescent="0.25">
      <c r="A113" s="263"/>
      <c r="B113" s="262" t="s">
        <v>258</v>
      </c>
      <c r="C113" s="264"/>
      <c r="D113" s="264"/>
      <c r="E113" s="261">
        <f>C113+D113</f>
        <v>0</v>
      </c>
      <c r="F113" s="264"/>
      <c r="G113" s="264"/>
      <c r="H113" s="260">
        <f>+E113-F113</f>
        <v>0</v>
      </c>
    </row>
    <row r="114" spans="1:8" x14ac:dyDescent="0.25">
      <c r="A114" s="263"/>
      <c r="B114" s="262" t="s">
        <v>257</v>
      </c>
      <c r="C114" s="264"/>
      <c r="D114" s="264"/>
      <c r="E114" s="261">
        <f>C114+D114</f>
        <v>0</v>
      </c>
      <c r="F114" s="264"/>
      <c r="G114" s="264"/>
      <c r="H114" s="260">
        <f>+E114-F114</f>
        <v>0</v>
      </c>
    </row>
    <row r="115" spans="1:8" x14ac:dyDescent="0.25">
      <c r="A115" s="263"/>
      <c r="B115" s="262" t="s">
        <v>256</v>
      </c>
      <c r="C115" s="264"/>
      <c r="D115" s="264"/>
      <c r="E115" s="261">
        <f>C115+D115</f>
        <v>0</v>
      </c>
      <c r="F115" s="264"/>
      <c r="G115" s="264"/>
      <c r="H115" s="260">
        <f>+E115-F115</f>
        <v>0</v>
      </c>
    </row>
    <row r="116" spans="1:8" x14ac:dyDescent="0.25">
      <c r="A116" s="263"/>
      <c r="B116" s="262" t="s">
        <v>255</v>
      </c>
      <c r="C116" s="264"/>
      <c r="D116" s="264"/>
      <c r="E116" s="261">
        <f>C116+D116</f>
        <v>0</v>
      </c>
      <c r="F116" s="264"/>
      <c r="G116" s="264"/>
      <c r="H116" s="260">
        <f>+E116-F116</f>
        <v>0</v>
      </c>
    </row>
    <row r="117" spans="1:8" x14ac:dyDescent="0.25">
      <c r="A117" s="263"/>
      <c r="B117" s="262" t="s">
        <v>254</v>
      </c>
      <c r="C117" s="264"/>
      <c r="D117" s="264"/>
      <c r="E117" s="261">
        <f>C117+D117</f>
        <v>0</v>
      </c>
      <c r="F117" s="264"/>
      <c r="G117" s="264"/>
      <c r="H117" s="260">
        <f>+E117-F117</f>
        <v>0</v>
      </c>
    </row>
    <row r="118" spans="1:8" x14ac:dyDescent="0.25">
      <c r="A118" s="263"/>
      <c r="B118" s="262" t="s">
        <v>253</v>
      </c>
      <c r="C118" s="264"/>
      <c r="D118" s="264"/>
      <c r="E118" s="261">
        <f>C118+D118</f>
        <v>0</v>
      </c>
      <c r="F118" s="264"/>
      <c r="G118" s="264"/>
      <c r="H118" s="260">
        <f>+E118-F118</f>
        <v>0</v>
      </c>
    </row>
    <row r="119" spans="1:8" x14ac:dyDescent="0.25">
      <c r="A119" s="263"/>
      <c r="B119" s="262" t="s">
        <v>252</v>
      </c>
      <c r="C119" s="264"/>
      <c r="D119" s="264"/>
      <c r="E119" s="261">
        <f>C119+D119</f>
        <v>0</v>
      </c>
      <c r="F119" s="264"/>
      <c r="G119" s="264"/>
      <c r="H119" s="260">
        <f>+E119-F119</f>
        <v>0</v>
      </c>
    </row>
    <row r="120" spans="1:8" x14ac:dyDescent="0.25">
      <c r="A120" s="263"/>
      <c r="B120" s="262" t="s">
        <v>251</v>
      </c>
      <c r="C120" s="264"/>
      <c r="D120" s="264"/>
      <c r="E120" s="261">
        <f>C120+D120</f>
        <v>0</v>
      </c>
      <c r="F120" s="264"/>
      <c r="G120" s="264"/>
      <c r="H120" s="260">
        <f>+E120-F120</f>
        <v>0</v>
      </c>
    </row>
    <row r="121" spans="1:8" x14ac:dyDescent="0.25">
      <c r="A121" s="263"/>
      <c r="B121" s="262" t="s">
        <v>250</v>
      </c>
      <c r="C121" s="264"/>
      <c r="D121" s="264"/>
      <c r="E121" s="261">
        <f>C121+D121</f>
        <v>0</v>
      </c>
      <c r="F121" s="264"/>
      <c r="G121" s="264"/>
      <c r="H121" s="260">
        <f>+E121-F121</f>
        <v>0</v>
      </c>
    </row>
    <row r="122" spans="1:8" x14ac:dyDescent="0.25">
      <c r="A122" s="266" t="s">
        <v>249</v>
      </c>
      <c r="B122" s="265"/>
      <c r="C122" s="261">
        <f>SUM(C123:C131)</f>
        <v>0</v>
      </c>
      <c r="D122" s="261">
        <f>SUM(D123:D131)</f>
        <v>0</v>
      </c>
      <c r="E122" s="261">
        <f>SUM(E123:E131)</f>
        <v>0</v>
      </c>
      <c r="F122" s="261">
        <f>SUM(F123:F131)</f>
        <v>0</v>
      </c>
      <c r="G122" s="261">
        <f>SUM(G123:G131)</f>
        <v>0</v>
      </c>
      <c r="H122" s="261">
        <f>SUM(H123:H131)</f>
        <v>0</v>
      </c>
    </row>
    <row r="123" spans="1:8" x14ac:dyDescent="0.25">
      <c r="A123" s="263"/>
      <c r="B123" s="262" t="s">
        <v>248</v>
      </c>
      <c r="C123" s="264">
        <v>0</v>
      </c>
      <c r="D123" s="264"/>
      <c r="E123" s="261">
        <f>C123+D123</f>
        <v>0</v>
      </c>
      <c r="F123" s="264"/>
      <c r="G123" s="264"/>
      <c r="H123" s="260">
        <f>+E123-F123</f>
        <v>0</v>
      </c>
    </row>
    <row r="124" spans="1:8" x14ac:dyDescent="0.25">
      <c r="A124" s="263"/>
      <c r="B124" s="262" t="s">
        <v>247</v>
      </c>
      <c r="C124" s="264"/>
      <c r="D124" s="264"/>
      <c r="E124" s="261">
        <f>C124+D124</f>
        <v>0</v>
      </c>
      <c r="F124" s="264"/>
      <c r="G124" s="264"/>
      <c r="H124" s="260">
        <f>+E124-F124</f>
        <v>0</v>
      </c>
    </row>
    <row r="125" spans="1:8" x14ac:dyDescent="0.25">
      <c r="A125" s="263"/>
      <c r="B125" s="262" t="s">
        <v>246</v>
      </c>
      <c r="C125" s="264"/>
      <c r="D125" s="264"/>
      <c r="E125" s="261">
        <f>C125+D125</f>
        <v>0</v>
      </c>
      <c r="F125" s="264"/>
      <c r="G125" s="264"/>
      <c r="H125" s="260">
        <f>+E125-F125</f>
        <v>0</v>
      </c>
    </row>
    <row r="126" spans="1:8" x14ac:dyDescent="0.25">
      <c r="A126" s="263"/>
      <c r="B126" s="262" t="s">
        <v>245</v>
      </c>
      <c r="C126" s="264"/>
      <c r="D126" s="264"/>
      <c r="E126" s="261">
        <f>C126+D126</f>
        <v>0</v>
      </c>
      <c r="F126" s="264"/>
      <c r="G126" s="264"/>
      <c r="H126" s="260">
        <f>+E126-F126</f>
        <v>0</v>
      </c>
    </row>
    <row r="127" spans="1:8" x14ac:dyDescent="0.25">
      <c r="A127" s="263"/>
      <c r="B127" s="262" t="s">
        <v>244</v>
      </c>
      <c r="C127" s="264"/>
      <c r="D127" s="264"/>
      <c r="E127" s="261">
        <f>C127+D127</f>
        <v>0</v>
      </c>
      <c r="F127" s="264"/>
      <c r="G127" s="264"/>
      <c r="H127" s="260">
        <f>+E127-F127</f>
        <v>0</v>
      </c>
    </row>
    <row r="128" spans="1:8" x14ac:dyDescent="0.25">
      <c r="A128" s="263"/>
      <c r="B128" s="262" t="s">
        <v>243</v>
      </c>
      <c r="C128" s="264"/>
      <c r="D128" s="264"/>
      <c r="E128" s="261">
        <f>C128+D128</f>
        <v>0</v>
      </c>
      <c r="F128" s="264"/>
      <c r="G128" s="264"/>
      <c r="H128" s="260">
        <f>+E128-F128</f>
        <v>0</v>
      </c>
    </row>
    <row r="129" spans="1:8" x14ac:dyDescent="0.25">
      <c r="A129" s="263"/>
      <c r="B129" s="262" t="s">
        <v>242</v>
      </c>
      <c r="C129" s="264"/>
      <c r="D129" s="264"/>
      <c r="E129" s="261">
        <f>C129+D129</f>
        <v>0</v>
      </c>
      <c r="F129" s="264"/>
      <c r="G129" s="264"/>
      <c r="H129" s="260">
        <f>+E129-F129</f>
        <v>0</v>
      </c>
    </row>
    <row r="130" spans="1:8" x14ac:dyDescent="0.25">
      <c r="A130" s="263"/>
      <c r="B130" s="262" t="s">
        <v>241</v>
      </c>
      <c r="C130" s="264"/>
      <c r="D130" s="264"/>
      <c r="E130" s="261">
        <f>C130+D130</f>
        <v>0</v>
      </c>
      <c r="F130" s="264"/>
      <c r="G130" s="264"/>
      <c r="H130" s="260">
        <f>+E130-F130</f>
        <v>0</v>
      </c>
    </row>
    <row r="131" spans="1:8" x14ac:dyDescent="0.25">
      <c r="A131" s="263"/>
      <c r="B131" s="262" t="s">
        <v>240</v>
      </c>
      <c r="C131" s="264"/>
      <c r="D131" s="264"/>
      <c r="E131" s="261">
        <f>C131+D131</f>
        <v>0</v>
      </c>
      <c r="F131" s="264"/>
      <c r="G131" s="264"/>
      <c r="H131" s="260">
        <f>+E131-F131</f>
        <v>0</v>
      </c>
    </row>
    <row r="132" spans="1:8" x14ac:dyDescent="0.25">
      <c r="A132" s="266" t="s">
        <v>239</v>
      </c>
      <c r="B132" s="265"/>
      <c r="C132" s="261">
        <f>SUM(C133:C135)</f>
        <v>88275234</v>
      </c>
      <c r="D132" s="261">
        <f>SUM(D133:D135)</f>
        <v>43640495.189999998</v>
      </c>
      <c r="E132" s="261">
        <f>SUM(E133:E135)</f>
        <v>131915729.19</v>
      </c>
      <c r="F132" s="261">
        <f>SUM(F133:F135)</f>
        <v>6260918.9299999997</v>
      </c>
      <c r="G132" s="261">
        <f>SUM(G133:G135)</f>
        <v>6260918.9299999997</v>
      </c>
      <c r="H132" s="261">
        <f>SUM(H133:H135)</f>
        <v>125654810.25999999</v>
      </c>
    </row>
    <row r="133" spans="1:8" x14ac:dyDescent="0.25">
      <c r="A133" s="263"/>
      <c r="B133" s="262" t="s">
        <v>238</v>
      </c>
      <c r="C133" s="264">
        <v>88275234</v>
      </c>
      <c r="D133" s="264">
        <v>43640495.189999998</v>
      </c>
      <c r="E133" s="261">
        <f>C133+D133</f>
        <v>131915729.19</v>
      </c>
      <c r="F133" s="264">
        <v>6260918.9299999997</v>
      </c>
      <c r="G133" s="264">
        <v>6260918.9299999997</v>
      </c>
      <c r="H133" s="260">
        <f>+E133-F133</f>
        <v>125654810.25999999</v>
      </c>
    </row>
    <row r="134" spans="1:8" x14ac:dyDescent="0.25">
      <c r="A134" s="263"/>
      <c r="B134" s="262" t="s">
        <v>237</v>
      </c>
      <c r="C134" s="264"/>
      <c r="D134" s="264"/>
      <c r="E134" s="261">
        <f>C134+D134</f>
        <v>0</v>
      </c>
      <c r="F134" s="264"/>
      <c r="G134" s="264"/>
      <c r="H134" s="260">
        <f>+E134-F134</f>
        <v>0</v>
      </c>
    </row>
    <row r="135" spans="1:8" x14ac:dyDescent="0.25">
      <c r="A135" s="263"/>
      <c r="B135" s="262" t="s">
        <v>236</v>
      </c>
      <c r="C135" s="264"/>
      <c r="D135" s="264"/>
      <c r="E135" s="261">
        <f>C135+D135</f>
        <v>0</v>
      </c>
      <c r="F135" s="264"/>
      <c r="G135" s="264"/>
      <c r="H135" s="260">
        <f>+E135-F135</f>
        <v>0</v>
      </c>
    </row>
    <row r="136" spans="1:8" x14ac:dyDescent="0.25">
      <c r="A136" s="266" t="s">
        <v>235</v>
      </c>
      <c r="B136" s="265"/>
      <c r="C136" s="261">
        <f>SUM(C137:C144)</f>
        <v>0</v>
      </c>
      <c r="D136" s="261">
        <f>SUM(D137:D144)</f>
        <v>0</v>
      </c>
      <c r="E136" s="261">
        <f>SUM(E137:E144)</f>
        <v>0</v>
      </c>
      <c r="F136" s="261">
        <f>SUM(F137:F144)</f>
        <v>0</v>
      </c>
      <c r="G136" s="261">
        <f>SUM(G137:G144)</f>
        <v>0</v>
      </c>
      <c r="H136" s="261">
        <f>SUM(H137:H144)</f>
        <v>0</v>
      </c>
    </row>
    <row r="137" spans="1:8" x14ac:dyDescent="0.25">
      <c r="A137" s="263"/>
      <c r="B137" s="262" t="s">
        <v>234</v>
      </c>
      <c r="C137" s="264"/>
      <c r="D137" s="264"/>
      <c r="E137" s="261">
        <f>C137+D137</f>
        <v>0</v>
      </c>
      <c r="F137" s="264"/>
      <c r="G137" s="264"/>
      <c r="H137" s="260">
        <f>+E137-F137</f>
        <v>0</v>
      </c>
    </row>
    <row r="138" spans="1:8" x14ac:dyDescent="0.25">
      <c r="A138" s="263"/>
      <c r="B138" s="262" t="s">
        <v>233</v>
      </c>
      <c r="C138" s="264"/>
      <c r="D138" s="264"/>
      <c r="E138" s="261">
        <f>C138+D138</f>
        <v>0</v>
      </c>
      <c r="F138" s="264"/>
      <c r="G138" s="264"/>
      <c r="H138" s="260">
        <f>+E138-F138</f>
        <v>0</v>
      </c>
    </row>
    <row r="139" spans="1:8" x14ac:dyDescent="0.25">
      <c r="A139" s="263"/>
      <c r="B139" s="262" t="s">
        <v>232</v>
      </c>
      <c r="C139" s="264"/>
      <c r="D139" s="264"/>
      <c r="E139" s="261">
        <f>C139+D139</f>
        <v>0</v>
      </c>
      <c r="F139" s="264"/>
      <c r="G139" s="264"/>
      <c r="H139" s="260">
        <f>+E139-F139</f>
        <v>0</v>
      </c>
    </row>
    <row r="140" spans="1:8" x14ac:dyDescent="0.25">
      <c r="A140" s="263"/>
      <c r="B140" s="262" t="s">
        <v>231</v>
      </c>
      <c r="C140" s="264"/>
      <c r="D140" s="264"/>
      <c r="E140" s="261">
        <f>C140+D140</f>
        <v>0</v>
      </c>
      <c r="F140" s="264"/>
      <c r="G140" s="264"/>
      <c r="H140" s="260">
        <f>+E140-F140</f>
        <v>0</v>
      </c>
    </row>
    <row r="141" spans="1:8" x14ac:dyDescent="0.25">
      <c r="A141" s="263"/>
      <c r="B141" s="262" t="s">
        <v>230</v>
      </c>
      <c r="C141" s="264"/>
      <c r="D141" s="264"/>
      <c r="E141" s="261">
        <f>C141+D141</f>
        <v>0</v>
      </c>
      <c r="F141" s="264"/>
      <c r="G141" s="264"/>
      <c r="H141" s="260">
        <f>+E141-F141</f>
        <v>0</v>
      </c>
    </row>
    <row r="142" spans="1:8" ht="15.75" thickBot="1" x14ac:dyDescent="0.3">
      <c r="A142" s="256"/>
      <c r="B142" s="255" t="s">
        <v>229</v>
      </c>
      <c r="C142" s="268"/>
      <c r="D142" s="268"/>
      <c r="E142" s="269">
        <f>C142+D142</f>
        <v>0</v>
      </c>
      <c r="F142" s="268"/>
      <c r="G142" s="268"/>
      <c r="H142" s="267">
        <f>+E142-F142</f>
        <v>0</v>
      </c>
    </row>
    <row r="143" spans="1:8" x14ac:dyDescent="0.25">
      <c r="A143" s="263"/>
      <c r="B143" s="262" t="s">
        <v>228</v>
      </c>
      <c r="C143" s="264"/>
      <c r="D143" s="264"/>
      <c r="E143" s="261">
        <f>C143+D143</f>
        <v>0</v>
      </c>
      <c r="F143" s="264"/>
      <c r="G143" s="264"/>
      <c r="H143" s="260">
        <f>+E143-F143</f>
        <v>0</v>
      </c>
    </row>
    <row r="144" spans="1:8" x14ac:dyDescent="0.25">
      <c r="A144" s="263"/>
      <c r="B144" s="262" t="s">
        <v>227</v>
      </c>
      <c r="C144" s="264"/>
      <c r="D144" s="264"/>
      <c r="E144" s="261">
        <f>C144+D144</f>
        <v>0</v>
      </c>
      <c r="F144" s="264"/>
      <c r="G144" s="264"/>
      <c r="H144" s="260">
        <f>+E144-F144</f>
        <v>0</v>
      </c>
    </row>
    <row r="145" spans="1:9" x14ac:dyDescent="0.25">
      <c r="A145" s="266" t="s">
        <v>226</v>
      </c>
      <c r="B145" s="265"/>
      <c r="C145" s="261">
        <f>SUM(C146:C148)</f>
        <v>0</v>
      </c>
      <c r="D145" s="261">
        <f>SUM(D146:D148)</f>
        <v>0</v>
      </c>
      <c r="E145" s="261">
        <f>SUM(E146:E148)</f>
        <v>0</v>
      </c>
      <c r="F145" s="261">
        <f>SUM(F146:F148)</f>
        <v>0</v>
      </c>
      <c r="G145" s="261">
        <f>SUM(G146:G148)</f>
        <v>0</v>
      </c>
      <c r="H145" s="261">
        <f>SUM(H146:H148)</f>
        <v>0</v>
      </c>
    </row>
    <row r="146" spans="1:9" x14ac:dyDescent="0.25">
      <c r="A146" s="263"/>
      <c r="B146" s="262" t="s">
        <v>225</v>
      </c>
      <c r="C146" s="264"/>
      <c r="D146" s="264"/>
      <c r="E146" s="261">
        <f>C146+D146</f>
        <v>0</v>
      </c>
      <c r="F146" s="264"/>
      <c r="G146" s="264"/>
      <c r="H146" s="260">
        <f>+E146-F146</f>
        <v>0</v>
      </c>
    </row>
    <row r="147" spans="1:9" x14ac:dyDescent="0.25">
      <c r="A147" s="263"/>
      <c r="B147" s="262" t="s">
        <v>224</v>
      </c>
      <c r="C147" s="264"/>
      <c r="D147" s="264"/>
      <c r="E147" s="261">
        <f>C147+D147</f>
        <v>0</v>
      </c>
      <c r="F147" s="264"/>
      <c r="G147" s="264"/>
      <c r="H147" s="260">
        <f>+E147-F147</f>
        <v>0</v>
      </c>
    </row>
    <row r="148" spans="1:9" x14ac:dyDescent="0.25">
      <c r="A148" s="263"/>
      <c r="B148" s="262" t="s">
        <v>223</v>
      </c>
      <c r="C148" s="264"/>
      <c r="D148" s="264"/>
      <c r="E148" s="261">
        <f>C148+D148</f>
        <v>0</v>
      </c>
      <c r="F148" s="264"/>
      <c r="G148" s="264"/>
      <c r="H148" s="260">
        <f>+E148-F148</f>
        <v>0</v>
      </c>
    </row>
    <row r="149" spans="1:9" x14ac:dyDescent="0.25">
      <c r="A149" s="266" t="s">
        <v>222</v>
      </c>
      <c r="B149" s="265"/>
      <c r="C149" s="261">
        <f>SUM(C150:C156)</f>
        <v>0</v>
      </c>
      <c r="D149" s="261">
        <f>SUM(D150:D156)</f>
        <v>0</v>
      </c>
      <c r="E149" s="261">
        <f>SUM(E150:E156)</f>
        <v>0</v>
      </c>
      <c r="F149" s="261">
        <f>SUM(F150:F156)</f>
        <v>0</v>
      </c>
      <c r="G149" s="261">
        <f>SUM(G150:G156)</f>
        <v>0</v>
      </c>
      <c r="H149" s="261">
        <f>SUM(H150:H156)</f>
        <v>0</v>
      </c>
    </row>
    <row r="150" spans="1:9" x14ac:dyDescent="0.25">
      <c r="A150" s="263"/>
      <c r="B150" s="262" t="s">
        <v>221</v>
      </c>
      <c r="C150" s="264"/>
      <c r="D150" s="264"/>
      <c r="E150" s="261">
        <f>C150+D150</f>
        <v>0</v>
      </c>
      <c r="F150" s="264"/>
      <c r="G150" s="264"/>
      <c r="H150" s="260">
        <f>+E150-F150</f>
        <v>0</v>
      </c>
    </row>
    <row r="151" spans="1:9" x14ac:dyDescent="0.25">
      <c r="A151" s="263"/>
      <c r="B151" s="262" t="s">
        <v>220</v>
      </c>
      <c r="C151" s="264"/>
      <c r="D151" s="264"/>
      <c r="E151" s="261">
        <f>C151+D151</f>
        <v>0</v>
      </c>
      <c r="F151" s="264"/>
      <c r="G151" s="264"/>
      <c r="H151" s="260">
        <f>+E151-F151</f>
        <v>0</v>
      </c>
    </row>
    <row r="152" spans="1:9" x14ac:dyDescent="0.25">
      <c r="A152" s="263"/>
      <c r="B152" s="262" t="s">
        <v>219</v>
      </c>
      <c r="C152" s="264"/>
      <c r="D152" s="264"/>
      <c r="E152" s="261">
        <f>C152+D152</f>
        <v>0</v>
      </c>
      <c r="F152" s="264"/>
      <c r="G152" s="264"/>
      <c r="H152" s="260">
        <f>+E152-F152</f>
        <v>0</v>
      </c>
    </row>
    <row r="153" spans="1:9" x14ac:dyDescent="0.25">
      <c r="A153" s="263"/>
      <c r="B153" s="262" t="s">
        <v>218</v>
      </c>
      <c r="C153" s="264"/>
      <c r="D153" s="264"/>
      <c r="E153" s="261">
        <f>C153+D153</f>
        <v>0</v>
      </c>
      <c r="F153" s="264"/>
      <c r="G153" s="264"/>
      <c r="H153" s="260">
        <f>+E153-F153</f>
        <v>0</v>
      </c>
    </row>
    <row r="154" spans="1:9" x14ac:dyDescent="0.25">
      <c r="A154" s="263"/>
      <c r="B154" s="262" t="s">
        <v>217</v>
      </c>
      <c r="C154" s="264"/>
      <c r="D154" s="264"/>
      <c r="E154" s="261">
        <f>C154+D154</f>
        <v>0</v>
      </c>
      <c r="F154" s="264"/>
      <c r="G154" s="264"/>
      <c r="H154" s="260">
        <f>+E154-F154</f>
        <v>0</v>
      </c>
      <c r="I154" s="105" t="str">
        <f>IF((C158-'ETCA II-04'!B80)&gt;0.9,"ERROR!!!!! EL MONTO NO COINCIDE CON LO REPORTADO EN EL FORMATO ETCA-II-04 EN EL TOTAL DEL GASTO","")</f>
        <v/>
      </c>
    </row>
    <row r="155" spans="1:9" x14ac:dyDescent="0.25">
      <c r="A155" s="263"/>
      <c r="B155" s="262" t="s">
        <v>216</v>
      </c>
      <c r="C155" s="264"/>
      <c r="D155" s="264"/>
      <c r="E155" s="261">
        <f>C155+D155</f>
        <v>0</v>
      </c>
      <c r="F155" s="264"/>
      <c r="G155" s="264"/>
      <c r="H155" s="260">
        <f>+E155-F155</f>
        <v>0</v>
      </c>
      <c r="I155" s="105" t="str">
        <f>IF((D158-'ETCA II-04'!C80)&gt;0.9,"ERROR!!!!! EL MONTO NO COINCIDE CON LO REPORTADO EN EL FORMATO ETCA-II-04 EN EL TOTAL DEL GASTO","")</f>
        <v/>
      </c>
    </row>
    <row r="156" spans="1:9" x14ac:dyDescent="0.25">
      <c r="A156" s="263"/>
      <c r="B156" s="262" t="s">
        <v>215</v>
      </c>
      <c r="C156" s="264"/>
      <c r="D156" s="264"/>
      <c r="E156" s="261">
        <f>C156+D156</f>
        <v>0</v>
      </c>
      <c r="F156" s="264"/>
      <c r="G156" s="264"/>
      <c r="H156" s="260">
        <f>+E156-F156</f>
        <v>0</v>
      </c>
      <c r="I156" s="105" t="str">
        <f>IF((E158-'ETCA II-04'!D80)&gt;0.9,"ERROR!!!!! EL MONTO NO COINCIDE CON LO REPORTADO EN EL FORMATO ETCA-II-04 EN EL TOTAL DEL GASTO","")</f>
        <v/>
      </c>
    </row>
    <row r="157" spans="1:9" x14ac:dyDescent="0.25">
      <c r="A157" s="263"/>
      <c r="B157" s="262"/>
      <c r="C157" s="261"/>
      <c r="D157" s="261"/>
      <c r="E157" s="261">
        <f>C157+D157</f>
        <v>0</v>
      </c>
      <c r="F157" s="261"/>
      <c r="G157" s="261"/>
      <c r="H157" s="260"/>
      <c r="I157" s="105" t="str">
        <f>IF((H158-'ETCA II-04'!G80)&gt;0.9,"ERROR!!!!! EL MONTO NO COINCIDE CON LO REPORTADO EN EL FORMATO ETCA-II-04 EN EL TOTAL DEL GASTO","")</f>
        <v/>
      </c>
    </row>
    <row r="158" spans="1:9" x14ac:dyDescent="0.25">
      <c r="A158" s="259" t="s">
        <v>214</v>
      </c>
      <c r="B158" s="258"/>
      <c r="C158" s="257">
        <f>+C9+C83</f>
        <v>623389417.66593051</v>
      </c>
      <c r="D158" s="257">
        <f>+D9+D83</f>
        <v>99294260.989999995</v>
      </c>
      <c r="E158" s="257">
        <f>+E9+E83</f>
        <v>722683678.65593052</v>
      </c>
      <c r="F158" s="257">
        <f>+F9+F83</f>
        <v>163394492.12</v>
      </c>
      <c r="G158" s="257">
        <f>+G9+G83</f>
        <v>145583078.79000002</v>
      </c>
      <c r="H158" s="257">
        <f>+H9+H83</f>
        <v>559289186.5359304</v>
      </c>
      <c r="I158" s="105" t="str">
        <f>IF((F158-'ETCA II-04'!E80)&gt;0.9,"ERROR!!!!! EL MONTO NO COINCIDE CON LO REPORTADO EN EL FORMATO ETCA-II-04 EN EL TOTAL DEL GASTO","")</f>
        <v/>
      </c>
    </row>
    <row r="159" spans="1:9" ht="15.75" thickBot="1" x14ac:dyDescent="0.3">
      <c r="A159" s="256"/>
      <c r="B159" s="255"/>
      <c r="C159" s="254"/>
      <c r="D159" s="254"/>
      <c r="E159" s="254"/>
      <c r="F159" s="254"/>
      <c r="G159" s="254"/>
      <c r="H159" s="253"/>
      <c r="I159" s="105" t="str">
        <f>IF((G158-'ETCA II-04'!F80)&gt;0.9,"ERROR!!!!! EL MONTO NO COINCIDE CON LO REPORTADO EN EL FORMATO ETCA-II-04 EN EL TOTAL DEL GASTO","")</f>
        <v/>
      </c>
    </row>
  </sheetData>
  <sheetProtection password="C115" sheet="1" scenarios="1" formatColumns="0" formatRows="0"/>
  <mergeCells count="29">
    <mergeCell ref="A136:B136"/>
    <mergeCell ref="A145:B145"/>
    <mergeCell ref="A149:B149"/>
    <mergeCell ref="A62:B62"/>
    <mergeCell ref="A158:B158"/>
    <mergeCell ref="A75:B75"/>
    <mergeCell ref="A83:B83"/>
    <mergeCell ref="A84:B84"/>
    <mergeCell ref="A92:B92"/>
    <mergeCell ref="A102:B102"/>
    <mergeCell ref="A112:B112"/>
    <mergeCell ref="A122:B122"/>
    <mergeCell ref="A132:B132"/>
    <mergeCell ref="A10:B10"/>
    <mergeCell ref="A18:B18"/>
    <mergeCell ref="A28:B28"/>
    <mergeCell ref="A38:B38"/>
    <mergeCell ref="A48:B48"/>
    <mergeCell ref="A58:B58"/>
    <mergeCell ref="A5:H5"/>
    <mergeCell ref="A1:H1"/>
    <mergeCell ref="A2:H2"/>
    <mergeCell ref="A3:H3"/>
    <mergeCell ref="A4:H4"/>
    <mergeCell ref="A71:B71"/>
    <mergeCell ref="A6:B7"/>
    <mergeCell ref="C6:G6"/>
    <mergeCell ref="H6:H7"/>
    <mergeCell ref="A9:B9"/>
  </mergeCells>
  <pageMargins left="0.70866141732283472" right="0.70866141732283472" top="0.74803149606299213" bottom="0.74803149606299213" header="0.31496062992125984" footer="0.31496062992125984"/>
  <pageSetup scale="72" orientation="portrait" horizontalDpi="1200" verticalDpi="1200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19EF-13D5-4CB6-8F4A-CDA968DDF094}">
  <sheetPr>
    <tabColor theme="0" tint="-0.14999847407452621"/>
  </sheetPr>
  <dimension ref="A1:H39"/>
  <sheetViews>
    <sheetView view="pageBreakPreview" zoomScaleNormal="100" zoomScaleSheetLayoutView="100" workbookViewId="0">
      <selection activeCell="S24" sqref="S24"/>
    </sheetView>
  </sheetViews>
  <sheetFormatPr baseColWidth="10" defaultColWidth="11.28515625" defaultRowHeight="16.5" x14ac:dyDescent="0.25"/>
  <cols>
    <col min="1" max="1" width="36.7109375" style="1" customWidth="1"/>
    <col min="2" max="2" width="13.7109375" style="1" customWidth="1"/>
    <col min="3" max="3" width="12" style="1" customWidth="1"/>
    <col min="4" max="4" width="13" style="1" customWidth="1"/>
    <col min="5" max="5" width="13.7109375" style="1" customWidth="1"/>
    <col min="6" max="6" width="15.7109375" style="1" customWidth="1"/>
    <col min="7" max="7" width="12.140625" style="1" customWidth="1"/>
    <col min="8" max="16384" width="11.28515625" style="1"/>
  </cols>
  <sheetData>
    <row r="1" spans="1:8" x14ac:dyDescent="0.25">
      <c r="A1" s="104" t="str">
        <f>'[1]ETCA-I-01'!A1:G1</f>
        <v xml:space="preserve">Comision Estatal del Agua  </v>
      </c>
      <c r="B1" s="104"/>
      <c r="C1" s="104"/>
      <c r="D1" s="104"/>
      <c r="E1" s="104"/>
      <c r="F1" s="104"/>
      <c r="G1" s="104"/>
    </row>
    <row r="2" spans="1:8" s="102" customFormat="1" ht="15.75" x14ac:dyDescent="0.25">
      <c r="A2" s="104" t="s">
        <v>213</v>
      </c>
      <c r="B2" s="104"/>
      <c r="C2" s="104"/>
      <c r="D2" s="104"/>
      <c r="E2" s="104"/>
      <c r="F2" s="104"/>
      <c r="G2" s="104"/>
    </row>
    <row r="3" spans="1:8" s="102" customFormat="1" ht="15.75" x14ac:dyDescent="0.25">
      <c r="A3" s="104" t="s">
        <v>316</v>
      </c>
      <c r="B3" s="104"/>
      <c r="C3" s="104"/>
      <c r="D3" s="104"/>
      <c r="E3" s="104"/>
      <c r="F3" s="104"/>
      <c r="G3" s="104"/>
    </row>
    <row r="4" spans="1:8" s="102" customFormat="1" x14ac:dyDescent="0.25">
      <c r="A4" s="103" t="str">
        <f>'[1]ETCA-I-03'!A3:D3</f>
        <v>Del 01 de Enero al 31 de Marzo de 2020</v>
      </c>
      <c r="B4" s="103"/>
      <c r="C4" s="103"/>
      <c r="D4" s="103"/>
      <c r="E4" s="103"/>
      <c r="F4" s="103"/>
      <c r="G4" s="103"/>
    </row>
    <row r="5" spans="1:8" s="26" customFormat="1" ht="17.25" thickBot="1" x14ac:dyDescent="0.3">
      <c r="A5" s="252" t="s">
        <v>315</v>
      </c>
      <c r="B5" s="252"/>
      <c r="C5" s="252"/>
      <c r="D5" s="252"/>
      <c r="E5" s="252"/>
      <c r="F5" s="101"/>
      <c r="G5" s="318"/>
    </row>
    <row r="6" spans="1:8" s="316" customFormat="1" ht="38.25" x14ac:dyDescent="0.25">
      <c r="A6" s="97" t="s">
        <v>111</v>
      </c>
      <c r="B6" s="250" t="s">
        <v>209</v>
      </c>
      <c r="C6" s="250" t="s">
        <v>109</v>
      </c>
      <c r="D6" s="250" t="s">
        <v>208</v>
      </c>
      <c r="E6" s="248" t="s">
        <v>207</v>
      </c>
      <c r="F6" s="248" t="s">
        <v>206</v>
      </c>
      <c r="G6" s="317" t="s">
        <v>205</v>
      </c>
    </row>
    <row r="7" spans="1:8" s="314" customFormat="1" ht="15.75" customHeight="1" thickBot="1" x14ac:dyDescent="0.3">
      <c r="A7" s="93"/>
      <c r="B7" s="245" t="s">
        <v>26</v>
      </c>
      <c r="C7" s="245" t="s">
        <v>25</v>
      </c>
      <c r="D7" s="245" t="s">
        <v>204</v>
      </c>
      <c r="E7" s="245" t="s">
        <v>23</v>
      </c>
      <c r="F7" s="245" t="s">
        <v>22</v>
      </c>
      <c r="G7" s="315" t="s">
        <v>203</v>
      </c>
    </row>
    <row r="8" spans="1:8" ht="21.75" customHeight="1" x14ac:dyDescent="0.25">
      <c r="A8" s="313" t="s">
        <v>314</v>
      </c>
      <c r="B8" s="311">
        <v>408201624.66593045</v>
      </c>
      <c r="C8" s="311">
        <v>9331132.5199999996</v>
      </c>
      <c r="D8" s="312">
        <f>C8+B8</f>
        <v>417532757.18593043</v>
      </c>
      <c r="E8" s="311">
        <v>111083327.78999999</v>
      </c>
      <c r="F8" s="311">
        <v>93562412.460000008</v>
      </c>
      <c r="G8" s="310">
        <f>D8-E8</f>
        <v>306449429.39593041</v>
      </c>
    </row>
    <row r="9" spans="1:8" ht="22.5" customHeight="1" x14ac:dyDescent="0.25">
      <c r="A9" s="313" t="s">
        <v>313</v>
      </c>
      <c r="B9" s="311">
        <v>215187793</v>
      </c>
      <c r="C9" s="311">
        <v>44105752.469999999</v>
      </c>
      <c r="D9" s="312">
        <f>C9+B9</f>
        <v>259293545.47</v>
      </c>
      <c r="E9" s="311">
        <v>6453788.4199999999</v>
      </c>
      <c r="F9" s="311">
        <v>6320918.9299999997</v>
      </c>
      <c r="G9" s="310">
        <f>D9-E9</f>
        <v>252839757.05000001</v>
      </c>
    </row>
    <row r="10" spans="1:8" ht="22.5" customHeight="1" x14ac:dyDescent="0.25">
      <c r="A10" s="313" t="s">
        <v>312</v>
      </c>
      <c r="B10" s="311">
        <v>0</v>
      </c>
      <c r="C10" s="311">
        <v>45857376</v>
      </c>
      <c r="D10" s="312">
        <f>C10+B10</f>
        <v>45857376</v>
      </c>
      <c r="E10" s="311">
        <v>45857375.909999996</v>
      </c>
      <c r="F10" s="311">
        <v>45699747.399999991</v>
      </c>
      <c r="G10" s="310">
        <f>D10-E10</f>
        <v>9.0000003576278687E-2</v>
      </c>
    </row>
    <row r="11" spans="1:8" ht="23.25" customHeight="1" x14ac:dyDescent="0.25">
      <c r="A11" s="313" t="s">
        <v>169</v>
      </c>
      <c r="B11" s="311"/>
      <c r="C11" s="311"/>
      <c r="D11" s="312">
        <f>C11+B11</f>
        <v>0</v>
      </c>
      <c r="E11" s="311"/>
      <c r="F11" s="311"/>
      <c r="G11" s="310">
        <f>D11-E11</f>
        <v>0</v>
      </c>
    </row>
    <row r="12" spans="1:8" ht="22.5" customHeight="1" x14ac:dyDescent="0.25">
      <c r="A12" s="313" t="s">
        <v>141</v>
      </c>
      <c r="B12" s="311"/>
      <c r="C12" s="311"/>
      <c r="D12" s="312">
        <f>C12+B12</f>
        <v>0</v>
      </c>
      <c r="E12" s="311"/>
      <c r="F12" s="311"/>
      <c r="G12" s="310">
        <f>D12-E12</f>
        <v>0</v>
      </c>
    </row>
    <row r="13" spans="1:8" ht="10.5" customHeight="1" thickBot="1" x14ac:dyDescent="0.3">
      <c r="A13" s="309"/>
      <c r="B13" s="307"/>
      <c r="C13" s="307"/>
      <c r="D13" s="308"/>
      <c r="E13" s="307"/>
      <c r="F13" s="307"/>
      <c r="G13" s="306"/>
    </row>
    <row r="14" spans="1:8" ht="16.5" customHeight="1" thickBot="1" x14ac:dyDescent="0.3">
      <c r="A14" s="305" t="s">
        <v>130</v>
      </c>
      <c r="B14" s="303">
        <f>SUM(B8:B13)</f>
        <v>623389417.66593051</v>
      </c>
      <c r="C14" s="303">
        <f>SUM(C8:C13)</f>
        <v>99294260.989999995</v>
      </c>
      <c r="D14" s="304">
        <f>C14+B14</f>
        <v>722683678.65593052</v>
      </c>
      <c r="E14" s="303">
        <f>SUM(E8:E13)</f>
        <v>163394492.12</v>
      </c>
      <c r="F14" s="303">
        <f>SUM(F8:F13)</f>
        <v>145583078.79000002</v>
      </c>
      <c r="G14" s="302">
        <f>D14-E14</f>
        <v>559289186.53593051</v>
      </c>
      <c r="H14" s="105" t="str">
        <f>IF((B14-'ETCA II-04'!B80)&gt;0.9,"ERROR!!!!! EL MONTO NO COINCIDE CON LO REPORTADO EN EL FORMATO ETCA-II-04 EN EL TOTAL APROBADO ANUAL DEL ANALÍTICO DE EGRESOS","")</f>
        <v/>
      </c>
    </row>
    <row r="15" spans="1:8" ht="16.5" customHeight="1" x14ac:dyDescent="0.25">
      <c r="A15" s="301"/>
      <c r="B15" s="299"/>
      <c r="C15" s="299"/>
      <c r="D15" s="300"/>
      <c r="E15" s="299"/>
      <c r="F15" s="299"/>
      <c r="G15" s="299"/>
      <c r="H15" s="105" t="str">
        <f>IF((C14-'ETCA II-04'!C80)&gt;0.9,"ERROR!!!!! EL MONTO NO COINCIDE CON LO REPORTADO EN EL FORMATO ETCA-II-04 EN EL TOTAL DE AMPLIACIONES/REDUCCIONES ANUAL DEL ANALÍTICO DE EGRESOS","")</f>
        <v/>
      </c>
    </row>
    <row r="16" spans="1:8" ht="16.5" customHeight="1" x14ac:dyDescent="0.25">
      <c r="A16" s="301"/>
      <c r="B16" s="299"/>
      <c r="C16" s="299"/>
      <c r="D16" s="300"/>
      <c r="E16" s="299"/>
      <c r="F16" s="299"/>
      <c r="G16" s="299"/>
      <c r="H16" s="105" t="str">
        <f>IF((D14-'ETCA II-04'!D80)&gt;0.9,"ERROR!!!!! EL MONTO NO COINCIDE CON LO REPORTADO EN EL FORMATO ETCA-II-04 EN EL TOTAL MODIFICADO ANUAL DEL ANALÍTICO DE EGRESOS","")</f>
        <v/>
      </c>
    </row>
    <row r="17" spans="1:8" ht="16.5" customHeight="1" x14ac:dyDescent="0.25">
      <c r="A17" s="301"/>
      <c r="B17" s="299"/>
      <c r="C17" s="299"/>
      <c r="D17" s="300"/>
      <c r="E17" s="299"/>
      <c r="F17" s="299"/>
      <c r="G17" s="299"/>
      <c r="H17" s="105" t="str">
        <f>IF((E14-'ETCA II-04'!E80)&gt;0.9,"ERROR!!!!! EL MONTO NO COINCIDE CON LO REPORTADO EN EL FORMATO ETCA-II-04 EN EL TOTAL DEVENGADO ANUAL DEL ANALÍTICO DE EGRESOS","")</f>
        <v/>
      </c>
    </row>
    <row r="18" spans="1:8" ht="16.5" customHeight="1" x14ac:dyDescent="0.25">
      <c r="A18" s="301"/>
      <c r="B18" s="299"/>
      <c r="C18" s="299"/>
      <c r="D18" s="300"/>
      <c r="E18" s="299"/>
      <c r="F18" s="299"/>
      <c r="G18" s="299"/>
      <c r="H18" s="105" t="str">
        <f>IF((F14-'ETCA II-04'!F80)&gt;0.9,"ERROR!!!!! EL MONTO NO COINCIDE CON LO REPORTADO EN EL FORMATO ETCA-II-04 EN EL TOTAL PAGADO ANUAL DEL ANALÍTICO DE EGRESOS","")</f>
        <v/>
      </c>
    </row>
    <row r="19" spans="1:8" ht="16.5" customHeight="1" x14ac:dyDescent="0.25">
      <c r="A19" s="301"/>
      <c r="B19" s="299"/>
      <c r="C19" s="299"/>
      <c r="D19" s="300"/>
      <c r="E19" s="299"/>
      <c r="F19" s="299"/>
      <c r="G19" s="299"/>
      <c r="H19" s="105"/>
    </row>
    <row r="20" spans="1:8" ht="16.5" customHeight="1" x14ac:dyDescent="0.25">
      <c r="A20" s="301"/>
      <c r="B20" s="299"/>
      <c r="C20" s="299"/>
      <c r="D20" s="300"/>
      <c r="E20" s="299"/>
      <c r="F20" s="299"/>
      <c r="G20" s="299"/>
      <c r="H20" s="105"/>
    </row>
    <row r="21" spans="1:8" ht="16.5" customHeight="1" x14ac:dyDescent="0.25">
      <c r="A21" s="301"/>
      <c r="B21" s="299"/>
      <c r="C21" s="299"/>
      <c r="D21" s="300"/>
      <c r="E21" s="299"/>
      <c r="F21" s="299"/>
      <c r="G21" s="299"/>
      <c r="H21" s="105"/>
    </row>
    <row r="22" spans="1:8" ht="16.5" customHeight="1" x14ac:dyDescent="0.25">
      <c r="A22" s="301"/>
      <c r="B22" s="299"/>
      <c r="C22" s="299"/>
      <c r="D22" s="300"/>
      <c r="E22" s="299"/>
      <c r="F22" s="299"/>
      <c r="G22" s="299"/>
      <c r="H22" s="105"/>
    </row>
    <row r="23" spans="1:8" ht="16.5" customHeight="1" x14ac:dyDescent="0.25">
      <c r="A23" s="301"/>
      <c r="B23" s="299"/>
      <c r="C23" s="299"/>
      <c r="D23" s="300"/>
      <c r="E23" s="299"/>
      <c r="F23" s="299"/>
      <c r="G23" s="299"/>
      <c r="H23" s="105"/>
    </row>
    <row r="24" spans="1:8" ht="16.5" customHeight="1" x14ac:dyDescent="0.25">
      <c r="A24" s="301"/>
      <c r="B24" s="299"/>
      <c r="C24" s="299"/>
      <c r="D24" s="300"/>
      <c r="E24" s="299"/>
      <c r="F24" s="299"/>
      <c r="G24" s="299"/>
      <c r="H24" s="105"/>
    </row>
    <row r="25" spans="1:8" ht="18.75" customHeight="1" x14ac:dyDescent="0.25">
      <c r="H25" s="105" t="str">
        <f>IF(C14&lt;&gt;'ETCA II-04'!C80,"ERROR!!!!! EL MONTO NO COINCIDE CON LO REPORTADO EN EL FORMATO ETCA-II-11 EN EL TOTAL DE AMPLIACIONES/REDUCCIONES DEL ANALÍTICO DE EGRESOS","")</f>
        <v/>
      </c>
    </row>
    <row r="26" spans="1:8" s="173" customFormat="1" ht="15.75" x14ac:dyDescent="0.25">
      <c r="A26" s="298" t="s">
        <v>311</v>
      </c>
      <c r="B26" s="298"/>
      <c r="C26" s="298"/>
      <c r="D26" s="298"/>
      <c r="E26" s="298"/>
      <c r="F26" s="298"/>
      <c r="G26" s="293"/>
      <c r="H26" s="105" t="str">
        <f>IF(D14&lt;&gt;'ETCA II-04'!D80,"ERROR!!!!! EL MONTO NO COINCIDE CON LO REPORTADO EN EL FORMATO ETCA-II-11 EN EL TOTAL MODIFICADO ANUAL DEL ANALÍTICO DE EGRESOS","")</f>
        <v/>
      </c>
    </row>
    <row r="27" spans="1:8" s="173" customFormat="1" ht="13.5" x14ac:dyDescent="0.25">
      <c r="A27" s="296" t="s">
        <v>310</v>
      </c>
      <c r="B27" s="293"/>
      <c r="C27" s="293"/>
      <c r="D27" s="293"/>
      <c r="E27" s="293"/>
      <c r="F27" s="293"/>
      <c r="G27" s="293"/>
      <c r="H27" s="105" t="str">
        <f>IF(E14&lt;&gt;'ETCA II-04'!D80,"ERROR!!!!! EL MONTO NO COINCIDE CON LO REPORTADO EN EL FORMATO ETCA-II-11 EN EL TOTAL DEVENGADO ANUAL DEL ANALÍTICO DE EGRESOS","")</f>
        <v>ERROR!!!!! EL MONTO NO COINCIDE CON LO REPORTADO EN EL FORMATO ETCA-II-11 EN EL TOTAL DEVENGADO ANUAL DEL ANALÍTICO DE EGRESOS</v>
      </c>
    </row>
    <row r="28" spans="1:8" s="173" customFormat="1" ht="28.5" customHeight="1" x14ac:dyDescent="0.25">
      <c r="A28" s="295" t="s">
        <v>309</v>
      </c>
      <c r="B28" s="295"/>
      <c r="C28" s="295"/>
      <c r="D28" s="295"/>
      <c r="E28" s="295"/>
      <c r="F28" s="295"/>
      <c r="G28" s="295"/>
      <c r="H28" s="105" t="str">
        <f>IF(F14&lt;&gt;'ETCA II-04'!F80,"ERROR!!!!! EL MONTO NO COINCIDE CON LO REPORTADO EN EL FORMATO ETCA-II-11 EN EL TOTAL PAGADO ANUAL DEL ANALÍTICO DE EGRESOS","")</f>
        <v/>
      </c>
    </row>
    <row r="29" spans="1:8" s="173" customFormat="1" ht="13.5" x14ac:dyDescent="0.25">
      <c r="A29" s="296" t="s">
        <v>308</v>
      </c>
      <c r="B29" s="293"/>
      <c r="C29" s="293"/>
      <c r="D29" s="293"/>
      <c r="E29" s="293"/>
      <c r="F29" s="293"/>
      <c r="G29" s="293"/>
      <c r="H29" s="105" t="str">
        <f>IF(G14&lt;&gt;'ETCA II-04'!G80,"ERROR!!!!! EL MONTO NO COINCIDE CON LO REPORTADO EN EL FORMATO ETCA-II-11 EN EL TOTAL DEL SUBEJERCICIO DEL ANALÍTICO DE EGRESOS","")</f>
        <v/>
      </c>
    </row>
    <row r="30" spans="1:8" s="173" customFormat="1" ht="25.5" customHeight="1" x14ac:dyDescent="0.25">
      <c r="A30" s="295" t="s">
        <v>307</v>
      </c>
      <c r="B30" s="295"/>
      <c r="C30" s="295"/>
      <c r="D30" s="295"/>
      <c r="E30" s="295"/>
      <c r="F30" s="295"/>
      <c r="G30" s="295"/>
    </row>
    <row r="31" spans="1:8" s="173" customFormat="1" ht="13.5" x14ac:dyDescent="0.25">
      <c r="A31" s="297" t="s">
        <v>306</v>
      </c>
      <c r="B31" s="297"/>
      <c r="C31" s="297"/>
      <c r="D31" s="297"/>
      <c r="E31" s="293"/>
      <c r="F31" s="293"/>
      <c r="G31" s="293"/>
    </row>
    <row r="32" spans="1:8" s="173" customFormat="1" ht="13.5" customHeight="1" x14ac:dyDescent="0.25">
      <c r="A32" s="295" t="s">
        <v>305</v>
      </c>
      <c r="B32" s="295"/>
      <c r="C32" s="295"/>
      <c r="D32" s="295"/>
      <c r="E32" s="295"/>
      <c r="F32" s="295"/>
      <c r="G32" s="295"/>
    </row>
    <row r="33" spans="1:7" s="173" customFormat="1" ht="13.5" x14ac:dyDescent="0.25">
      <c r="A33" s="296" t="s">
        <v>304</v>
      </c>
      <c r="B33" s="293"/>
      <c r="C33" s="293"/>
      <c r="D33" s="293"/>
      <c r="E33" s="293"/>
      <c r="F33" s="293"/>
      <c r="G33" s="293"/>
    </row>
    <row r="34" spans="1:7" s="173" customFormat="1" ht="13.5" customHeight="1" x14ac:dyDescent="0.25">
      <c r="A34" s="295" t="s">
        <v>303</v>
      </c>
      <c r="B34" s="295"/>
      <c r="C34" s="295"/>
      <c r="D34" s="295"/>
      <c r="E34" s="295"/>
      <c r="F34" s="295"/>
      <c r="G34" s="295"/>
    </row>
    <row r="35" spans="1:7" s="173" customFormat="1" ht="13.5" x14ac:dyDescent="0.25">
      <c r="A35" s="294" t="s">
        <v>300</v>
      </c>
      <c r="B35" s="293"/>
      <c r="C35" s="293"/>
      <c r="D35" s="293"/>
      <c r="E35" s="293"/>
      <c r="F35" s="293"/>
      <c r="G35" s="293"/>
    </row>
    <row r="36" spans="1:7" s="173" customFormat="1" ht="13.5" x14ac:dyDescent="0.25">
      <c r="A36" s="296" t="s">
        <v>302</v>
      </c>
      <c r="B36" s="293"/>
      <c r="C36" s="293"/>
      <c r="D36" s="293"/>
      <c r="E36" s="293"/>
      <c r="F36" s="293"/>
      <c r="G36" s="293"/>
    </row>
    <row r="37" spans="1:7" s="173" customFormat="1" ht="13.5" customHeight="1" x14ac:dyDescent="0.25">
      <c r="A37" s="295" t="s">
        <v>301</v>
      </c>
      <c r="B37" s="295"/>
      <c r="C37" s="295"/>
      <c r="D37" s="295"/>
      <c r="E37" s="295"/>
      <c r="F37" s="295"/>
      <c r="G37" s="295"/>
    </row>
    <row r="38" spans="1:7" s="173" customFormat="1" ht="13.5" x14ac:dyDescent="0.25">
      <c r="A38" s="294" t="s">
        <v>300</v>
      </c>
      <c r="B38" s="293"/>
      <c r="C38" s="293"/>
      <c r="D38" s="293"/>
      <c r="E38" s="293"/>
      <c r="F38" s="293"/>
      <c r="G38" s="293"/>
    </row>
    <row r="39" spans="1:7" ht="8.25" customHeight="1" x14ac:dyDescent="0.25"/>
  </sheetData>
  <sheetProtection formatColumns="0" formatRows="0" insertHyperlinks="0"/>
  <mergeCells count="13">
    <mergeCell ref="A6:A7"/>
    <mergeCell ref="A1:G1"/>
    <mergeCell ref="A2:G2"/>
    <mergeCell ref="A3:G3"/>
    <mergeCell ref="A4:G4"/>
    <mergeCell ref="A5:E5"/>
    <mergeCell ref="A34:G34"/>
    <mergeCell ref="A37:G37"/>
    <mergeCell ref="A26:F26"/>
    <mergeCell ref="A28:G28"/>
    <mergeCell ref="A30:G30"/>
    <mergeCell ref="A31:D31"/>
    <mergeCell ref="A32:G32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A5F3-3DA8-479D-8893-643A6D5558EC}">
  <sheetPr>
    <tabColor theme="0" tint="-0.14999847407452621"/>
  </sheetPr>
  <dimension ref="A1:L36"/>
  <sheetViews>
    <sheetView view="pageBreakPreview" zoomScale="115" zoomScaleNormal="100" zoomScaleSheetLayoutView="115" workbookViewId="0">
      <selection activeCell="S24" sqref="S24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0" width="11.28515625" style="1"/>
    <col min="11" max="11" width="15" style="1" bestFit="1" customWidth="1"/>
    <col min="12" max="12" width="13.28515625" style="1" bestFit="1" customWidth="1"/>
    <col min="13" max="16384" width="11.28515625" style="1"/>
  </cols>
  <sheetData>
    <row r="1" spans="1:12" x14ac:dyDescent="0.25">
      <c r="A1" s="104" t="str">
        <f>'[1]ETCA-I-01'!A1:G1</f>
        <v xml:space="preserve">Comision Estatal del Agua  </v>
      </c>
      <c r="B1" s="104"/>
      <c r="C1" s="104"/>
      <c r="D1" s="104"/>
      <c r="E1" s="104"/>
      <c r="F1" s="104"/>
      <c r="G1" s="104"/>
    </row>
    <row r="2" spans="1:12" s="26" customFormat="1" x14ac:dyDescent="0.25">
      <c r="A2" s="104" t="s">
        <v>213</v>
      </c>
      <c r="B2" s="104"/>
      <c r="C2" s="104"/>
      <c r="D2" s="104"/>
      <c r="E2" s="104"/>
      <c r="F2" s="104"/>
      <c r="G2" s="104"/>
    </row>
    <row r="3" spans="1:12" s="26" customFormat="1" x14ac:dyDescent="0.25">
      <c r="A3" s="104" t="s">
        <v>326</v>
      </c>
      <c r="B3" s="104"/>
      <c r="C3" s="104"/>
      <c r="D3" s="104"/>
      <c r="E3" s="104"/>
      <c r="F3" s="104"/>
      <c r="G3" s="104"/>
    </row>
    <row r="4" spans="1:12" s="26" customFormat="1" x14ac:dyDescent="0.25">
      <c r="A4" s="103" t="str">
        <f>'[1]ETCA-I-03'!A3:D3</f>
        <v>Del 01 de Enero al 31 de Marzo de 2020</v>
      </c>
      <c r="B4" s="103"/>
      <c r="C4" s="103"/>
      <c r="D4" s="103"/>
      <c r="E4" s="103"/>
      <c r="F4" s="103"/>
      <c r="G4" s="103"/>
    </row>
    <row r="5" spans="1:12" s="26" customFormat="1" ht="17.25" thickBot="1" x14ac:dyDescent="0.3">
      <c r="A5" s="252" t="s">
        <v>327</v>
      </c>
      <c r="B5" s="252"/>
      <c r="C5" s="252"/>
      <c r="D5" s="252"/>
      <c r="E5" s="252"/>
      <c r="F5" s="101"/>
      <c r="G5" s="318"/>
    </row>
    <row r="6" spans="1:12" s="333" customFormat="1" ht="38.25" x14ac:dyDescent="0.25">
      <c r="A6" s="334" t="s">
        <v>326</v>
      </c>
      <c r="B6" s="250" t="s">
        <v>209</v>
      </c>
      <c r="C6" s="250" t="s">
        <v>109</v>
      </c>
      <c r="D6" s="250" t="s">
        <v>208</v>
      </c>
      <c r="E6" s="248" t="s">
        <v>207</v>
      </c>
      <c r="F6" s="248" t="s">
        <v>206</v>
      </c>
      <c r="G6" s="317" t="s">
        <v>205</v>
      </c>
    </row>
    <row r="7" spans="1:12" s="329" customFormat="1" ht="17.25" thickBot="1" x14ac:dyDescent="0.3">
      <c r="A7" s="332"/>
      <c r="B7" s="331" t="s">
        <v>26</v>
      </c>
      <c r="C7" s="331" t="s">
        <v>25</v>
      </c>
      <c r="D7" s="331" t="s">
        <v>204</v>
      </c>
      <c r="E7" s="331" t="s">
        <v>23</v>
      </c>
      <c r="F7" s="331" t="s">
        <v>22</v>
      </c>
      <c r="G7" s="330" t="s">
        <v>203</v>
      </c>
    </row>
    <row r="8" spans="1:12" ht="21" customHeight="1" x14ac:dyDescent="0.25">
      <c r="A8" s="322" t="s">
        <v>325</v>
      </c>
      <c r="B8" s="325">
        <v>3479411.7612575777</v>
      </c>
      <c r="C8" s="325">
        <v>-52929.823195357101</v>
      </c>
      <c r="D8" s="325">
        <f>IF($A8="","",B8+C8)</f>
        <v>3426481.9380622208</v>
      </c>
      <c r="E8" s="325">
        <v>789049.86060000001</v>
      </c>
      <c r="F8" s="325">
        <v>731320.32026872609</v>
      </c>
      <c r="G8" s="324">
        <f>IF($A8="","",D8-E8)</f>
        <v>2637432.0774622206</v>
      </c>
      <c r="I8" s="328"/>
      <c r="J8" s="323"/>
      <c r="K8" s="327"/>
      <c r="L8" s="326"/>
    </row>
    <row r="9" spans="1:12" ht="21" customHeight="1" x14ac:dyDescent="0.25">
      <c r="A9" s="322" t="s">
        <v>324</v>
      </c>
      <c r="B9" s="325">
        <f>30640757.8418159+48432617</f>
        <v>79073374.841815904</v>
      </c>
      <c r="C9" s="325">
        <f>2100000+7149372+611883.636100206</f>
        <v>9861255.6361002065</v>
      </c>
      <c r="D9" s="325">
        <f>IF($A9="","",B9+C9)</f>
        <v>88934630.477916107</v>
      </c>
      <c r="E9" s="325">
        <f>2100000+5808219.7616+6175143.56</f>
        <v>14083363.321599999</v>
      </c>
      <c r="F9" s="325">
        <v>13052977.117290858</v>
      </c>
      <c r="G9" s="324">
        <f>IF($A9="","",D9-E9)</f>
        <v>74851267.156316102</v>
      </c>
      <c r="J9" s="323"/>
      <c r="L9" s="326"/>
    </row>
    <row r="10" spans="1:12" ht="21" customHeight="1" x14ac:dyDescent="0.25">
      <c r="A10" s="322" t="s">
        <v>323</v>
      </c>
      <c r="B10" s="325">
        <f>6363853.21542498+15000000</f>
        <v>21363853.215424981</v>
      </c>
      <c r="C10" s="325">
        <v>-81483.051216068896</v>
      </c>
      <c r="D10" s="325">
        <f>IF($A10="","",B10+C10)</f>
        <v>21282370.164208911</v>
      </c>
      <c r="E10" s="325">
        <v>1692112.9664</v>
      </c>
      <c r="F10" s="325">
        <v>1568312.2934430591</v>
      </c>
      <c r="G10" s="324">
        <f>IF($A10="","",D10-E10)</f>
        <v>19590257.19780891</v>
      </c>
      <c r="J10" s="323"/>
      <c r="L10" s="326"/>
    </row>
    <row r="11" spans="1:12" ht="21" customHeight="1" x14ac:dyDescent="0.25">
      <c r="A11" s="322" t="s">
        <v>322</v>
      </c>
      <c r="B11" s="325">
        <f>10562992.1448452+119755176</f>
        <v>130318168.1448452</v>
      </c>
      <c r="C11" s="325">
        <f>43640495.19-30286.234893819-0.44</f>
        <v>43610208.515106179</v>
      </c>
      <c r="D11" s="325">
        <f>IF($A11="","",B11+C11)</f>
        <v>173928376.65995139</v>
      </c>
      <c r="E11" s="325">
        <f>6260918.93+2330681.8334</f>
        <v>8591600.7633999996</v>
      </c>
      <c r="F11" s="325">
        <v>7963010.3693737583</v>
      </c>
      <c r="G11" s="324">
        <f>IF($A11="","",D11-E11)</f>
        <v>165336775.8965514</v>
      </c>
      <c r="J11" s="323"/>
      <c r="L11" s="326"/>
    </row>
    <row r="12" spans="1:12" ht="21" customHeight="1" x14ac:dyDescent="0.25">
      <c r="A12" s="322" t="s">
        <v>321</v>
      </c>
      <c r="B12" s="325">
        <f>7075008.3903317+32000000</f>
        <v>39075008.3903317</v>
      </c>
      <c r="C12" s="325">
        <v>-79451.915860676105</v>
      </c>
      <c r="D12" s="325">
        <f>IF($A12="","",B12+C12)</f>
        <v>38995556.474471025</v>
      </c>
      <c r="E12" s="325">
        <v>2014390.8511999999</v>
      </c>
      <c r="F12" s="325">
        <v>1867011.2447973427</v>
      </c>
      <c r="G12" s="324">
        <f>IF($A12="","",D12-E12)</f>
        <v>36981165.623271026</v>
      </c>
      <c r="J12" s="323"/>
      <c r="L12" s="326"/>
    </row>
    <row r="13" spans="1:12" ht="21" customHeight="1" x14ac:dyDescent="0.25">
      <c r="A13" s="322" t="s">
        <v>320</v>
      </c>
      <c r="B13" s="325">
        <v>5682050.4859565804</v>
      </c>
      <c r="C13" s="325">
        <v>-35608.941641829799</v>
      </c>
      <c r="D13" s="325">
        <f>IF($A13="","",B13+C13)</f>
        <v>5646441.5443147505</v>
      </c>
      <c r="E13" s="325">
        <v>881388.69720000005</v>
      </c>
      <c r="F13" s="325">
        <v>816903.33716984279</v>
      </c>
      <c r="G13" s="324">
        <f>IF($A13="","",D13-E13)</f>
        <v>4765052.8471147502</v>
      </c>
      <c r="J13" s="323"/>
      <c r="L13" s="326"/>
    </row>
    <row r="14" spans="1:12" ht="21" customHeight="1" x14ac:dyDescent="0.25">
      <c r="A14" s="322" t="s">
        <v>319</v>
      </c>
      <c r="B14" s="325">
        <v>4079523.2336262274</v>
      </c>
      <c r="C14" s="325">
        <v>-50586.569292454398</v>
      </c>
      <c r="D14" s="325">
        <f>IF($A14="","",B14+C14)</f>
        <v>4028936.6643337728</v>
      </c>
      <c r="E14" s="325">
        <v>944400.27359999996</v>
      </c>
      <c r="F14" s="325">
        <v>875304.77481593075</v>
      </c>
      <c r="G14" s="324">
        <f>IF($A14="","",D14-E14)</f>
        <v>3084536.3907337729</v>
      </c>
      <c r="J14" s="323"/>
      <c r="L14" s="326"/>
    </row>
    <row r="15" spans="1:12" ht="21" customHeight="1" x14ac:dyDescent="0.25">
      <c r="A15" s="322" t="s">
        <v>318</v>
      </c>
      <c r="B15" s="325">
        <v>216250.92891638639</v>
      </c>
      <c r="C15" s="325">
        <v>0</v>
      </c>
      <c r="D15" s="325">
        <f>IF($A15="","",B15+C15)</f>
        <v>216250.92891638639</v>
      </c>
      <c r="E15" s="325">
        <v>45002.486000000004</v>
      </c>
      <c r="F15" s="325">
        <v>41709.952840474354</v>
      </c>
      <c r="G15" s="324">
        <f>IF($A15="","",D15-E15)</f>
        <v>171248.44291638638</v>
      </c>
      <c r="J15" s="323"/>
      <c r="L15" s="326"/>
    </row>
    <row r="16" spans="1:12" ht="21" customHeight="1" x14ac:dyDescent="0.25">
      <c r="A16" s="322" t="s">
        <v>317</v>
      </c>
      <c r="B16" s="325">
        <v>340101776.66375589</v>
      </c>
      <c r="C16" s="325">
        <v>46122857.140000001</v>
      </c>
      <c r="D16" s="325">
        <f>IF($A16="","",B16+C16)</f>
        <v>386224633.80375588</v>
      </c>
      <c r="E16" s="325">
        <v>134353182.90000001</v>
      </c>
      <c r="F16" s="325">
        <v>118666529.38</v>
      </c>
      <c r="G16" s="324">
        <f>IF($A16="","",D16-E16)</f>
        <v>251871450.90375587</v>
      </c>
      <c r="J16" s="323"/>
    </row>
    <row r="17" spans="1:8" ht="21" customHeight="1" x14ac:dyDescent="0.25">
      <c r="A17" s="322"/>
      <c r="B17" s="311"/>
      <c r="C17" s="311"/>
      <c r="D17" s="311" t="str">
        <f>IF($A17="","",B17+C17)</f>
        <v/>
      </c>
      <c r="E17" s="311"/>
      <c r="F17" s="311"/>
      <c r="G17" s="321" t="str">
        <f>IF($A17="","",D17-E17)</f>
        <v/>
      </c>
    </row>
    <row r="18" spans="1:8" ht="21" customHeight="1" x14ac:dyDescent="0.25">
      <c r="A18" s="322"/>
      <c r="B18" s="311"/>
      <c r="C18" s="311"/>
      <c r="D18" s="311" t="str">
        <f>IF($A18="","",B18+C18)</f>
        <v/>
      </c>
      <c r="E18" s="311"/>
      <c r="F18" s="311"/>
      <c r="G18" s="321" t="str">
        <f>IF($A18="","",D18-E18)</f>
        <v/>
      </c>
    </row>
    <row r="19" spans="1:8" ht="21" customHeight="1" x14ac:dyDescent="0.25">
      <c r="A19" s="322"/>
      <c r="B19" s="311"/>
      <c r="C19" s="311"/>
      <c r="D19" s="311" t="str">
        <f>IF($A19="","",B19+C19)</f>
        <v/>
      </c>
      <c r="E19" s="311"/>
      <c r="F19" s="311"/>
      <c r="G19" s="321" t="str">
        <f>IF($A19="","",D19-E19)</f>
        <v/>
      </c>
    </row>
    <row r="20" spans="1:8" ht="21" customHeight="1" x14ac:dyDescent="0.25">
      <c r="A20" s="322"/>
      <c r="B20" s="311"/>
      <c r="C20" s="311"/>
      <c r="D20" s="311" t="str">
        <f>IF($A20="","",B20+C20)</f>
        <v/>
      </c>
      <c r="E20" s="311"/>
      <c r="F20" s="311"/>
      <c r="G20" s="321" t="str">
        <f>IF($A20="","",D20-E20)</f>
        <v/>
      </c>
    </row>
    <row r="21" spans="1:8" ht="21" customHeight="1" x14ac:dyDescent="0.25">
      <c r="A21" s="322"/>
      <c r="B21" s="311"/>
      <c r="C21" s="311"/>
      <c r="D21" s="311" t="str">
        <f>IF($A21="","",B21+C21)</f>
        <v/>
      </c>
      <c r="E21" s="311"/>
      <c r="F21" s="311"/>
      <c r="G21" s="321" t="str">
        <f>IF($A21="","",D21-E21)</f>
        <v/>
      </c>
    </row>
    <row r="22" spans="1:8" ht="21" customHeight="1" x14ac:dyDescent="0.25">
      <c r="A22" s="322"/>
      <c r="B22" s="311"/>
      <c r="C22" s="311"/>
      <c r="D22" s="311" t="str">
        <f>IF($A22="","",B22+C22)</f>
        <v/>
      </c>
      <c r="E22" s="311"/>
      <c r="F22" s="311"/>
      <c r="G22" s="321" t="str">
        <f>IF($A22="","",D22-E22)</f>
        <v/>
      </c>
    </row>
    <row r="23" spans="1:8" ht="21" customHeight="1" x14ac:dyDescent="0.25">
      <c r="A23" s="322"/>
      <c r="B23" s="311"/>
      <c r="C23" s="311"/>
      <c r="D23" s="311" t="str">
        <f>IF($A23="","",B23+C23)</f>
        <v/>
      </c>
      <c r="E23" s="311"/>
      <c r="F23" s="311"/>
      <c r="G23" s="321" t="str">
        <f>IF($A23="","",D23-E23)</f>
        <v/>
      </c>
    </row>
    <row r="24" spans="1:8" ht="21" customHeight="1" x14ac:dyDescent="0.25">
      <c r="A24" s="322"/>
      <c r="B24" s="311"/>
      <c r="C24" s="311"/>
      <c r="D24" s="311" t="str">
        <f>IF($A24="","",B24+C24)</f>
        <v/>
      </c>
      <c r="E24" s="311"/>
      <c r="F24" s="311"/>
      <c r="G24" s="321" t="str">
        <f>IF($A24="","",D24-E24)</f>
        <v/>
      </c>
    </row>
    <row r="25" spans="1:8" ht="21" customHeight="1" x14ac:dyDescent="0.25">
      <c r="A25" s="322"/>
      <c r="B25" s="311"/>
      <c r="C25" s="311"/>
      <c r="D25" s="311" t="str">
        <f>IF($A25="","",B25+C25)</f>
        <v/>
      </c>
      <c r="E25" s="311"/>
      <c r="F25" s="311"/>
      <c r="G25" s="321" t="str">
        <f>IF($A25="","",D25-E25)</f>
        <v/>
      </c>
    </row>
    <row r="26" spans="1:8" ht="21" customHeight="1" x14ac:dyDescent="0.25">
      <c r="A26" s="322"/>
      <c r="B26" s="311"/>
      <c r="C26" s="311"/>
      <c r="D26" s="311" t="str">
        <f>IF($A26="","",B26+C26)</f>
        <v/>
      </c>
      <c r="E26" s="311"/>
      <c r="F26" s="311"/>
      <c r="G26" s="321" t="str">
        <f>IF($A26="","",D26-E26)</f>
        <v/>
      </c>
    </row>
    <row r="27" spans="1:8" ht="21" customHeight="1" x14ac:dyDescent="0.25">
      <c r="A27" s="322"/>
      <c r="B27" s="311"/>
      <c r="C27" s="311"/>
      <c r="D27" s="311" t="str">
        <f>IF($A27="","",B27+C27)</f>
        <v/>
      </c>
      <c r="E27" s="311"/>
      <c r="F27" s="311"/>
      <c r="G27" s="321" t="str">
        <f>IF($A27="","",D27-E27)</f>
        <v/>
      </c>
    </row>
    <row r="28" spans="1:8" ht="21" customHeight="1" x14ac:dyDescent="0.25">
      <c r="A28" s="322"/>
      <c r="B28" s="311"/>
      <c r="C28" s="311"/>
      <c r="D28" s="311" t="str">
        <f>IF($A28="","",B28+C28)</f>
        <v/>
      </c>
      <c r="E28" s="311"/>
      <c r="F28" s="311"/>
      <c r="G28" s="321" t="str">
        <f>IF($A28="","",D28-E28)</f>
        <v/>
      </c>
    </row>
    <row r="29" spans="1:8" ht="21" customHeight="1" x14ac:dyDescent="0.25">
      <c r="A29" s="322"/>
      <c r="B29" s="311"/>
      <c r="C29" s="311"/>
      <c r="D29" s="311" t="str">
        <f>IF($A29="","",B29+C29)</f>
        <v/>
      </c>
      <c r="E29" s="311"/>
      <c r="F29" s="311"/>
      <c r="G29" s="321" t="str">
        <f>IF($A29="","",D29-E29)</f>
        <v/>
      </c>
    </row>
    <row r="30" spans="1:8" ht="21" customHeight="1" thickBot="1" x14ac:dyDescent="0.3">
      <c r="A30" s="322"/>
      <c r="B30" s="311"/>
      <c r="C30" s="311"/>
      <c r="D30" s="311" t="str">
        <f>IF($A30="","",B30+C30)</f>
        <v/>
      </c>
      <c r="E30" s="311"/>
      <c r="F30" s="311"/>
      <c r="G30" s="321" t="str">
        <f>IF($A30="","",D30-E30)</f>
        <v/>
      </c>
    </row>
    <row r="31" spans="1:8" ht="21" customHeight="1" thickBot="1" x14ac:dyDescent="0.3">
      <c r="A31" s="320" t="s">
        <v>130</v>
      </c>
      <c r="B31" s="230">
        <f>SUM(B8:B30)</f>
        <v>623389417.66593051</v>
      </c>
      <c r="C31" s="230">
        <f>SUM(C8:C30)</f>
        <v>99294260.989999995</v>
      </c>
      <c r="D31" s="230">
        <f>IF($A31="","",B31+C31)</f>
        <v>722683678.65593052</v>
      </c>
      <c r="E31" s="230">
        <f>SUM(E8:E30)</f>
        <v>163394492.12</v>
      </c>
      <c r="F31" s="230">
        <f>SUM(F8:F30)</f>
        <v>145583078.78999999</v>
      </c>
      <c r="G31" s="229">
        <f>IF($A31="","",D31-E31)</f>
        <v>559289186.53593051</v>
      </c>
      <c r="H31" s="316" t="str">
        <f>IF(($B$31-'ETCA II-04'!B80)&gt;0.9,"ERROR!!!!! EL MONTO NO COINCIDE CON LO REPORTADO EN EL FORMATO ETCA-II-04 EN EL TOTAL APROBADO ANUAL DEL ANALÍTICO DE EGRESOS","")</f>
        <v/>
      </c>
    </row>
    <row r="32" spans="1:8" x14ac:dyDescent="0.25">
      <c r="B32" s="319"/>
      <c r="C32" s="319"/>
      <c r="D32" s="319"/>
      <c r="E32" s="319"/>
      <c r="F32" s="319"/>
      <c r="G32" s="319"/>
      <c r="H32" s="316" t="str">
        <f>IF(($C$31-'ETCA II-04'!C80)&gt;0.9,"ERROR!!!!! EL MONTO NO COINCIDE CON LO REPORTADO EN EL FORMATO ETCA-II-04 EN EL TOTAL AMPLIACIONES/REDUCCIONES ANUAL DEL ANALÍTICO DE EGRESOS","")</f>
        <v/>
      </c>
    </row>
    <row r="33" spans="2:8" x14ac:dyDescent="0.25">
      <c r="B33" s="319"/>
      <c r="C33" s="319"/>
      <c r="D33" s="319"/>
      <c r="E33" s="319"/>
      <c r="F33" s="319"/>
      <c r="G33" s="319"/>
      <c r="H33" s="316"/>
    </row>
    <row r="34" spans="2:8" x14ac:dyDescent="0.25">
      <c r="H34" s="316" t="str">
        <f>IF(($E$31-'ETCA II-04'!E80)&gt;0.9,"ERROR!!!!! EL MONTO NO COINCIDE CON LO REPORTADO EN EL FORMATO ETCA-II-04 EN EL TOTAL DEVENGADO ANUAL DEL ANALÍTICO DE EGRESOS","")</f>
        <v/>
      </c>
    </row>
    <row r="35" spans="2:8" x14ac:dyDescent="0.25">
      <c r="H35" s="316" t="str">
        <f>IF(($F$31-'ETCA II-04'!F80)&gt;0.9,"ERROR!!!!! EL MONTO NO COINCIDE CON LO REPORTADO EN EL FORMATO ETCA-II-04 EN EL TOTAL PAGADO ANUAL DEL ANALÍTICO DE EGRESOS","")</f>
        <v/>
      </c>
    </row>
    <row r="36" spans="2:8" x14ac:dyDescent="0.25">
      <c r="H36" s="316" t="str">
        <f>IF(($G$31-'ETCA II-04'!G80)&gt;0.9,"ERROR!!!!! EL MONTO NO COINCIDE CON LO REPORTADO EN EL FORMATO ETCA-II-04 EN EL TOTAL APROBADO ANUAL DEL ANALÍTICO DE EGRESOS","")</f>
        <v/>
      </c>
    </row>
  </sheetData>
  <sheetProtection formatColumns="0" formatRows="0" insertRows="0" deleteColumns="0" deleteRow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A5DF1-DE8D-4E34-9DC9-0B56EDF93CE8}">
  <sheetPr>
    <tabColor theme="0" tint="-0.14999847407452621"/>
  </sheetPr>
  <dimension ref="A1:H39"/>
  <sheetViews>
    <sheetView view="pageBreakPreview" zoomScaleNormal="100" zoomScaleSheetLayoutView="100" workbookViewId="0">
      <selection activeCell="S24" sqref="S24"/>
    </sheetView>
  </sheetViews>
  <sheetFormatPr baseColWidth="10" defaultColWidth="11.42578125" defaultRowHeight="15" x14ac:dyDescent="0.25"/>
  <cols>
    <col min="1" max="1" width="32.42578125" customWidth="1"/>
    <col min="2" max="2" width="12.140625" customWidth="1"/>
    <col min="3" max="3" width="13.140625" customWidth="1"/>
    <col min="4" max="4" width="12.42578125" customWidth="1"/>
    <col min="5" max="5" width="12.85546875" customWidth="1"/>
    <col min="6" max="6" width="14" customWidth="1"/>
    <col min="7" max="7" width="15.42578125" customWidth="1"/>
  </cols>
  <sheetData>
    <row r="1" spans="1:7" s="338" customFormat="1" ht="15.75" x14ac:dyDescent="0.2">
      <c r="A1" s="360" t="str">
        <f>'[1]ETCA-I-01'!A1:G1</f>
        <v xml:space="preserve">Comision Estatal del Agua  </v>
      </c>
      <c r="B1" s="359"/>
      <c r="C1" s="359"/>
      <c r="D1" s="359"/>
      <c r="E1" s="359"/>
      <c r="F1" s="359"/>
      <c r="G1" s="358"/>
    </row>
    <row r="2" spans="1:7" s="338" customFormat="1" ht="12.75" x14ac:dyDescent="0.2">
      <c r="A2" s="357" t="s">
        <v>299</v>
      </c>
      <c r="B2" s="356"/>
      <c r="C2" s="356"/>
      <c r="D2" s="356"/>
      <c r="E2" s="356"/>
      <c r="F2" s="356"/>
      <c r="G2" s="355"/>
    </row>
    <row r="3" spans="1:7" s="338" customFormat="1" ht="12.75" x14ac:dyDescent="0.2">
      <c r="A3" s="357" t="s">
        <v>335</v>
      </c>
      <c r="B3" s="356"/>
      <c r="C3" s="356"/>
      <c r="D3" s="356"/>
      <c r="E3" s="356"/>
      <c r="F3" s="356"/>
      <c r="G3" s="355"/>
    </row>
    <row r="4" spans="1:7" s="338" customFormat="1" ht="12.75" x14ac:dyDescent="0.2">
      <c r="A4" s="357" t="str">
        <f>'[1]ETCA-I-03'!A3:D3</f>
        <v>Del 01 de Enero al 31 de Marzo de 2020</v>
      </c>
      <c r="B4" s="356"/>
      <c r="C4" s="356"/>
      <c r="D4" s="356"/>
      <c r="E4" s="356"/>
      <c r="F4" s="356"/>
      <c r="G4" s="355"/>
    </row>
    <row r="5" spans="1:7" s="338" customFormat="1" ht="20.25" customHeight="1" thickBot="1" x14ac:dyDescent="0.25">
      <c r="A5" s="354" t="s">
        <v>297</v>
      </c>
      <c r="B5" s="353"/>
      <c r="C5" s="353"/>
      <c r="D5" s="353"/>
      <c r="E5" s="353"/>
      <c r="F5" s="353"/>
      <c r="G5" s="352"/>
    </row>
    <row r="6" spans="1:7" s="338" customFormat="1" ht="13.5" thickBot="1" x14ac:dyDescent="0.25">
      <c r="A6" s="348" t="s">
        <v>296</v>
      </c>
      <c r="B6" s="351" t="s">
        <v>295</v>
      </c>
      <c r="C6" s="350"/>
      <c r="D6" s="350"/>
      <c r="E6" s="350"/>
      <c r="F6" s="349"/>
      <c r="G6" s="348" t="s">
        <v>294</v>
      </c>
    </row>
    <row r="7" spans="1:7" s="338" customFormat="1" ht="26.25" thickBot="1" x14ac:dyDescent="0.25">
      <c r="A7" s="346"/>
      <c r="B7" s="347" t="s">
        <v>293</v>
      </c>
      <c r="C7" s="347" t="s">
        <v>109</v>
      </c>
      <c r="D7" s="347" t="s">
        <v>30</v>
      </c>
      <c r="E7" s="347" t="s">
        <v>108</v>
      </c>
      <c r="F7" s="347" t="s">
        <v>334</v>
      </c>
      <c r="G7" s="346"/>
    </row>
    <row r="8" spans="1:7" s="338" customFormat="1" ht="12.75" x14ac:dyDescent="0.2">
      <c r="A8" s="341" t="s">
        <v>333</v>
      </c>
      <c r="B8" s="345"/>
      <c r="C8" s="345"/>
      <c r="D8" s="345"/>
      <c r="E8" s="345"/>
      <c r="F8" s="345"/>
      <c r="G8" s="345"/>
    </row>
    <row r="9" spans="1:7" s="338" customFormat="1" ht="12.75" x14ac:dyDescent="0.2">
      <c r="A9" s="341" t="s">
        <v>332</v>
      </c>
      <c r="B9" s="340">
        <f>SUM(B10:B18)</f>
        <v>623389417.66593051</v>
      </c>
      <c r="C9" s="340">
        <f>SUM(C10:C18)</f>
        <v>55653765.800000027</v>
      </c>
      <c r="D9" s="340">
        <f>SUM(D10:D18)</f>
        <v>679043183.46593046</v>
      </c>
      <c r="E9" s="340">
        <f>SUM(E10:E18)</f>
        <v>157133573.19</v>
      </c>
      <c r="F9" s="340">
        <f>SUM(F10:F18)</f>
        <v>139322159.85999998</v>
      </c>
      <c r="G9" s="340">
        <f>SUM(G10:G18)</f>
        <v>521909610.2759304</v>
      </c>
    </row>
    <row r="10" spans="1:7" s="338" customFormat="1" ht="12.75" x14ac:dyDescent="0.2">
      <c r="A10" s="343" t="s">
        <v>325</v>
      </c>
      <c r="B10" s="340">
        <v>3479411.7612575777</v>
      </c>
      <c r="C10" s="340">
        <v>-52929.823195357101</v>
      </c>
      <c r="D10" s="340">
        <f>B10+C10</f>
        <v>3426481.9380622208</v>
      </c>
      <c r="E10" s="340">
        <v>789049.86060000001</v>
      </c>
      <c r="F10" s="340">
        <v>731320.32026872609</v>
      </c>
      <c r="G10" s="340">
        <f>+D10-E10</f>
        <v>2637432.0774622206</v>
      </c>
    </row>
    <row r="11" spans="1:7" s="338" customFormat="1" ht="25.5" x14ac:dyDescent="0.2">
      <c r="A11" s="343" t="s">
        <v>324</v>
      </c>
      <c r="B11" s="340">
        <v>79073374.841815904</v>
      </c>
      <c r="C11" s="340">
        <v>9861255.6361002065</v>
      </c>
      <c r="D11" s="340">
        <f>B11+C11</f>
        <v>88934630.477916107</v>
      </c>
      <c r="E11" s="340">
        <v>14083363.321599999</v>
      </c>
      <c r="F11" s="340">
        <v>13052977.117290858</v>
      </c>
      <c r="G11" s="340">
        <f>+D11-E11</f>
        <v>74851267.156316102</v>
      </c>
    </row>
    <row r="12" spans="1:7" s="338" customFormat="1" ht="25.5" x14ac:dyDescent="0.2">
      <c r="A12" s="343" t="s">
        <v>323</v>
      </c>
      <c r="B12" s="340">
        <v>21363853.215424981</v>
      </c>
      <c r="C12" s="340">
        <v>-81483.051216068896</v>
      </c>
      <c r="D12" s="340">
        <f>B12+C12</f>
        <v>21282370.164208911</v>
      </c>
      <c r="E12" s="340">
        <v>1692112.9664</v>
      </c>
      <c r="F12" s="340">
        <v>1568312.2934430591</v>
      </c>
      <c r="G12" s="340">
        <f>+D12-E12</f>
        <v>19590257.19780891</v>
      </c>
    </row>
    <row r="13" spans="1:7" s="338" customFormat="1" ht="25.5" x14ac:dyDescent="0.2">
      <c r="A13" s="343" t="s">
        <v>322</v>
      </c>
      <c r="B13" s="340">
        <v>130318168.1448452</v>
      </c>
      <c r="C13" s="340">
        <v>-30286.674893796444</v>
      </c>
      <c r="D13" s="340">
        <f>B13+C13</f>
        <v>130287881.46995141</v>
      </c>
      <c r="E13" s="340">
        <v>2330681.8333999999</v>
      </c>
      <c r="F13" s="340">
        <v>1702091.4393737605</v>
      </c>
      <c r="G13" s="340">
        <f>+D13-E13</f>
        <v>127957199.63655141</v>
      </c>
    </row>
    <row r="14" spans="1:7" s="338" customFormat="1" ht="25.5" x14ac:dyDescent="0.2">
      <c r="A14" s="343" t="s">
        <v>321</v>
      </c>
      <c r="B14" s="340">
        <v>39075008.3903317</v>
      </c>
      <c r="C14" s="340">
        <v>-79451.915860676105</v>
      </c>
      <c r="D14" s="340">
        <f>B14+C14</f>
        <v>38995556.474471025</v>
      </c>
      <c r="E14" s="340">
        <v>2014390.8511999999</v>
      </c>
      <c r="F14" s="340">
        <v>1867011.2447973427</v>
      </c>
      <c r="G14" s="340">
        <f>+D14-E14</f>
        <v>36981165.623271026</v>
      </c>
    </row>
    <row r="15" spans="1:7" s="338" customFormat="1" ht="12.75" x14ac:dyDescent="0.2">
      <c r="A15" s="343" t="s">
        <v>329</v>
      </c>
      <c r="B15" s="340">
        <v>5682050.4859565804</v>
      </c>
      <c r="C15" s="340">
        <v>-35608.941641829799</v>
      </c>
      <c r="D15" s="340">
        <f>B15+C15</f>
        <v>5646441.5443147505</v>
      </c>
      <c r="E15" s="340">
        <v>881388.69720000005</v>
      </c>
      <c r="F15" s="340">
        <v>816903.33716984279</v>
      </c>
      <c r="G15" s="340">
        <f>+D15-E15</f>
        <v>4765052.8471147502</v>
      </c>
    </row>
    <row r="16" spans="1:7" s="338" customFormat="1" ht="12.75" x14ac:dyDescent="0.2">
      <c r="A16" s="343" t="s">
        <v>319</v>
      </c>
      <c r="B16" s="340">
        <v>4079523.2336262274</v>
      </c>
      <c r="C16" s="340">
        <v>-50586.569292454398</v>
      </c>
      <c r="D16" s="340">
        <f>B16+C16</f>
        <v>4028936.6643337728</v>
      </c>
      <c r="E16" s="340">
        <v>944400.27359999996</v>
      </c>
      <c r="F16" s="340">
        <v>875304.77481593075</v>
      </c>
      <c r="G16" s="340">
        <f>+D16-E16</f>
        <v>3084536.3907337729</v>
      </c>
    </row>
    <row r="17" spans="1:7" s="338" customFormat="1" ht="25.5" x14ac:dyDescent="0.2">
      <c r="A17" s="343" t="s">
        <v>328</v>
      </c>
      <c r="B17" s="340">
        <v>216250.92891638639</v>
      </c>
      <c r="C17" s="340">
        <v>0</v>
      </c>
      <c r="D17" s="340">
        <f>B17+C17</f>
        <v>216250.92891638639</v>
      </c>
      <c r="E17" s="340">
        <v>45002.486000000004</v>
      </c>
      <c r="F17" s="340">
        <v>41709.952840474354</v>
      </c>
      <c r="G17" s="340">
        <f>+D17-E17</f>
        <v>171248.44291638638</v>
      </c>
    </row>
    <row r="18" spans="1:7" s="338" customFormat="1" ht="12.75" x14ac:dyDescent="0.2">
      <c r="A18" s="343" t="s">
        <v>317</v>
      </c>
      <c r="B18" s="340">
        <v>340101776.66375589</v>
      </c>
      <c r="C18" s="340">
        <v>46122857.140000001</v>
      </c>
      <c r="D18" s="340">
        <f>B18+C18</f>
        <v>386224633.80375588</v>
      </c>
      <c r="E18" s="340">
        <v>134353182.90000001</v>
      </c>
      <c r="F18" s="340">
        <v>118666529.38</v>
      </c>
      <c r="G18" s="340">
        <f>+D18-E18</f>
        <v>251871450.90375587</v>
      </c>
    </row>
    <row r="19" spans="1:7" s="338" customFormat="1" ht="12.75" x14ac:dyDescent="0.2">
      <c r="A19" s="343"/>
      <c r="B19" s="340"/>
      <c r="C19" s="340"/>
      <c r="D19" s="340"/>
      <c r="E19" s="340"/>
      <c r="F19" s="340"/>
      <c r="G19" s="340"/>
    </row>
    <row r="20" spans="1:7" s="338" customFormat="1" ht="12.75" x14ac:dyDescent="0.2">
      <c r="A20" s="343"/>
      <c r="B20" s="340"/>
      <c r="C20" s="340"/>
      <c r="D20" s="340"/>
      <c r="E20" s="340"/>
      <c r="F20" s="340"/>
      <c r="G20" s="340"/>
    </row>
    <row r="21" spans="1:7" s="338" customFormat="1" ht="12.75" x14ac:dyDescent="0.2">
      <c r="A21" s="344" t="s">
        <v>331</v>
      </c>
      <c r="B21" s="340"/>
      <c r="C21" s="340"/>
      <c r="D21" s="340"/>
      <c r="E21" s="340"/>
      <c r="F21" s="340"/>
      <c r="G21" s="340"/>
    </row>
    <row r="22" spans="1:7" s="338" customFormat="1" ht="12.75" x14ac:dyDescent="0.2">
      <c r="A22" s="344" t="s">
        <v>330</v>
      </c>
      <c r="B22" s="340">
        <f>SUM(B23:B30)</f>
        <v>0</v>
      </c>
      <c r="C22" s="340">
        <f>SUM(C23:C30)</f>
        <v>43640495.189999998</v>
      </c>
      <c r="D22" s="340">
        <f>SUM(D23:D30)</f>
        <v>43640495.189999998</v>
      </c>
      <c r="E22" s="340">
        <f>SUM(E23:E30)</f>
        <v>6260918.9299999997</v>
      </c>
      <c r="F22" s="340">
        <f>SUM(F23:F30)</f>
        <v>6260918.9299999997</v>
      </c>
      <c r="G22" s="340">
        <f>SUM(G23:G30)</f>
        <v>37379576.259999998</v>
      </c>
    </row>
    <row r="23" spans="1:7" s="338" customFormat="1" ht="12.75" x14ac:dyDescent="0.2">
      <c r="A23" s="343" t="s">
        <v>325</v>
      </c>
      <c r="B23" s="340"/>
      <c r="C23" s="340"/>
      <c r="D23" s="340">
        <f>B23+C23</f>
        <v>0</v>
      </c>
      <c r="E23" s="340"/>
      <c r="F23" s="340"/>
      <c r="G23" s="340">
        <f>+D23-E23</f>
        <v>0</v>
      </c>
    </row>
    <row r="24" spans="1:7" s="338" customFormat="1" ht="25.5" x14ac:dyDescent="0.2">
      <c r="A24" s="343" t="s">
        <v>324</v>
      </c>
      <c r="B24" s="340"/>
      <c r="C24" s="340"/>
      <c r="D24" s="340">
        <f>B24+C24</f>
        <v>0</v>
      </c>
      <c r="E24" s="340"/>
      <c r="F24" s="340"/>
      <c r="G24" s="340">
        <f>+D24-E24</f>
        <v>0</v>
      </c>
    </row>
    <row r="25" spans="1:7" s="338" customFormat="1" ht="25.5" x14ac:dyDescent="0.2">
      <c r="A25" s="343" t="s">
        <v>323</v>
      </c>
      <c r="B25" s="340"/>
      <c r="C25" s="340"/>
      <c r="D25" s="340">
        <f>B25+C25</f>
        <v>0</v>
      </c>
      <c r="E25" s="340"/>
      <c r="F25" s="340"/>
      <c r="G25" s="340">
        <f>+D25-E25</f>
        <v>0</v>
      </c>
    </row>
    <row r="26" spans="1:7" s="338" customFormat="1" ht="25.5" x14ac:dyDescent="0.2">
      <c r="A26" s="343" t="s">
        <v>322</v>
      </c>
      <c r="B26" s="340"/>
      <c r="C26" s="340">
        <v>43640495.189999998</v>
      </c>
      <c r="D26" s="340">
        <f>B26+C26</f>
        <v>43640495.189999998</v>
      </c>
      <c r="E26" s="340">
        <v>6260918.9299999997</v>
      </c>
      <c r="F26" s="340">
        <v>6260918.9299999997</v>
      </c>
      <c r="G26" s="340">
        <f>+D26-E26</f>
        <v>37379576.259999998</v>
      </c>
    </row>
    <row r="27" spans="1:7" s="338" customFormat="1" ht="25.5" x14ac:dyDescent="0.2">
      <c r="A27" s="343" t="s">
        <v>321</v>
      </c>
      <c r="B27" s="340"/>
      <c r="C27" s="340"/>
      <c r="D27" s="340">
        <f>B27+C27</f>
        <v>0</v>
      </c>
      <c r="E27" s="340"/>
      <c r="F27" s="340"/>
      <c r="G27" s="340">
        <f>+D27-E27</f>
        <v>0</v>
      </c>
    </row>
    <row r="28" spans="1:7" s="338" customFormat="1" ht="12.75" x14ac:dyDescent="0.2">
      <c r="A28" s="343" t="s">
        <v>329</v>
      </c>
      <c r="B28" s="340"/>
      <c r="C28" s="340"/>
      <c r="D28" s="340">
        <f>B28+C28</f>
        <v>0</v>
      </c>
      <c r="E28" s="340"/>
      <c r="F28" s="340"/>
      <c r="G28" s="340">
        <f>+D28-E28</f>
        <v>0</v>
      </c>
    </row>
    <row r="29" spans="1:7" s="338" customFormat="1" ht="12.75" x14ac:dyDescent="0.2">
      <c r="A29" s="343" t="s">
        <v>319</v>
      </c>
      <c r="B29" s="340"/>
      <c r="C29" s="340"/>
      <c r="D29" s="340">
        <f>B29+C29</f>
        <v>0</v>
      </c>
      <c r="E29" s="340"/>
      <c r="F29" s="340"/>
      <c r="G29" s="340">
        <f>+D29-E29</f>
        <v>0</v>
      </c>
    </row>
    <row r="30" spans="1:7" s="338" customFormat="1" ht="25.5" x14ac:dyDescent="0.2">
      <c r="A30" s="343" t="s">
        <v>328</v>
      </c>
      <c r="B30" s="340"/>
      <c r="C30" s="340"/>
      <c r="D30" s="340">
        <f>B30+C30</f>
        <v>0</v>
      </c>
      <c r="E30" s="340"/>
      <c r="F30" s="340"/>
      <c r="G30" s="340">
        <f>+D30-E30</f>
        <v>0</v>
      </c>
    </row>
    <row r="31" spans="1:7" s="338" customFormat="1" ht="12.75" x14ac:dyDescent="0.2">
      <c r="A31" s="343" t="s">
        <v>317</v>
      </c>
      <c r="B31" s="340"/>
      <c r="C31" s="340"/>
      <c r="D31" s="340"/>
      <c r="E31" s="340"/>
      <c r="F31" s="340"/>
      <c r="G31" s="340"/>
    </row>
    <row r="32" spans="1:7" s="338" customFormat="1" ht="12.75" x14ac:dyDescent="0.2">
      <c r="A32" s="343"/>
      <c r="B32" s="340"/>
      <c r="C32" s="340"/>
      <c r="D32" s="340"/>
      <c r="E32" s="340"/>
      <c r="F32" s="340"/>
      <c r="G32" s="340"/>
    </row>
    <row r="33" spans="1:8" s="338" customFormat="1" ht="12.75" x14ac:dyDescent="0.2">
      <c r="A33" s="342"/>
      <c r="B33" s="340"/>
      <c r="C33" s="340"/>
      <c r="D33" s="340"/>
      <c r="E33" s="340"/>
      <c r="F33" s="340"/>
      <c r="G33" s="340"/>
    </row>
    <row r="34" spans="1:8" s="338" customFormat="1" ht="12.75" x14ac:dyDescent="0.2">
      <c r="A34" s="341" t="s">
        <v>214</v>
      </c>
      <c r="B34" s="340">
        <f>+B9+B22</f>
        <v>623389417.66593051</v>
      </c>
      <c r="C34" s="340">
        <f>+C9+C22</f>
        <v>99294260.990000024</v>
      </c>
      <c r="D34" s="340">
        <f>+D9+D22</f>
        <v>722683678.65593052</v>
      </c>
      <c r="E34" s="340">
        <f>+E9+E22</f>
        <v>163394492.12</v>
      </c>
      <c r="F34" s="340">
        <f>+F9+F22</f>
        <v>145583078.78999999</v>
      </c>
      <c r="G34" s="340">
        <f>+G9+G22</f>
        <v>559289186.5359304</v>
      </c>
      <c r="H34" s="339" t="str">
        <f>IF((B34-'ETCA-II-07'!B31)&gt;0.9,"ERROR!!!!! EL MONTO NO COINCIDE CON LO REPORTADO EN EL FORMATO ETCA-II-07 EN EL TOTAL DEL GASTO","")</f>
        <v/>
      </c>
    </row>
    <row r="35" spans="1:8" ht="15.75" thickBot="1" x14ac:dyDescent="0.3">
      <c r="A35" s="337"/>
      <c r="B35" s="336"/>
      <c r="C35" s="336"/>
      <c r="D35" s="336"/>
      <c r="E35" s="336"/>
      <c r="F35" s="336"/>
      <c r="G35" s="336"/>
      <c r="H35" s="105" t="str">
        <f>IF((C34-'ETCA-II-07'!C31)&gt;0.9,"ERROR!!!!! EL MONTO NO COINCIDE CON LO REPORTADO EN EL FORMATO ETCA-II-07 EN EL TOTAL DEL GASTO","")</f>
        <v/>
      </c>
    </row>
    <row r="36" spans="1:8" x14ac:dyDescent="0.25">
      <c r="H36" s="105" t="str">
        <f>IF((D34-'ETCA-II-07'!D31)&gt;0.9,"ERROR!!!!! EL MONTO NO COINCIDE CON LO REPORTADO EN EL FORMATO ETCA-II-07 EN EL TOTAL DEL GASTO","")</f>
        <v/>
      </c>
    </row>
    <row r="37" spans="1:8" x14ac:dyDescent="0.25">
      <c r="B37" s="335"/>
      <c r="C37" s="335"/>
      <c r="D37" s="335"/>
      <c r="E37" s="335"/>
      <c r="F37" s="335"/>
      <c r="G37" s="335"/>
      <c r="H37" s="105" t="str">
        <f>IF((D34-'ETCA-II-07'!D31)&gt;0.9,"ERROR!!!!! EL MONTO NO COINCIDE CON LO REPORTADO EN EL FORMATO ETCA-II-07 EN EL TOTAL DEL GASTO","")</f>
        <v/>
      </c>
    </row>
    <row r="38" spans="1:8" x14ac:dyDescent="0.25">
      <c r="H38" s="105" t="str">
        <f>IF((F34-'ETCA-II-07'!F31)&gt;0.9,"ERROR!!!!! EL MONTO NO COINCIDE CON LO REPORTADO EN EL FORMATO ETCA-II-07 EN EL TOTAL DEL GASTO","")</f>
        <v/>
      </c>
    </row>
    <row r="39" spans="1:8" x14ac:dyDescent="0.25">
      <c r="H39" s="105" t="str">
        <f>IF((G34-'ETCA-II-07'!G31)&gt;0.9,"ERROR!!!!! EL MONTO NO COINCIDE CON LO REPORTADO EN EL FORMATO ETCA-II-07 EN EL TOTAL DEL GASTO","")</f>
        <v/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7227-93AB-4F82-A861-E0F83F768345}">
  <sheetPr>
    <tabColor theme="0" tint="-0.14999847407452621"/>
    <pageSetUpPr fitToPage="1"/>
  </sheetPr>
  <dimension ref="A1:H21"/>
  <sheetViews>
    <sheetView view="pageBreakPreview" zoomScaleNormal="100" zoomScaleSheetLayoutView="100" workbookViewId="0">
      <selection activeCell="S24" sqref="S24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8" x14ac:dyDescent="0.25">
      <c r="A1" s="104" t="str">
        <f>'[1]ETCA-I-01'!A1:G1</f>
        <v xml:space="preserve">Comision Estatal del Agua  </v>
      </c>
      <c r="B1" s="104"/>
      <c r="C1" s="104"/>
      <c r="D1" s="104"/>
      <c r="E1" s="104"/>
      <c r="F1" s="104"/>
      <c r="G1" s="104"/>
    </row>
    <row r="2" spans="1:8" s="26" customFormat="1" x14ac:dyDescent="0.25">
      <c r="A2" s="104" t="s">
        <v>213</v>
      </c>
      <c r="B2" s="104"/>
      <c r="C2" s="104"/>
      <c r="D2" s="104"/>
      <c r="E2" s="104"/>
      <c r="F2" s="104"/>
      <c r="G2" s="104"/>
    </row>
    <row r="3" spans="1:8" s="26" customFormat="1" x14ac:dyDescent="0.25">
      <c r="A3" s="373" t="s">
        <v>340</v>
      </c>
      <c r="B3" s="373"/>
      <c r="C3" s="373"/>
      <c r="D3" s="373"/>
      <c r="E3" s="373"/>
      <c r="F3" s="373"/>
      <c r="G3" s="373"/>
    </row>
    <row r="4" spans="1:8" s="26" customFormat="1" x14ac:dyDescent="0.25">
      <c r="A4" s="103" t="str">
        <f>'[1]ETCA-I-03'!A3:D3</f>
        <v>Del 01 de Enero al 31 de Marzo de 2020</v>
      </c>
      <c r="B4" s="103"/>
      <c r="C4" s="103"/>
      <c r="D4" s="103"/>
      <c r="E4" s="103"/>
      <c r="F4" s="103"/>
      <c r="G4" s="103"/>
    </row>
    <row r="5" spans="1:8" s="26" customFormat="1" ht="17.25" thickBot="1" x14ac:dyDescent="0.3">
      <c r="A5" s="252" t="s">
        <v>341</v>
      </c>
      <c r="B5" s="252"/>
      <c r="C5" s="252"/>
      <c r="D5" s="252"/>
      <c r="E5" s="252"/>
      <c r="F5" s="98"/>
      <c r="G5" s="372"/>
    </row>
    <row r="6" spans="1:8" s="333" customFormat="1" ht="53.25" customHeight="1" x14ac:dyDescent="0.25">
      <c r="A6" s="371" t="s">
        <v>340</v>
      </c>
      <c r="B6" s="370" t="s">
        <v>209</v>
      </c>
      <c r="C6" s="370" t="s">
        <v>109</v>
      </c>
      <c r="D6" s="370" t="s">
        <v>208</v>
      </c>
      <c r="E6" s="370" t="s">
        <v>207</v>
      </c>
      <c r="F6" s="370" t="s">
        <v>206</v>
      </c>
      <c r="G6" s="369" t="s">
        <v>205</v>
      </c>
    </row>
    <row r="7" spans="1:8" s="367" customFormat="1" ht="15.75" customHeight="1" thickBot="1" x14ac:dyDescent="0.3">
      <c r="A7" s="368"/>
      <c r="B7" s="331" t="s">
        <v>26</v>
      </c>
      <c r="C7" s="331" t="s">
        <v>25</v>
      </c>
      <c r="D7" s="331" t="s">
        <v>204</v>
      </c>
      <c r="E7" s="331" t="s">
        <v>23</v>
      </c>
      <c r="F7" s="331" t="s">
        <v>22</v>
      </c>
      <c r="G7" s="330" t="s">
        <v>203</v>
      </c>
    </row>
    <row r="8" spans="1:8" ht="30" customHeight="1" x14ac:dyDescent="0.25">
      <c r="A8" s="366"/>
      <c r="B8" s="365"/>
      <c r="C8" s="365"/>
      <c r="D8" s="365"/>
      <c r="E8" s="365"/>
      <c r="F8" s="365"/>
      <c r="G8" s="364"/>
    </row>
    <row r="9" spans="1:8" ht="30" customHeight="1" x14ac:dyDescent="0.25">
      <c r="A9" s="313" t="s">
        <v>339</v>
      </c>
      <c r="B9" s="237">
        <v>623389417.66593051</v>
      </c>
      <c r="C9" s="237">
        <v>99294260.989999995</v>
      </c>
      <c r="D9" s="238">
        <f>B9+C9</f>
        <v>722683678.65593052</v>
      </c>
      <c r="E9" s="237">
        <v>163394492.12</v>
      </c>
      <c r="F9" s="237">
        <v>145583078.78999999</v>
      </c>
      <c r="G9" s="236">
        <f>D9-E9</f>
        <v>559289186.53593051</v>
      </c>
    </row>
    <row r="10" spans="1:8" ht="30" customHeight="1" x14ac:dyDescent="0.25">
      <c r="A10" s="313" t="s">
        <v>338</v>
      </c>
      <c r="B10" s="237"/>
      <c r="C10" s="237"/>
      <c r="D10" s="238">
        <f>B10+C10</f>
        <v>0</v>
      </c>
      <c r="E10" s="237"/>
      <c r="F10" s="237"/>
      <c r="G10" s="236">
        <f>D10-E10</f>
        <v>0</v>
      </c>
    </row>
    <row r="11" spans="1:8" ht="30" customHeight="1" x14ac:dyDescent="0.25">
      <c r="A11" s="313" t="s">
        <v>337</v>
      </c>
      <c r="B11" s="237"/>
      <c r="C11" s="237"/>
      <c r="D11" s="238">
        <f>B11+C11</f>
        <v>0</v>
      </c>
      <c r="E11" s="237"/>
      <c r="F11" s="237"/>
      <c r="G11" s="236">
        <f>D11-E11</f>
        <v>0</v>
      </c>
    </row>
    <row r="12" spans="1:8" ht="30" customHeight="1" x14ac:dyDescent="0.25">
      <c r="A12" s="313" t="s">
        <v>336</v>
      </c>
      <c r="B12" s="237"/>
      <c r="C12" s="237"/>
      <c r="D12" s="238">
        <f>B12+C12</f>
        <v>0</v>
      </c>
      <c r="E12" s="237"/>
      <c r="F12" s="237"/>
      <c r="G12" s="236">
        <f>D12-E12</f>
        <v>0</v>
      </c>
    </row>
    <row r="13" spans="1:8" ht="30" customHeight="1" thickBot="1" x14ac:dyDescent="0.3">
      <c r="A13" s="363"/>
      <c r="B13" s="234"/>
      <c r="C13" s="234"/>
      <c r="D13" s="234"/>
      <c r="E13" s="234"/>
      <c r="F13" s="234"/>
      <c r="G13" s="232"/>
    </row>
    <row r="14" spans="1:8" s="333" customFormat="1" ht="30" customHeight="1" thickBot="1" x14ac:dyDescent="0.3">
      <c r="A14" s="305" t="s">
        <v>130</v>
      </c>
      <c r="B14" s="362">
        <f>SUM(B9:B12)</f>
        <v>623389417.66593051</v>
      </c>
      <c r="C14" s="362">
        <f>SUM(C9:C12)</f>
        <v>99294260.989999995</v>
      </c>
      <c r="D14" s="362">
        <f>B14+C14</f>
        <v>722683678.65593052</v>
      </c>
      <c r="E14" s="362">
        <f>SUM(E9:E12)</f>
        <v>163394492.12</v>
      </c>
      <c r="F14" s="362">
        <f>SUM(F9:F12)</f>
        <v>145583078.78999999</v>
      </c>
      <c r="G14" s="361">
        <f>D14-E14</f>
        <v>559289186.53593051</v>
      </c>
      <c r="H14" s="105" t="str">
        <f>IF((B14-'ETCA II-04'!B80)&gt;0.9,"ERROR!!!!! EL MONTO NO COINCIDE CON LO REPORTADO EN EL FORMATO ETCA-II-04 EN EL TOTAL APROBADO ANUAL DEL ANALÍTICO DE EGRESOS","")</f>
        <v/>
      </c>
    </row>
    <row r="15" spans="1:8" s="333" customFormat="1" ht="30" customHeight="1" x14ac:dyDescent="0.25">
      <c r="A15" s="301"/>
      <c r="B15" s="227"/>
      <c r="C15" s="227"/>
      <c r="D15" s="227"/>
      <c r="E15" s="227"/>
      <c r="F15" s="227"/>
      <c r="G15" s="227"/>
      <c r="H15" s="105" t="str">
        <f>IF((C14-'ETCA II-04'!C80)&gt;0.9,"ERROR!!!!! EL MONTO NO COINCIDE CON LO REPORTADO EN EL FORMATO ETCA-II-04 EN EL TOTAL AMPLIACIONES/REDUCCIONES ANUAL DEL ANALÍTICO DE EGRESOS","")</f>
        <v/>
      </c>
    </row>
    <row r="16" spans="1:8" s="333" customFormat="1" ht="30" customHeight="1" x14ac:dyDescent="0.25">
      <c r="A16" s="301"/>
      <c r="B16" s="227"/>
      <c r="C16" s="227"/>
      <c r="D16" s="227"/>
      <c r="E16" s="227"/>
      <c r="F16" s="227"/>
      <c r="G16" s="227"/>
      <c r="H16" s="105" t="str">
        <f>IF((D14-'ETCA II-04'!D80)&gt;0.9,"ERROR!!!!! EL MONTO NO COINCIDE CON LO REPORTADO EN EL FORMATO ETCA-II-04 EN EL TOTAL MODIFICADO ANUAL DEL ANALÍTICO DE EGRESOS","")</f>
        <v/>
      </c>
    </row>
    <row r="17" spans="1:8" s="333" customFormat="1" ht="18" customHeight="1" x14ac:dyDescent="0.25">
      <c r="A17" s="301"/>
      <c r="B17" s="227"/>
      <c r="C17" s="227"/>
      <c r="D17" s="227"/>
      <c r="E17" s="227"/>
      <c r="F17" s="227"/>
      <c r="G17" s="227"/>
      <c r="H17" s="105" t="str">
        <f>IF((E14-'ETCA II-04'!E80)&gt;0.9,"ERROR!!!!! EL MONTO NO COINCIDE CON LO REPORTADO EN EL FORMATO ETCA-II-04 EN EL TOTAL DEVENGADO ANUAL DEL ANALÍTICO DE EGRESOS","")</f>
        <v/>
      </c>
    </row>
    <row r="18" spans="1:8" s="333" customFormat="1" ht="18" customHeight="1" x14ac:dyDescent="0.25">
      <c r="A18" s="301"/>
      <c r="B18" s="227"/>
      <c r="C18" s="227"/>
      <c r="D18" s="227"/>
      <c r="E18" s="227"/>
      <c r="F18" s="227"/>
      <c r="G18" s="227"/>
      <c r="H18" s="105" t="str">
        <f>IF((F14-'ETCA II-04'!F80)&gt;0.9,"ERROR!!!!! EL MONTO NO COINCIDE CON LO REPORTADO EN EL FORMATO ETCA-II-04 EN EL TOTAL PAGADO ANUAL DEL ANALÍTICO DE EGRESOS","")</f>
        <v/>
      </c>
    </row>
    <row r="19" spans="1:8" x14ac:dyDescent="0.25">
      <c r="H19" s="105" t="str">
        <f>IF((G14-'ETCA II-04'!G80)&gt;0.9,"ERROR!!!!! EL MONTO NO COINCIDE CON LO REPORTADO EN EL FORMATO ETCA-II-04 EN EL TOTAL SUBEJERCICIO ANUAL DEL ANALÍTICO DE EGRESOS","")</f>
        <v/>
      </c>
    </row>
    <row r="20" spans="1:8" x14ac:dyDescent="0.25">
      <c r="H20" s="105" t="str">
        <f>IF((B20-'ETCA II-04'!B86)&gt;0.9,"ERROR!!!!! EL MONTO NO COINCIDE CON LO REPORTADO EN EL FORMATO ETCA-II-04 EN EL TOTAL APROBADO ANUAL DEL ANALÍTICO DE EGRESOS","")</f>
        <v/>
      </c>
    </row>
    <row r="21" spans="1:8" x14ac:dyDescent="0.25">
      <c r="H21" s="105" t="str">
        <f>IF(G14&lt;&gt;'ETCA II-04'!G80,"ERROR!!!!!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6">
    <mergeCell ref="A6:A7"/>
    <mergeCell ref="A4:G4"/>
    <mergeCell ref="A1:G1"/>
    <mergeCell ref="A2:G2"/>
    <mergeCell ref="A3:G3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889E-3FB8-4A4C-B19B-3F5FB2A0F012}">
  <sheetPr>
    <tabColor theme="0" tint="-0.14999847407452621"/>
    <pageSetUpPr fitToPage="1"/>
  </sheetPr>
  <dimension ref="A1:H30"/>
  <sheetViews>
    <sheetView view="pageBreakPreview" zoomScaleNormal="100" zoomScaleSheetLayoutView="100" workbookViewId="0">
      <selection activeCell="S24" sqref="S24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7" x14ac:dyDescent="0.25">
      <c r="A1" s="373" t="str">
        <f>'[1]ETCA-I-01'!A1:G1</f>
        <v xml:space="preserve">Comision Estatal del Agua  </v>
      </c>
      <c r="B1" s="373"/>
      <c r="C1" s="373"/>
      <c r="D1" s="373"/>
      <c r="E1" s="373"/>
      <c r="F1" s="373"/>
      <c r="G1" s="373"/>
    </row>
    <row r="2" spans="1:7" x14ac:dyDescent="0.25">
      <c r="A2" s="373" t="s">
        <v>213</v>
      </c>
      <c r="B2" s="373"/>
      <c r="C2" s="373"/>
      <c r="D2" s="373"/>
      <c r="E2" s="373"/>
      <c r="F2" s="373"/>
      <c r="G2" s="373"/>
    </row>
    <row r="3" spans="1:7" x14ac:dyDescent="0.25">
      <c r="A3" s="373" t="s">
        <v>350</v>
      </c>
      <c r="B3" s="373"/>
      <c r="C3" s="373"/>
      <c r="D3" s="373"/>
      <c r="E3" s="373"/>
      <c r="F3" s="373"/>
      <c r="G3" s="373"/>
    </row>
    <row r="4" spans="1:7" x14ac:dyDescent="0.25">
      <c r="A4" s="103" t="str">
        <f>'[1]ETCA-I-03'!A3:D3</f>
        <v>Del 01 de Enero al 31 de Marzo de 2020</v>
      </c>
      <c r="B4" s="103"/>
      <c r="C4" s="103"/>
      <c r="D4" s="103"/>
      <c r="E4" s="103"/>
      <c r="F4" s="103"/>
      <c r="G4" s="103"/>
    </row>
    <row r="5" spans="1:7" ht="17.25" thickBot="1" x14ac:dyDescent="0.3">
      <c r="A5" s="252" t="s">
        <v>349</v>
      </c>
      <c r="B5" s="252"/>
      <c r="C5" s="252"/>
      <c r="D5" s="252"/>
      <c r="E5" s="252"/>
      <c r="F5" s="98"/>
      <c r="G5" s="372"/>
    </row>
    <row r="6" spans="1:7" s="173" customFormat="1" ht="40.5" x14ac:dyDescent="0.25">
      <c r="A6" s="387" t="s">
        <v>111</v>
      </c>
      <c r="B6" s="386" t="s">
        <v>209</v>
      </c>
      <c r="C6" s="386" t="s">
        <v>109</v>
      </c>
      <c r="D6" s="386" t="s">
        <v>208</v>
      </c>
      <c r="E6" s="386" t="s">
        <v>207</v>
      </c>
      <c r="F6" s="386" t="s">
        <v>206</v>
      </c>
      <c r="G6" s="385" t="s">
        <v>205</v>
      </c>
    </row>
    <row r="7" spans="1:7" s="173" customFormat="1" ht="15.75" customHeight="1" thickBot="1" x14ac:dyDescent="0.3">
      <c r="A7" s="384"/>
      <c r="B7" s="331" t="s">
        <v>26</v>
      </c>
      <c r="C7" s="331" t="s">
        <v>25</v>
      </c>
      <c r="D7" s="331" t="s">
        <v>204</v>
      </c>
      <c r="E7" s="331" t="s">
        <v>23</v>
      </c>
      <c r="F7" s="331" t="s">
        <v>22</v>
      </c>
      <c r="G7" s="330" t="s">
        <v>203</v>
      </c>
    </row>
    <row r="8" spans="1:7" x14ac:dyDescent="0.25">
      <c r="A8" s="383"/>
      <c r="B8" s="381"/>
      <c r="C8" s="381"/>
      <c r="D8" s="382"/>
      <c r="E8" s="381"/>
      <c r="F8" s="381"/>
      <c r="G8" s="380"/>
    </row>
    <row r="9" spans="1:7" ht="25.5" x14ac:dyDescent="0.25">
      <c r="A9" s="379" t="s">
        <v>348</v>
      </c>
      <c r="B9" s="237">
        <v>623389417.66593051</v>
      </c>
      <c r="C9" s="237">
        <v>99294260.989999995</v>
      </c>
      <c r="D9" s="238">
        <f>IF(A9="","",B9+C9)</f>
        <v>722683678.65593052</v>
      </c>
      <c r="E9" s="237">
        <v>163394492.12</v>
      </c>
      <c r="F9" s="237">
        <v>145583078.78999999</v>
      </c>
      <c r="G9" s="236">
        <f>IF(A9="","",D9-E9)</f>
        <v>559289186.53593051</v>
      </c>
    </row>
    <row r="10" spans="1:7" ht="8.25" customHeight="1" x14ac:dyDescent="0.25">
      <c r="A10" s="379"/>
      <c r="B10" s="237"/>
      <c r="C10" s="237"/>
      <c r="D10" s="238" t="str">
        <f>IF(A10="","",B10+C10)</f>
        <v/>
      </c>
      <c r="E10" s="237"/>
      <c r="F10" s="237"/>
      <c r="G10" s="236" t="str">
        <f>IF(A10="","",D10-E10)</f>
        <v/>
      </c>
    </row>
    <row r="11" spans="1:7" x14ac:dyDescent="0.25">
      <c r="A11" s="379" t="s">
        <v>347</v>
      </c>
      <c r="B11" s="237"/>
      <c r="C11" s="237"/>
      <c r="D11" s="238">
        <f>IF(A11="","",B11+C11)</f>
        <v>0</v>
      </c>
      <c r="E11" s="237"/>
      <c r="F11" s="237"/>
      <c r="G11" s="236">
        <f>IF(A11="","",D11-E11)</f>
        <v>0</v>
      </c>
    </row>
    <row r="12" spans="1:7" ht="8.25" customHeight="1" x14ac:dyDescent="0.25">
      <c r="A12" s="379"/>
      <c r="B12" s="237"/>
      <c r="C12" s="237"/>
      <c r="D12" s="238" t="str">
        <f>IF(A12="","",B12+C12)</f>
        <v/>
      </c>
      <c r="E12" s="237"/>
      <c r="F12" s="237"/>
      <c r="G12" s="236" t="str">
        <f>IF(A12="","",D12-E12)</f>
        <v/>
      </c>
    </row>
    <row r="13" spans="1:7" ht="25.5" x14ac:dyDescent="0.25">
      <c r="A13" s="379" t="s">
        <v>346</v>
      </c>
      <c r="B13" s="237"/>
      <c r="C13" s="237"/>
      <c r="D13" s="238">
        <f>IF(A13="","",B13+C13)</f>
        <v>0</v>
      </c>
      <c r="E13" s="237"/>
      <c r="F13" s="237"/>
      <c r="G13" s="236">
        <f>IF(A13="","",D13-E13)</f>
        <v>0</v>
      </c>
    </row>
    <row r="14" spans="1:7" ht="8.25" customHeight="1" x14ac:dyDescent="0.25">
      <c r="A14" s="379"/>
      <c r="B14" s="237"/>
      <c r="C14" s="237"/>
      <c r="D14" s="238" t="str">
        <f>IF(A14="","",B14+C14)</f>
        <v/>
      </c>
      <c r="E14" s="237"/>
      <c r="F14" s="237"/>
      <c r="G14" s="236" t="str">
        <f>IF(A14="","",D14-E14)</f>
        <v/>
      </c>
    </row>
    <row r="15" spans="1:7" ht="25.5" x14ac:dyDescent="0.25">
      <c r="A15" s="379" t="s">
        <v>345</v>
      </c>
      <c r="B15" s="237"/>
      <c r="C15" s="237"/>
      <c r="D15" s="238">
        <f>IF(A15="","",B15+C15)</f>
        <v>0</v>
      </c>
      <c r="E15" s="237"/>
      <c r="F15" s="237"/>
      <c r="G15" s="236">
        <f>IF(A15="","",D15-E15)</f>
        <v>0</v>
      </c>
    </row>
    <row r="16" spans="1:7" ht="8.25" customHeight="1" x14ac:dyDescent="0.25">
      <c r="A16" s="379"/>
      <c r="B16" s="237"/>
      <c r="C16" s="237"/>
      <c r="D16" s="238" t="str">
        <f>IF(A16="","",B16+C16)</f>
        <v/>
      </c>
      <c r="E16" s="237"/>
      <c r="F16" s="237"/>
      <c r="G16" s="236" t="str">
        <f>IF(A16="","",D16-E16)</f>
        <v/>
      </c>
    </row>
    <row r="17" spans="1:8" ht="25.5" x14ac:dyDescent="0.25">
      <c r="A17" s="379" t="s">
        <v>344</v>
      </c>
      <c r="B17" s="237"/>
      <c r="C17" s="237"/>
      <c r="D17" s="238">
        <f>IF(A17="","",B17+C17)</f>
        <v>0</v>
      </c>
      <c r="E17" s="237"/>
      <c r="F17" s="237"/>
      <c r="G17" s="236">
        <f>IF(A17="","",D17-E17)</f>
        <v>0</v>
      </c>
    </row>
    <row r="18" spans="1:8" ht="8.25" customHeight="1" x14ac:dyDescent="0.25">
      <c r="A18" s="379"/>
      <c r="B18" s="237"/>
      <c r="C18" s="237"/>
      <c r="D18" s="238" t="str">
        <f>IF(A18="","",B18+C18)</f>
        <v/>
      </c>
      <c r="E18" s="237"/>
      <c r="F18" s="237"/>
      <c r="G18" s="236" t="str">
        <f>IF(A18="","",D18-E18)</f>
        <v/>
      </c>
    </row>
    <row r="19" spans="1:8" ht="25.5" x14ac:dyDescent="0.25">
      <c r="A19" s="379" t="s">
        <v>343</v>
      </c>
      <c r="B19" s="237"/>
      <c r="C19" s="237"/>
      <c r="D19" s="238">
        <f>IF(A19="","",B19+C19)</f>
        <v>0</v>
      </c>
      <c r="E19" s="237"/>
      <c r="F19" s="237"/>
      <c r="G19" s="236">
        <f>IF(A19="","",D19-E19)</f>
        <v>0</v>
      </c>
    </row>
    <row r="20" spans="1:8" ht="8.25" customHeight="1" x14ac:dyDescent="0.25">
      <c r="A20" s="379"/>
      <c r="B20" s="237"/>
      <c r="C20" s="237"/>
      <c r="D20" s="238" t="str">
        <f>IF(A20="","",B20+C20)</f>
        <v/>
      </c>
      <c r="E20" s="237"/>
      <c r="F20" s="237"/>
      <c r="G20" s="236" t="str">
        <f>IF(A20="","",D20-E20)</f>
        <v/>
      </c>
    </row>
    <row r="21" spans="1:8" ht="26.25" thickBot="1" x14ac:dyDescent="0.3">
      <c r="A21" s="379" t="s">
        <v>342</v>
      </c>
      <c r="B21" s="237"/>
      <c r="C21" s="237"/>
      <c r="D21" s="238">
        <f>IF(A21="","",B21+C21)</f>
        <v>0</v>
      </c>
      <c r="E21" s="237"/>
      <c r="F21" s="237"/>
      <c r="G21" s="236">
        <f>IF(A21="","",D21-E21)</f>
        <v>0</v>
      </c>
    </row>
    <row r="22" spans="1:8" ht="24.95" customHeight="1" thickBot="1" x14ac:dyDescent="0.3">
      <c r="A22" s="320" t="s">
        <v>130</v>
      </c>
      <c r="B22" s="230">
        <f>SUM(B9:B21)</f>
        <v>623389417.66593051</v>
      </c>
      <c r="C22" s="230">
        <f>SUM(C9:C21)</f>
        <v>99294260.989999995</v>
      </c>
      <c r="D22" s="230">
        <f>IF(A22="","",B22+C22)</f>
        <v>722683678.65593052</v>
      </c>
      <c r="E22" s="230">
        <f>SUM(E9:E21)</f>
        <v>163394492.12</v>
      </c>
      <c r="F22" s="230">
        <f>SUM(F9:F21)</f>
        <v>145583078.78999999</v>
      </c>
      <c r="G22" s="229">
        <f>IF(A22="","",D22-E22)</f>
        <v>559289186.53593051</v>
      </c>
      <c r="H22" s="105" t="str">
        <f>IF((B22-'ETCA II-04'!B80)&gt;0.9,"ERROR!!!!! EL MONTO NO COINCIDE CON LO REPORTADO EN EL FORMATO ETCA-II-04 EN EL TOTAL APROBADO ANUAL DEL ANALÍTICO DE EGRESOS","")</f>
        <v/>
      </c>
    </row>
    <row r="23" spans="1:8" ht="24.95" customHeight="1" x14ac:dyDescent="0.25">
      <c r="A23" s="378"/>
      <c r="B23" s="377"/>
      <c r="C23" s="377"/>
      <c r="D23" s="377"/>
      <c r="E23" s="377"/>
      <c r="F23" s="377"/>
      <c r="G23" s="377"/>
      <c r="H23" s="105" t="str">
        <f>IF((C22-'ETCA II-04'!C80)&gt;0.9,"ERROR!!!!! EL MONTO NO COINCIDE CON LO REPORTADO EN EL FORMATO ETCA-II-04 EN EL TOTAL APROBADO ANUAL DEL ANALÍTICO DE EGRESOS","")</f>
        <v/>
      </c>
    </row>
    <row r="24" spans="1:8" ht="24.95" customHeight="1" x14ac:dyDescent="0.25">
      <c r="A24" s="374"/>
      <c r="B24" s="227"/>
      <c r="C24" s="227"/>
      <c r="D24" s="227"/>
      <c r="E24" s="227"/>
      <c r="F24" s="227"/>
      <c r="G24" s="227"/>
      <c r="H24" s="105" t="str">
        <f>IF((D22-'ETCA II-04'!D80)&gt;0.9,"ERROR!!!!! EL MONTO NO COINCIDE CON LO REPORTADO EN EL FORMATO ETCA-II-04 EN EL TOTAL APROBADO ANUAL DEL ANALÍTICO DE EGRESOS","")</f>
        <v/>
      </c>
    </row>
    <row r="25" spans="1:8" ht="24.95" customHeight="1" x14ac:dyDescent="0.25">
      <c r="A25" s="87"/>
      <c r="B25" s="376"/>
      <c r="C25" s="376"/>
      <c r="D25" s="375"/>
      <c r="E25" s="376"/>
      <c r="F25" s="376"/>
      <c r="G25" s="375"/>
      <c r="H25" s="105" t="str">
        <f>IF((E22-'ETCA II-04'!E80)&gt;0.9,"ERROR!!!!! EL MONTO NO COINCIDE CON LO REPORTADO EN EL FORMATO ETCA-II-04 EN EL TOTAL APROBADO ANUAL DEL ANALÍTICO DE EGRESOS","")</f>
        <v/>
      </c>
    </row>
    <row r="26" spans="1:8" ht="24.95" customHeight="1" x14ac:dyDescent="0.25">
      <c r="A26" s="87"/>
      <c r="B26" s="376"/>
      <c r="C26" s="376"/>
      <c r="D26" s="375"/>
      <c r="E26" s="376"/>
      <c r="F26" s="376"/>
      <c r="G26" s="375"/>
      <c r="H26" s="105" t="str">
        <f>IF((F22-'ETCA II-04'!F80)&gt;0.9,"ERROR!!!!! EL MONTO NO COINCIDE CON LO REPORTADO EN EL FORMATO ETCA-II-04 EN EL TOTAL APROBADO ANUAL DEL ANALÍTICO DE EGRESOS","")</f>
        <v/>
      </c>
    </row>
    <row r="27" spans="1:8" ht="25.5" customHeight="1" x14ac:dyDescent="0.25">
      <c r="A27" s="374"/>
      <c r="B27" s="227"/>
      <c r="C27" s="227"/>
      <c r="D27" s="227"/>
      <c r="E27" s="227"/>
      <c r="F27" s="227"/>
      <c r="G27" s="227"/>
      <c r="H27" s="105" t="str">
        <f>IF((G22-'ETCA II-04'!G80)&gt;0.9,"ERROR!!!!! EL MONTO NO COINCIDE CON LO REPORTADO EN EL FORMATO ETCA-II-04 EN EL TOTAL APROBADO ANUAL DEL ANALÍTICO DE EGRESOS","")</f>
        <v/>
      </c>
    </row>
    <row r="29" spans="1:8" x14ac:dyDescent="0.25">
      <c r="F29" s="333"/>
    </row>
    <row r="30" spans="1:8" x14ac:dyDescent="0.25">
      <c r="F30" s="333"/>
    </row>
  </sheetData>
  <sheetProtection formatColumns="0" formatRows="0" insertHyperlink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212B-7A92-43E5-9C88-5364E0870FA5}">
  <sheetPr>
    <tabColor theme="0" tint="-0.14999847407452621"/>
  </sheetPr>
  <dimension ref="A1:H48"/>
  <sheetViews>
    <sheetView view="pageBreakPreview" zoomScale="90" zoomScaleNormal="100" zoomScaleSheetLayoutView="90" workbookViewId="0">
      <selection activeCell="S24" sqref="S24"/>
    </sheetView>
  </sheetViews>
  <sheetFormatPr baseColWidth="10" defaultRowHeight="15" x14ac:dyDescent="0.25"/>
  <cols>
    <col min="1" max="1" width="35.7109375" customWidth="1"/>
    <col min="6" max="6" width="11.85546875" customWidth="1"/>
  </cols>
  <sheetData>
    <row r="1" spans="1:7" ht="16.5" x14ac:dyDescent="0.25">
      <c r="A1" s="373" t="str">
        <f>'[1]ETCA-I-01'!A1:G1</f>
        <v xml:space="preserve">Comision Estatal del Agua  </v>
      </c>
      <c r="B1" s="373"/>
      <c r="C1" s="373"/>
      <c r="D1" s="373"/>
      <c r="E1" s="373"/>
      <c r="F1" s="373"/>
      <c r="G1" s="373"/>
    </row>
    <row r="2" spans="1:7" ht="16.5" x14ac:dyDescent="0.25">
      <c r="A2" s="373" t="s">
        <v>213</v>
      </c>
      <c r="B2" s="373"/>
      <c r="C2" s="373"/>
      <c r="D2" s="373"/>
      <c r="E2" s="373"/>
      <c r="F2" s="373"/>
      <c r="G2" s="373"/>
    </row>
    <row r="3" spans="1:7" ht="16.5" x14ac:dyDescent="0.25">
      <c r="A3" s="373" t="s">
        <v>382</v>
      </c>
      <c r="B3" s="373"/>
      <c r="C3" s="373"/>
      <c r="D3" s="373"/>
      <c r="E3" s="373"/>
      <c r="F3" s="373"/>
      <c r="G3" s="373"/>
    </row>
    <row r="4" spans="1:7" ht="16.5" x14ac:dyDescent="0.25">
      <c r="A4" s="103" t="str">
        <f>'[1]ETCA-I-03'!A3:D3</f>
        <v>Del 01 de Enero al 31 de Marzo de 2020</v>
      </c>
      <c r="B4" s="103"/>
      <c r="C4" s="103"/>
      <c r="D4" s="103"/>
      <c r="E4" s="103"/>
      <c r="F4" s="103"/>
      <c r="G4" s="103"/>
    </row>
    <row r="5" spans="1:7" ht="17.25" thickBot="1" x14ac:dyDescent="0.3">
      <c r="A5" s="101"/>
      <c r="B5" s="404"/>
      <c r="C5" s="404"/>
      <c r="D5" s="404"/>
      <c r="E5" s="404"/>
      <c r="F5" s="403"/>
      <c r="G5" s="402"/>
    </row>
    <row r="6" spans="1:7" ht="40.5" x14ac:dyDescent="0.25">
      <c r="A6" s="387" t="s">
        <v>111</v>
      </c>
      <c r="B6" s="401" t="s">
        <v>209</v>
      </c>
      <c r="C6" s="401" t="s">
        <v>109</v>
      </c>
      <c r="D6" s="401" t="s">
        <v>208</v>
      </c>
      <c r="E6" s="401" t="s">
        <v>207</v>
      </c>
      <c r="F6" s="401" t="s">
        <v>206</v>
      </c>
      <c r="G6" s="400" t="s">
        <v>205</v>
      </c>
    </row>
    <row r="7" spans="1:7" ht="15.75" thickBot="1" x14ac:dyDescent="0.3">
      <c r="A7" s="384"/>
      <c r="B7" s="399" t="s">
        <v>26</v>
      </c>
      <c r="C7" s="399" t="s">
        <v>25</v>
      </c>
      <c r="D7" s="399" t="s">
        <v>204</v>
      </c>
      <c r="E7" s="399" t="s">
        <v>23</v>
      </c>
      <c r="F7" s="399" t="s">
        <v>22</v>
      </c>
      <c r="G7" s="398" t="s">
        <v>203</v>
      </c>
    </row>
    <row r="8" spans="1:7" ht="16.5" x14ac:dyDescent="0.25">
      <c r="A8" s="397"/>
      <c r="B8" s="396"/>
      <c r="C8" s="396"/>
      <c r="D8" s="396"/>
      <c r="E8" s="396"/>
      <c r="F8" s="396"/>
      <c r="G8" s="395"/>
    </row>
    <row r="9" spans="1:7" x14ac:dyDescent="0.25">
      <c r="A9" s="394" t="s">
        <v>381</v>
      </c>
      <c r="B9" s="393">
        <f>SUM(B10:B17)</f>
        <v>0</v>
      </c>
      <c r="C9" s="393">
        <f>SUM(C10:C17)</f>
        <v>0</v>
      </c>
      <c r="D9" s="393">
        <f>IF(A9="","",B9+C9)</f>
        <v>0</v>
      </c>
      <c r="E9" s="393">
        <f>SUM(E10:E17)</f>
        <v>0</v>
      </c>
      <c r="F9" s="393">
        <f>SUM(F10:F17)</f>
        <v>0</v>
      </c>
      <c r="G9" s="392">
        <f>IF(A9="","",D9-E9)</f>
        <v>0</v>
      </c>
    </row>
    <row r="10" spans="1:7" x14ac:dyDescent="0.25">
      <c r="A10" s="313" t="s">
        <v>380</v>
      </c>
      <c r="B10" s="237"/>
      <c r="C10" s="237"/>
      <c r="D10" s="238">
        <f>IF(A10="","",B10+C10)</f>
        <v>0</v>
      </c>
      <c r="E10" s="237"/>
      <c r="F10" s="237"/>
      <c r="G10" s="236">
        <f>IF(A10="","",D10-E10)</f>
        <v>0</v>
      </c>
    </row>
    <row r="11" spans="1:7" x14ac:dyDescent="0.25">
      <c r="A11" s="313" t="s">
        <v>379</v>
      </c>
      <c r="B11" s="237"/>
      <c r="C11" s="237"/>
      <c r="D11" s="238">
        <f>IF(A11="","",B11+C11)</f>
        <v>0</v>
      </c>
      <c r="E11" s="237"/>
      <c r="F11" s="237"/>
      <c r="G11" s="236">
        <f>IF(A11="","",D11-E11)</f>
        <v>0</v>
      </c>
    </row>
    <row r="12" spans="1:7" x14ac:dyDescent="0.25">
      <c r="A12" s="313" t="s">
        <v>378</v>
      </c>
      <c r="B12" s="237"/>
      <c r="C12" s="237"/>
      <c r="D12" s="238">
        <f>IF(A12="","",B12+C12)</f>
        <v>0</v>
      </c>
      <c r="E12" s="237"/>
      <c r="F12" s="237"/>
      <c r="G12" s="236">
        <f>IF(A12="","",D12-E12)</f>
        <v>0</v>
      </c>
    </row>
    <row r="13" spans="1:7" x14ac:dyDescent="0.25">
      <c r="A13" s="313" t="s">
        <v>377</v>
      </c>
      <c r="B13" s="237"/>
      <c r="C13" s="237"/>
      <c r="D13" s="238">
        <f>IF(A13="","",B13+C13)</f>
        <v>0</v>
      </c>
      <c r="E13" s="237"/>
      <c r="F13" s="237"/>
      <c r="G13" s="236">
        <f>IF(A13="","",D13-E13)</f>
        <v>0</v>
      </c>
    </row>
    <row r="14" spans="1:7" x14ac:dyDescent="0.25">
      <c r="A14" s="313" t="s">
        <v>376</v>
      </c>
      <c r="B14" s="237"/>
      <c r="C14" s="237"/>
      <c r="D14" s="238">
        <f>IF(A14="","",B14+C14)</f>
        <v>0</v>
      </c>
      <c r="E14" s="237"/>
      <c r="F14" s="237"/>
      <c r="G14" s="236">
        <f>IF(A14="","",D14-E14)</f>
        <v>0</v>
      </c>
    </row>
    <row r="15" spans="1:7" x14ac:dyDescent="0.25">
      <c r="A15" s="313" t="s">
        <v>375</v>
      </c>
      <c r="B15" s="237"/>
      <c r="C15" s="237"/>
      <c r="D15" s="238">
        <f>IF(A15="","",B15+C15)</f>
        <v>0</v>
      </c>
      <c r="E15" s="237"/>
      <c r="F15" s="237"/>
      <c r="G15" s="236">
        <f>IF(A15="","",D15-E15)</f>
        <v>0</v>
      </c>
    </row>
    <row r="16" spans="1:7" x14ac:dyDescent="0.25">
      <c r="A16" s="313" t="s">
        <v>374</v>
      </c>
      <c r="B16" s="237"/>
      <c r="C16" s="237"/>
      <c r="D16" s="238">
        <f>IF(A16="","",B16+C16)</f>
        <v>0</v>
      </c>
      <c r="E16" s="237"/>
      <c r="F16" s="237"/>
      <c r="G16" s="236">
        <f>IF(A16="","",D16-E16)</f>
        <v>0</v>
      </c>
    </row>
    <row r="17" spans="1:7" x14ac:dyDescent="0.25">
      <c r="A17" s="313" t="s">
        <v>175</v>
      </c>
      <c r="B17" s="237"/>
      <c r="C17" s="237"/>
      <c r="D17" s="238">
        <f>IF(A17="","",B17+C17)</f>
        <v>0</v>
      </c>
      <c r="E17" s="237"/>
      <c r="F17" s="237"/>
      <c r="G17" s="236">
        <f>IF(A17="","",D17-E17)</f>
        <v>0</v>
      </c>
    </row>
    <row r="18" spans="1:7" x14ac:dyDescent="0.25">
      <c r="A18" s="383"/>
      <c r="B18" s="237"/>
      <c r="C18" s="237"/>
      <c r="D18" s="238" t="str">
        <f>IF(A18="","",B18+C18)</f>
        <v/>
      </c>
      <c r="E18" s="237"/>
      <c r="F18" s="237"/>
      <c r="G18" s="236" t="str">
        <f>IF(A18="","",D18-E18)</f>
        <v/>
      </c>
    </row>
    <row r="19" spans="1:7" x14ac:dyDescent="0.25">
      <c r="A19" s="394" t="s">
        <v>373</v>
      </c>
      <c r="B19" s="393">
        <f>SUM(B20:B26)</f>
        <v>623389417.66593051</v>
      </c>
      <c r="C19" s="393">
        <f>SUM(C20:C26)</f>
        <v>99294260.989999995</v>
      </c>
      <c r="D19" s="393">
        <f>IF(A19="","",B19+C19)</f>
        <v>722683678.65593052</v>
      </c>
      <c r="E19" s="393">
        <f>SUM(E20:E26)</f>
        <v>163394492.12</v>
      </c>
      <c r="F19" s="393">
        <f>SUM(F20:F26)</f>
        <v>145583078.78999999</v>
      </c>
      <c r="G19" s="392">
        <f>IF(A19="","",D19-E19)</f>
        <v>559289186.53593051</v>
      </c>
    </row>
    <row r="20" spans="1:7" x14ac:dyDescent="0.25">
      <c r="A20" s="313" t="s">
        <v>372</v>
      </c>
      <c r="B20" s="237"/>
      <c r="C20" s="237"/>
      <c r="D20" s="238">
        <f>IF(A20="","",B20+C20)</f>
        <v>0</v>
      </c>
      <c r="E20" s="237"/>
      <c r="F20" s="237"/>
      <c r="G20" s="236">
        <f>IF(A20="","",D20-E20)</f>
        <v>0</v>
      </c>
    </row>
    <row r="21" spans="1:7" x14ac:dyDescent="0.25">
      <c r="A21" s="313" t="s">
        <v>371</v>
      </c>
      <c r="B21" s="237">
        <v>623389417.66593051</v>
      </c>
      <c r="C21" s="237">
        <v>99294260.989999995</v>
      </c>
      <c r="D21" s="238">
        <f>IF(A21="","",B21+C21)</f>
        <v>722683678.65593052</v>
      </c>
      <c r="E21" s="237">
        <v>163394492.12</v>
      </c>
      <c r="F21" s="237">
        <v>145583078.78999999</v>
      </c>
      <c r="G21" s="236">
        <f>IF(A21="","",D21-E21)</f>
        <v>559289186.53593051</v>
      </c>
    </row>
    <row r="22" spans="1:7" x14ac:dyDescent="0.25">
      <c r="A22" s="313" t="s">
        <v>370</v>
      </c>
      <c r="B22" s="237"/>
      <c r="C22" s="237"/>
      <c r="D22" s="238">
        <f>IF(A22="","",B22+C22)</f>
        <v>0</v>
      </c>
      <c r="E22" s="237"/>
      <c r="F22" s="237"/>
      <c r="G22" s="236">
        <f>IF(A22="","",D22-E22)</f>
        <v>0</v>
      </c>
    </row>
    <row r="23" spans="1:7" ht="25.5" x14ac:dyDescent="0.25">
      <c r="A23" s="313" t="s">
        <v>369</v>
      </c>
      <c r="B23" s="237"/>
      <c r="C23" s="237"/>
      <c r="D23" s="238">
        <f>IF(A23="","",B23+C23)</f>
        <v>0</v>
      </c>
      <c r="E23" s="237"/>
      <c r="F23" s="237"/>
      <c r="G23" s="236">
        <f>IF(A23="","",D23-E23)</f>
        <v>0</v>
      </c>
    </row>
    <row r="24" spans="1:7" x14ac:dyDescent="0.25">
      <c r="A24" s="313" t="s">
        <v>368</v>
      </c>
      <c r="B24" s="237"/>
      <c r="C24" s="237"/>
      <c r="D24" s="238">
        <f>IF(A24="","",B24+C24)</f>
        <v>0</v>
      </c>
      <c r="E24" s="237"/>
      <c r="F24" s="237"/>
      <c r="G24" s="236">
        <f>IF(A24="","",D24-E24)</f>
        <v>0</v>
      </c>
    </row>
    <row r="25" spans="1:7" x14ac:dyDescent="0.25">
      <c r="A25" s="313" t="s">
        <v>367</v>
      </c>
      <c r="B25" s="237"/>
      <c r="C25" s="237"/>
      <c r="D25" s="238">
        <f>IF(A25="","",B25+C25)</f>
        <v>0</v>
      </c>
      <c r="E25" s="237"/>
      <c r="F25" s="237"/>
      <c r="G25" s="236">
        <f>IF(A25="","",D25-E25)</f>
        <v>0</v>
      </c>
    </row>
    <row r="26" spans="1:7" x14ac:dyDescent="0.25">
      <c r="A26" s="313" t="s">
        <v>366</v>
      </c>
      <c r="B26" s="237"/>
      <c r="C26" s="237"/>
      <c r="D26" s="238">
        <f>IF(A26="","",B26+C26)</f>
        <v>0</v>
      </c>
      <c r="E26" s="237"/>
      <c r="F26" s="237"/>
      <c r="G26" s="236">
        <f>IF(A26="","",D26-E26)</f>
        <v>0</v>
      </c>
    </row>
    <row r="27" spans="1:7" x14ac:dyDescent="0.25">
      <c r="A27" s="383"/>
      <c r="B27" s="237"/>
      <c r="C27" s="237"/>
      <c r="D27" s="238" t="str">
        <f>IF(A27="","",B27+C27)</f>
        <v/>
      </c>
      <c r="E27" s="237"/>
      <c r="F27" s="237"/>
      <c r="G27" s="236" t="str">
        <f>IF(A27="","",D27-E27)</f>
        <v/>
      </c>
    </row>
    <row r="28" spans="1:7" x14ac:dyDescent="0.25">
      <c r="A28" s="394" t="s">
        <v>365</v>
      </c>
      <c r="B28" s="393">
        <f>SUM(B29:B37)</f>
        <v>0</v>
      </c>
      <c r="C28" s="393">
        <f>SUM(C29:C37)</f>
        <v>0</v>
      </c>
      <c r="D28" s="393">
        <f>IF(A28="","",B28+C28)</f>
        <v>0</v>
      </c>
      <c r="E28" s="393">
        <f>SUM(E29:E37)</f>
        <v>0</v>
      </c>
      <c r="F28" s="393">
        <f>SUM(F29:F37)</f>
        <v>0</v>
      </c>
      <c r="G28" s="392">
        <f>IF(A28="","",D28-E28)</f>
        <v>0</v>
      </c>
    </row>
    <row r="29" spans="1:7" ht="25.5" x14ac:dyDescent="0.25">
      <c r="A29" s="313" t="s">
        <v>364</v>
      </c>
      <c r="B29" s="237"/>
      <c r="C29" s="237"/>
      <c r="D29" s="238">
        <f>IF(A29="","",B29+C29)</f>
        <v>0</v>
      </c>
      <c r="E29" s="237"/>
      <c r="F29" s="237"/>
      <c r="G29" s="236">
        <f>IF(A29="","",D29-E29)</f>
        <v>0</v>
      </c>
    </row>
    <row r="30" spans="1:7" x14ac:dyDescent="0.25">
      <c r="A30" s="313" t="s">
        <v>363</v>
      </c>
      <c r="B30" s="237"/>
      <c r="C30" s="237"/>
      <c r="D30" s="238">
        <f>IF(A30="","",B30+C30)</f>
        <v>0</v>
      </c>
      <c r="E30" s="237"/>
      <c r="F30" s="237"/>
      <c r="G30" s="236">
        <f>IF(A30="","",D30-E30)</f>
        <v>0</v>
      </c>
    </row>
    <row r="31" spans="1:7" x14ac:dyDescent="0.25">
      <c r="A31" s="313" t="s">
        <v>362</v>
      </c>
      <c r="B31" s="237"/>
      <c r="C31" s="237"/>
      <c r="D31" s="238">
        <f>IF(A31="","",B31+C31)</f>
        <v>0</v>
      </c>
      <c r="E31" s="237"/>
      <c r="F31" s="237"/>
      <c r="G31" s="236">
        <f>IF(A31="","",D31-E31)</f>
        <v>0</v>
      </c>
    </row>
    <row r="32" spans="1:7" x14ac:dyDescent="0.25">
      <c r="A32" s="313" t="s">
        <v>361</v>
      </c>
      <c r="B32" s="237"/>
      <c r="C32" s="237"/>
      <c r="D32" s="238">
        <f>IF(A32="","",B32+C32)</f>
        <v>0</v>
      </c>
      <c r="E32" s="237"/>
      <c r="F32" s="237"/>
      <c r="G32" s="236">
        <f>IF(A32="","",D32-E32)</f>
        <v>0</v>
      </c>
    </row>
    <row r="33" spans="1:8" x14ac:dyDescent="0.25">
      <c r="A33" s="313" t="s">
        <v>360</v>
      </c>
      <c r="B33" s="237"/>
      <c r="C33" s="237"/>
      <c r="D33" s="238">
        <f>IF(A33="","",B33+C33)</f>
        <v>0</v>
      </c>
      <c r="E33" s="237"/>
      <c r="F33" s="237"/>
      <c r="G33" s="236">
        <f>IF(A33="","",D33-E33)</f>
        <v>0</v>
      </c>
    </row>
    <row r="34" spans="1:8" x14ac:dyDescent="0.25">
      <c r="A34" s="313" t="s">
        <v>359</v>
      </c>
      <c r="B34" s="237"/>
      <c r="C34" s="237"/>
      <c r="D34" s="238">
        <f>IF(A34="","",B34+C34)</f>
        <v>0</v>
      </c>
      <c r="E34" s="237"/>
      <c r="F34" s="237"/>
      <c r="G34" s="236">
        <f>IF(A34="","",D34-E34)</f>
        <v>0</v>
      </c>
    </row>
    <row r="35" spans="1:8" x14ac:dyDescent="0.25">
      <c r="A35" s="313" t="s">
        <v>358</v>
      </c>
      <c r="B35" s="237"/>
      <c r="C35" s="237"/>
      <c r="D35" s="238">
        <f>IF(A35="","",B35+C35)</f>
        <v>0</v>
      </c>
      <c r="E35" s="237"/>
      <c r="F35" s="237"/>
      <c r="G35" s="236">
        <f>IF(A35="","",D35-E35)</f>
        <v>0</v>
      </c>
    </row>
    <row r="36" spans="1:8" x14ac:dyDescent="0.25">
      <c r="A36" s="313" t="s">
        <v>357</v>
      </c>
      <c r="B36" s="237"/>
      <c r="C36" s="237"/>
      <c r="D36" s="238">
        <f>IF(A36="","",B36+C36)</f>
        <v>0</v>
      </c>
      <c r="E36" s="237"/>
      <c r="F36" s="237"/>
      <c r="G36" s="236">
        <f>IF(A36="","",D36-E36)</f>
        <v>0</v>
      </c>
    </row>
    <row r="37" spans="1:8" x14ac:dyDescent="0.25">
      <c r="A37" s="313" t="s">
        <v>356</v>
      </c>
      <c r="B37" s="237"/>
      <c r="C37" s="237"/>
      <c r="D37" s="238">
        <f>IF(A37="","",B37+C37)</f>
        <v>0</v>
      </c>
      <c r="E37" s="237"/>
      <c r="F37" s="237"/>
      <c r="G37" s="236">
        <f>IF(A37="","",D37-E37)</f>
        <v>0</v>
      </c>
    </row>
    <row r="38" spans="1:8" x14ac:dyDescent="0.25">
      <c r="A38" s="383"/>
      <c r="B38" s="237"/>
      <c r="C38" s="237"/>
      <c r="D38" s="238" t="str">
        <f>IF(A38="","",B38+C38)</f>
        <v/>
      </c>
      <c r="E38" s="237"/>
      <c r="F38" s="237"/>
      <c r="G38" s="236" t="str">
        <f>IF(A38="","",D38-E38)</f>
        <v/>
      </c>
    </row>
    <row r="39" spans="1:8" ht="25.5" x14ac:dyDescent="0.25">
      <c r="A39" s="394" t="s">
        <v>355</v>
      </c>
      <c r="B39" s="393">
        <f>SUM(B40:B43)</f>
        <v>0</v>
      </c>
      <c r="C39" s="393">
        <f>SUM(C40:C43)</f>
        <v>0</v>
      </c>
      <c r="D39" s="393">
        <f>IF(A39="","",B39+C39)</f>
        <v>0</v>
      </c>
      <c r="E39" s="393">
        <f>SUM(E40:E43)</f>
        <v>0</v>
      </c>
      <c r="F39" s="393">
        <f>SUM(F40:F43)</f>
        <v>0</v>
      </c>
      <c r="G39" s="392">
        <f>IF(A39="","",D39-E39)</f>
        <v>0</v>
      </c>
    </row>
    <row r="40" spans="1:8" ht="25.5" x14ac:dyDescent="0.25">
      <c r="A40" s="391" t="s">
        <v>354</v>
      </c>
      <c r="B40" s="237">
        <v>0</v>
      </c>
      <c r="C40" s="237">
        <v>0</v>
      </c>
      <c r="D40" s="238">
        <f>IF(A40="","",B40+C40)</f>
        <v>0</v>
      </c>
      <c r="E40" s="237">
        <v>0</v>
      </c>
      <c r="F40" s="237">
        <v>0</v>
      </c>
      <c r="G40" s="236">
        <f>IF(A40="","",D40-E40)</f>
        <v>0</v>
      </c>
    </row>
    <row r="41" spans="1:8" ht="38.25" x14ac:dyDescent="0.25">
      <c r="A41" s="391" t="s">
        <v>353</v>
      </c>
      <c r="B41" s="237"/>
      <c r="C41" s="237"/>
      <c r="D41" s="238">
        <f>IF(A41="","",B41+C41)</f>
        <v>0</v>
      </c>
      <c r="E41" s="237"/>
      <c r="F41" s="237"/>
      <c r="G41" s="236">
        <f>IF(A41="","",D41-E41)</f>
        <v>0</v>
      </c>
    </row>
    <row r="42" spans="1:8" x14ac:dyDescent="0.25">
      <c r="A42" s="313" t="s">
        <v>352</v>
      </c>
      <c r="B42" s="237"/>
      <c r="C42" s="237"/>
      <c r="D42" s="238">
        <f>IF(A42="","",B42+C42)</f>
        <v>0</v>
      </c>
      <c r="E42" s="237"/>
      <c r="F42" s="237"/>
      <c r="G42" s="236">
        <f>IF(A42="","",D42-E42)</f>
        <v>0</v>
      </c>
    </row>
    <row r="43" spans="1:8" ht="15.75" thickBot="1" x14ac:dyDescent="0.3">
      <c r="A43" s="313" t="s">
        <v>351</v>
      </c>
      <c r="B43" s="237"/>
      <c r="C43" s="237"/>
      <c r="D43" s="238">
        <f>IF(A43="","",B43+C43)</f>
        <v>0</v>
      </c>
      <c r="E43" s="237"/>
      <c r="F43" s="237"/>
      <c r="G43" s="236">
        <f>IF(A43="","",D43-E43)</f>
        <v>0</v>
      </c>
    </row>
    <row r="44" spans="1:8" ht="15.75" thickBot="1" x14ac:dyDescent="0.3">
      <c r="A44" s="320" t="s">
        <v>130</v>
      </c>
      <c r="B44" s="390">
        <f>SUM(B9,B19,B28,B39)</f>
        <v>623389417.66593051</v>
      </c>
      <c r="C44" s="390">
        <f>SUM(C9,C19,C28,C39)</f>
        <v>99294260.989999995</v>
      </c>
      <c r="D44" s="390">
        <f>IF(A44="","",B44+C44)</f>
        <v>722683678.65593052</v>
      </c>
      <c r="E44" s="390">
        <f>SUM(E9,E19,E28,E39)</f>
        <v>163394492.12</v>
      </c>
      <c r="F44" s="390">
        <f>SUM(F9,F19,F28,F39)</f>
        <v>145583078.78999999</v>
      </c>
      <c r="G44" s="389">
        <f>IF(A44="","",D44-E44)</f>
        <v>559289186.53593051</v>
      </c>
      <c r="H44" s="105" t="str">
        <f>IF((B44-'ETCA II-04'!B80)&gt;0.9,"ERROR!!!!! EL MONTO NO COINCIDE CON LO REPORTADO EN EL FORMATO ETCA-II-04 EN EL TOTAL APROBADO ANUAL DEL ANALÍTICO DE EGRESOS","")</f>
        <v/>
      </c>
    </row>
    <row r="45" spans="1:8" ht="9" customHeight="1" x14ac:dyDescent="0.25">
      <c r="A45" s="374"/>
      <c r="B45" s="375"/>
      <c r="C45" s="375"/>
      <c r="D45" s="375"/>
      <c r="E45" s="375"/>
      <c r="F45" s="375"/>
      <c r="G45" s="375"/>
      <c r="H45" s="105" t="str">
        <f>IF((C44-'ETCA II-04'!C80)&gt;0.9,"ERROR!!!!! EL MONTO NO COINCIDE CON LO REPORTADO EN EL FORMATO ETCA-II-04 EN EL TOTAL DE AMPLIACIONES/REDUCCIONES PRESENTADO EN EL ANALÍTICO DE EGRESOS","")</f>
        <v/>
      </c>
    </row>
    <row r="46" spans="1:8" x14ac:dyDescent="0.25">
      <c r="A46" s="388"/>
      <c r="B46" s="376"/>
      <c r="C46" s="376"/>
      <c r="D46" s="375"/>
      <c r="E46" s="376"/>
      <c r="F46" s="376"/>
      <c r="G46" s="375"/>
      <c r="H46" s="105" t="str">
        <f>IF((E44-'ETCA II-04'!E80)&gt;0.9,"ERROR!!!!! EL MONTO NO COINCIDE CON LO REPORTADO EN EL FORMATO ETCA-II-04 EN EL TOTAL DEVENGADO ANUAL PRESENTADO EN EL ANALÍTICO DE EGRESOS","")</f>
        <v/>
      </c>
    </row>
    <row r="47" spans="1:8" x14ac:dyDescent="0.25">
      <c r="A47" s="374"/>
      <c r="B47" s="375"/>
      <c r="C47" s="375"/>
      <c r="D47" s="375"/>
      <c r="E47" s="375"/>
      <c r="F47" s="375"/>
      <c r="G47" s="375"/>
      <c r="H47" s="105" t="str">
        <f>IF((F44-'ETCA II-04'!F80)&gt;0.9,"ERROR!!!!! EL MONTO NO COINCIDE CON LO REPORTADO EN EL FORMATO ETCA-II-04 EN EL TOTAL PAGADO ANUAL PRESENTADO EN EL ANALÍTICO DE EGRESOS","")</f>
        <v/>
      </c>
    </row>
    <row r="48" spans="1:8" x14ac:dyDescent="0.25">
      <c r="H48" s="105" t="str">
        <f>IF((G44-'ETCA II-04'!G80)&gt;0.9,"ERROR!!!!! EL MONTO NO COINCIDE CON LO REPORTADO EN EL FORMATO ETCA-II-04 EN EL TOTAL SUBEJERCICIO PRESENTADO EN EL ANALÍTICO DE EGRESOS","")</f>
        <v/>
      </c>
    </row>
  </sheetData>
  <sheetProtection formatColumns="0" formatRows="0"/>
  <mergeCells count="6">
    <mergeCell ref="A6:A7"/>
    <mergeCell ref="A1:G1"/>
    <mergeCell ref="A2:G2"/>
    <mergeCell ref="A3:G3"/>
    <mergeCell ref="A4:G4"/>
    <mergeCell ref="B5:E5"/>
  </mergeCells>
  <pageMargins left="0.70866141732283472" right="0.70866141732283472" top="0.74803149606299213" bottom="0.74803149606299213" header="0.31496062992125984" footer="0.31496062992125984"/>
  <pageSetup scale="86" orientation="portrait" horizontalDpi="1200" verticalDpi="1200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C0D0-466C-4EAC-8CD7-5CDA894168EB}">
  <sheetPr>
    <tabColor theme="0" tint="-0.14999847407452621"/>
  </sheetPr>
  <dimension ref="A1:I88"/>
  <sheetViews>
    <sheetView view="pageBreakPreview" zoomScale="90" zoomScaleNormal="100" zoomScaleSheetLayoutView="90" workbookViewId="0">
      <selection activeCell="S24" sqref="S24"/>
    </sheetView>
  </sheetViews>
  <sheetFormatPr baseColWidth="10" defaultColWidth="11.42578125" defaultRowHeight="15" x14ac:dyDescent="0.25"/>
  <cols>
    <col min="1" max="1" width="4.42578125" customWidth="1"/>
    <col min="2" max="2" width="49.140625" customWidth="1"/>
    <col min="3" max="4" width="14.28515625" bestFit="1" customWidth="1"/>
    <col min="5" max="5" width="14.5703125" bestFit="1" customWidth="1"/>
    <col min="6" max="6" width="14" bestFit="1" customWidth="1"/>
    <col min="7" max="7" width="14.28515625" bestFit="1" customWidth="1"/>
    <col min="8" max="8" width="15.42578125" bestFit="1" customWidth="1"/>
  </cols>
  <sheetData>
    <row r="1" spans="1:8" ht="15.75" x14ac:dyDescent="0.25">
      <c r="A1" s="292" t="str">
        <f>'[1]ETCA-I-01'!A1:G1</f>
        <v xml:space="preserve">Comision Estatal del Agua  </v>
      </c>
      <c r="B1" s="291"/>
      <c r="C1" s="291"/>
      <c r="D1" s="291"/>
      <c r="E1" s="291"/>
      <c r="F1" s="291"/>
      <c r="G1" s="291"/>
      <c r="H1" s="290"/>
    </row>
    <row r="2" spans="1:8" x14ac:dyDescent="0.25">
      <c r="A2" s="435" t="s">
        <v>299</v>
      </c>
      <c r="B2" s="434"/>
      <c r="C2" s="434"/>
      <c r="D2" s="434"/>
      <c r="E2" s="434"/>
      <c r="F2" s="434"/>
      <c r="G2" s="434"/>
      <c r="H2" s="433"/>
    </row>
    <row r="3" spans="1:8" ht="11.25" customHeight="1" x14ac:dyDescent="0.25">
      <c r="A3" s="435" t="s">
        <v>382</v>
      </c>
      <c r="B3" s="434"/>
      <c r="C3" s="434"/>
      <c r="D3" s="434"/>
      <c r="E3" s="434"/>
      <c r="F3" s="434"/>
      <c r="G3" s="434"/>
      <c r="H3" s="433"/>
    </row>
    <row r="4" spans="1:8" ht="11.25" customHeight="1" x14ac:dyDescent="0.25">
      <c r="A4" s="435" t="str">
        <f>'[1]ETCA-I-03'!A3:D3</f>
        <v>Del 01 de Enero al 31 de Marzo de 2020</v>
      </c>
      <c r="B4" s="434"/>
      <c r="C4" s="434"/>
      <c r="D4" s="434"/>
      <c r="E4" s="434"/>
      <c r="F4" s="434"/>
      <c r="G4" s="434"/>
      <c r="H4" s="433"/>
    </row>
    <row r="5" spans="1:8" ht="12.75" customHeight="1" thickBot="1" x14ac:dyDescent="0.3">
      <c r="A5" s="428" t="s">
        <v>297</v>
      </c>
      <c r="B5" s="432"/>
      <c r="C5" s="432"/>
      <c r="D5" s="432"/>
      <c r="E5" s="432"/>
      <c r="F5" s="432"/>
      <c r="G5" s="432"/>
      <c r="H5" s="431"/>
    </row>
    <row r="6" spans="1:8" ht="15.75" thickBot="1" x14ac:dyDescent="0.3">
      <c r="A6" s="430" t="s">
        <v>296</v>
      </c>
      <c r="B6" s="429"/>
      <c r="C6" s="351" t="s">
        <v>295</v>
      </c>
      <c r="D6" s="350"/>
      <c r="E6" s="350"/>
      <c r="F6" s="350"/>
      <c r="G6" s="349"/>
      <c r="H6" s="348" t="s">
        <v>294</v>
      </c>
    </row>
    <row r="7" spans="1:8" ht="26.25" thickBot="1" x14ac:dyDescent="0.3">
      <c r="A7" s="428"/>
      <c r="B7" s="427"/>
      <c r="C7" s="347" t="s">
        <v>293</v>
      </c>
      <c r="D7" s="347" t="s">
        <v>292</v>
      </c>
      <c r="E7" s="347" t="s">
        <v>291</v>
      </c>
      <c r="F7" s="347" t="s">
        <v>108</v>
      </c>
      <c r="G7" s="347" t="s">
        <v>334</v>
      </c>
      <c r="H7" s="346"/>
    </row>
    <row r="8" spans="1:8" x14ac:dyDescent="0.25">
      <c r="A8" s="426"/>
      <c r="B8" s="425"/>
      <c r="C8" s="424"/>
      <c r="D8" s="424"/>
      <c r="E8" s="424"/>
      <c r="F8" s="424"/>
      <c r="G8" s="424"/>
      <c r="H8" s="424"/>
    </row>
    <row r="9" spans="1:8" ht="16.5" customHeight="1" x14ac:dyDescent="0.25">
      <c r="A9" s="423" t="s">
        <v>416</v>
      </c>
      <c r="B9" s="422"/>
      <c r="C9" s="340">
        <f>+C10+C20+C29+C40</f>
        <v>535114183.66593051</v>
      </c>
      <c r="D9" s="340">
        <f>+D10+D20+D29+D40</f>
        <v>55653765.799999997</v>
      </c>
      <c r="E9" s="340">
        <f>+E10+E20+E29+E40</f>
        <v>590767949.46593046</v>
      </c>
      <c r="F9" s="340">
        <f>+F10+F20+F29+F40</f>
        <v>157133573.19</v>
      </c>
      <c r="G9" s="340">
        <f>+G10+G20+G29+G40</f>
        <v>139322159.85999998</v>
      </c>
      <c r="H9" s="340">
        <f>+H10+H20+H29+H40</f>
        <v>433634376.27593046</v>
      </c>
    </row>
    <row r="10" spans="1:8" x14ac:dyDescent="0.25">
      <c r="A10" s="417" t="s">
        <v>414</v>
      </c>
      <c r="B10" s="416"/>
      <c r="C10" s="411">
        <f>SUM(C11:C18)</f>
        <v>0</v>
      </c>
      <c r="D10" s="411">
        <f>SUM(D11:D18)</f>
        <v>0</v>
      </c>
      <c r="E10" s="411">
        <f>SUM(E11:E18)</f>
        <v>0</v>
      </c>
      <c r="F10" s="411">
        <f>SUM(F11:F18)</f>
        <v>0</v>
      </c>
      <c r="G10" s="411">
        <f>SUM(G11:G18)</f>
        <v>0</v>
      </c>
      <c r="H10" s="411">
        <f>SUM(H11:H18)</f>
        <v>0</v>
      </c>
    </row>
    <row r="11" spans="1:8" x14ac:dyDescent="0.25">
      <c r="A11" s="414"/>
      <c r="B11" s="413" t="s">
        <v>413</v>
      </c>
      <c r="C11" s="412"/>
      <c r="D11" s="412"/>
      <c r="E11" s="411">
        <f>C11+D11</f>
        <v>0</v>
      </c>
      <c r="F11" s="412"/>
      <c r="G11" s="412"/>
      <c r="H11" s="411">
        <f>+E11-F11</f>
        <v>0</v>
      </c>
    </row>
    <row r="12" spans="1:8" x14ac:dyDescent="0.25">
      <c r="A12" s="414"/>
      <c r="B12" s="413" t="s">
        <v>412</v>
      </c>
      <c r="C12" s="412"/>
      <c r="D12" s="412"/>
      <c r="E12" s="411">
        <f>C12+D12</f>
        <v>0</v>
      </c>
      <c r="F12" s="412"/>
      <c r="G12" s="412"/>
      <c r="H12" s="411">
        <f>+E12-F12</f>
        <v>0</v>
      </c>
    </row>
    <row r="13" spans="1:8" x14ac:dyDescent="0.25">
      <c r="A13" s="414"/>
      <c r="B13" s="413" t="s">
        <v>411</v>
      </c>
      <c r="C13" s="412"/>
      <c r="D13" s="412"/>
      <c r="E13" s="411">
        <f>C13+D13</f>
        <v>0</v>
      </c>
      <c r="F13" s="412"/>
      <c r="G13" s="412"/>
      <c r="H13" s="411">
        <f>+E13-F13</f>
        <v>0</v>
      </c>
    </row>
    <row r="14" spans="1:8" x14ac:dyDescent="0.25">
      <c r="A14" s="414"/>
      <c r="B14" s="413" t="s">
        <v>410</v>
      </c>
      <c r="C14" s="412"/>
      <c r="D14" s="412"/>
      <c r="E14" s="411">
        <f>C14+D14</f>
        <v>0</v>
      </c>
      <c r="F14" s="412"/>
      <c r="G14" s="412"/>
      <c r="H14" s="411">
        <f>+E14-F14</f>
        <v>0</v>
      </c>
    </row>
    <row r="15" spans="1:8" x14ac:dyDescent="0.25">
      <c r="A15" s="414"/>
      <c r="B15" s="413" t="s">
        <v>409</v>
      </c>
      <c r="C15" s="412"/>
      <c r="D15" s="412"/>
      <c r="E15" s="411">
        <f>C15+D15</f>
        <v>0</v>
      </c>
      <c r="F15" s="412"/>
      <c r="G15" s="412"/>
      <c r="H15" s="411">
        <f>+E15-F15</f>
        <v>0</v>
      </c>
    </row>
    <row r="16" spans="1:8" x14ac:dyDescent="0.25">
      <c r="A16" s="414"/>
      <c r="B16" s="413" t="s">
        <v>408</v>
      </c>
      <c r="C16" s="412"/>
      <c r="D16" s="412"/>
      <c r="E16" s="411">
        <f>C16+D16</f>
        <v>0</v>
      </c>
      <c r="F16" s="412"/>
      <c r="G16" s="412"/>
      <c r="H16" s="411">
        <f>+E16-F16</f>
        <v>0</v>
      </c>
    </row>
    <row r="17" spans="1:8" x14ac:dyDescent="0.25">
      <c r="A17" s="414"/>
      <c r="B17" s="413" t="s">
        <v>407</v>
      </c>
      <c r="C17" s="412"/>
      <c r="D17" s="412"/>
      <c r="E17" s="411">
        <f>C17+D17</f>
        <v>0</v>
      </c>
      <c r="F17" s="412"/>
      <c r="G17" s="412"/>
      <c r="H17" s="411">
        <f>+E17-F17</f>
        <v>0</v>
      </c>
    </row>
    <row r="18" spans="1:8" x14ac:dyDescent="0.25">
      <c r="A18" s="414"/>
      <c r="B18" s="413" t="s">
        <v>406</v>
      </c>
      <c r="C18" s="412"/>
      <c r="D18" s="412"/>
      <c r="E18" s="411">
        <f>C18+D18</f>
        <v>0</v>
      </c>
      <c r="F18" s="412"/>
      <c r="G18" s="412"/>
      <c r="H18" s="411">
        <f>+E18-F18</f>
        <v>0</v>
      </c>
    </row>
    <row r="19" spans="1:8" x14ac:dyDescent="0.25">
      <c r="A19" s="420"/>
      <c r="B19" s="419"/>
      <c r="C19" s="421"/>
      <c r="D19" s="421"/>
      <c r="E19" s="421"/>
      <c r="F19" s="421"/>
      <c r="G19" s="421"/>
      <c r="H19" s="411" t="s">
        <v>44</v>
      </c>
    </row>
    <row r="20" spans="1:8" x14ac:dyDescent="0.25">
      <c r="A20" s="417" t="s">
        <v>405</v>
      </c>
      <c r="B20" s="416"/>
      <c r="C20" s="411">
        <f>SUM(C21:C27)</f>
        <v>535114183.66593051</v>
      </c>
      <c r="D20" s="411">
        <f>SUM(D21:D27)</f>
        <v>55653765.799999997</v>
      </c>
      <c r="E20" s="411">
        <f>SUM(E21:E27)</f>
        <v>590767949.46593046</v>
      </c>
      <c r="F20" s="411">
        <f>SUM(F21:F27)</f>
        <v>157133573.19</v>
      </c>
      <c r="G20" s="411">
        <f>SUM(G21:G27)</f>
        <v>139322159.85999998</v>
      </c>
      <c r="H20" s="411">
        <f>SUM(H21:H27)</f>
        <v>433634376.27593046</v>
      </c>
    </row>
    <row r="21" spans="1:8" x14ac:dyDescent="0.25">
      <c r="A21" s="414"/>
      <c r="B21" s="413" t="s">
        <v>404</v>
      </c>
      <c r="C21" s="412"/>
      <c r="D21" s="412"/>
      <c r="E21" s="411">
        <f>C21+D21</f>
        <v>0</v>
      </c>
      <c r="F21" s="412"/>
      <c r="G21" s="412"/>
      <c r="H21" s="411">
        <f>+E21-F21</f>
        <v>0</v>
      </c>
    </row>
    <row r="22" spans="1:8" x14ac:dyDescent="0.25">
      <c r="A22" s="414"/>
      <c r="B22" s="413" t="s">
        <v>403</v>
      </c>
      <c r="C22" s="412">
        <v>535114183.66593051</v>
      </c>
      <c r="D22" s="412">
        <v>55653765.799999997</v>
      </c>
      <c r="E22" s="411">
        <f>C22+D22</f>
        <v>590767949.46593046</v>
      </c>
      <c r="F22" s="412">
        <v>157133573.19</v>
      </c>
      <c r="G22" s="412">
        <v>139322159.85999998</v>
      </c>
      <c r="H22" s="411">
        <f>+E22-F22</f>
        <v>433634376.27593046</v>
      </c>
    </row>
    <row r="23" spans="1:8" x14ac:dyDescent="0.25">
      <c r="A23" s="414"/>
      <c r="B23" s="413" t="s">
        <v>402</v>
      </c>
      <c r="C23" s="412"/>
      <c r="D23" s="412"/>
      <c r="E23" s="411">
        <f>C23+D23</f>
        <v>0</v>
      </c>
      <c r="F23" s="412"/>
      <c r="G23" s="412"/>
      <c r="H23" s="411">
        <f>+E23-F23</f>
        <v>0</v>
      </c>
    </row>
    <row r="24" spans="1:8" x14ac:dyDescent="0.25">
      <c r="A24" s="414"/>
      <c r="B24" s="413" t="s">
        <v>401</v>
      </c>
      <c r="C24" s="412"/>
      <c r="D24" s="412"/>
      <c r="E24" s="411">
        <f>C24+D24</f>
        <v>0</v>
      </c>
      <c r="F24" s="412"/>
      <c r="G24" s="412"/>
      <c r="H24" s="411">
        <f>+E24-F24</f>
        <v>0</v>
      </c>
    </row>
    <row r="25" spans="1:8" x14ac:dyDescent="0.25">
      <c r="A25" s="414"/>
      <c r="B25" s="413" t="s">
        <v>400</v>
      </c>
      <c r="C25" s="412"/>
      <c r="D25" s="412"/>
      <c r="E25" s="411">
        <f>C25+D25</f>
        <v>0</v>
      </c>
      <c r="F25" s="412"/>
      <c r="G25" s="412"/>
      <c r="H25" s="411">
        <f>+E25-F25</f>
        <v>0</v>
      </c>
    </row>
    <row r="26" spans="1:8" x14ac:dyDescent="0.25">
      <c r="A26" s="414"/>
      <c r="B26" s="413" t="s">
        <v>399</v>
      </c>
      <c r="C26" s="412"/>
      <c r="D26" s="412"/>
      <c r="E26" s="411">
        <f>C26+D26</f>
        <v>0</v>
      </c>
      <c r="F26" s="412"/>
      <c r="G26" s="412"/>
      <c r="H26" s="411">
        <f>+E26-F26</f>
        <v>0</v>
      </c>
    </row>
    <row r="27" spans="1:8" x14ac:dyDescent="0.25">
      <c r="A27" s="414"/>
      <c r="B27" s="413" t="s">
        <v>398</v>
      </c>
      <c r="C27" s="412"/>
      <c r="D27" s="412"/>
      <c r="E27" s="411">
        <f>C27+D27</f>
        <v>0</v>
      </c>
      <c r="F27" s="412"/>
      <c r="G27" s="412"/>
      <c r="H27" s="411">
        <f>+E27-F27</f>
        <v>0</v>
      </c>
    </row>
    <row r="28" spans="1:8" x14ac:dyDescent="0.25">
      <c r="A28" s="420"/>
      <c r="B28" s="419"/>
      <c r="C28" s="418"/>
      <c r="D28" s="418"/>
      <c r="E28" s="418"/>
      <c r="F28" s="418"/>
      <c r="G28" s="418"/>
      <c r="H28" s="418"/>
    </row>
    <row r="29" spans="1:8" x14ac:dyDescent="0.25">
      <c r="A29" s="417" t="s">
        <v>397</v>
      </c>
      <c r="B29" s="416"/>
      <c r="C29" s="411">
        <f>SUM(C30:C38)</f>
        <v>0</v>
      </c>
      <c r="D29" s="411">
        <f>SUM(D30:D38)</f>
        <v>0</v>
      </c>
      <c r="E29" s="411">
        <f>SUM(E30:E38)</f>
        <v>0</v>
      </c>
      <c r="F29" s="411">
        <f>SUM(F30:F38)</f>
        <v>0</v>
      </c>
      <c r="G29" s="411">
        <f>SUM(G30:G38)</f>
        <v>0</v>
      </c>
      <c r="H29" s="411">
        <f>SUM(H30:H38)</f>
        <v>0</v>
      </c>
    </row>
    <row r="30" spans="1:8" x14ac:dyDescent="0.25">
      <c r="A30" s="414"/>
      <c r="B30" s="413" t="s">
        <v>396</v>
      </c>
      <c r="C30" s="412"/>
      <c r="D30" s="412"/>
      <c r="E30" s="411">
        <f>C30+D30</f>
        <v>0</v>
      </c>
      <c r="F30" s="412"/>
      <c r="G30" s="412"/>
      <c r="H30" s="411">
        <f>+E30-F30</f>
        <v>0</v>
      </c>
    </row>
    <row r="31" spans="1:8" x14ac:dyDescent="0.25">
      <c r="A31" s="414"/>
      <c r="B31" s="413" t="s">
        <v>395</v>
      </c>
      <c r="C31" s="412"/>
      <c r="D31" s="412"/>
      <c r="E31" s="411">
        <f>C31+D31</f>
        <v>0</v>
      </c>
      <c r="F31" s="412"/>
      <c r="G31" s="412"/>
      <c r="H31" s="411">
        <f>+E31-F31</f>
        <v>0</v>
      </c>
    </row>
    <row r="32" spans="1:8" x14ac:dyDescent="0.25">
      <c r="A32" s="414"/>
      <c r="B32" s="413" t="s">
        <v>394</v>
      </c>
      <c r="C32" s="412"/>
      <c r="D32" s="412"/>
      <c r="E32" s="411">
        <f>C32+D32</f>
        <v>0</v>
      </c>
      <c r="F32" s="412"/>
      <c r="G32" s="412"/>
      <c r="H32" s="411">
        <f>+E32-F32</f>
        <v>0</v>
      </c>
    </row>
    <row r="33" spans="1:8" ht="15.75" thickBot="1" x14ac:dyDescent="0.3">
      <c r="A33" s="410"/>
      <c r="B33" s="409" t="s">
        <v>393</v>
      </c>
      <c r="C33" s="415"/>
      <c r="D33" s="415"/>
      <c r="E33" s="408">
        <f>C33+D33</f>
        <v>0</v>
      </c>
      <c r="F33" s="415"/>
      <c r="G33" s="415"/>
      <c r="H33" s="408">
        <f>+E33-F33</f>
        <v>0</v>
      </c>
    </row>
    <row r="34" spans="1:8" x14ac:dyDescent="0.25">
      <c r="A34" s="414"/>
      <c r="B34" s="413" t="s">
        <v>392</v>
      </c>
      <c r="C34" s="412"/>
      <c r="D34" s="412"/>
      <c r="E34" s="411">
        <f>C34+D34</f>
        <v>0</v>
      </c>
      <c r="F34" s="412"/>
      <c r="G34" s="412"/>
      <c r="H34" s="411">
        <f>+E34-F34</f>
        <v>0</v>
      </c>
    </row>
    <row r="35" spans="1:8" x14ac:dyDescent="0.25">
      <c r="A35" s="414"/>
      <c r="B35" s="413" t="s">
        <v>391</v>
      </c>
      <c r="C35" s="412"/>
      <c r="D35" s="412"/>
      <c r="E35" s="411">
        <f>C35+D35</f>
        <v>0</v>
      </c>
      <c r="F35" s="412"/>
      <c r="G35" s="412"/>
      <c r="H35" s="411">
        <f>+E35-F35</f>
        <v>0</v>
      </c>
    </row>
    <row r="36" spans="1:8" x14ac:dyDescent="0.25">
      <c r="A36" s="414"/>
      <c r="B36" s="413" t="s">
        <v>390</v>
      </c>
      <c r="C36" s="412"/>
      <c r="D36" s="412"/>
      <c r="E36" s="411">
        <f>C36+D36</f>
        <v>0</v>
      </c>
      <c r="F36" s="412"/>
      <c r="G36" s="412"/>
      <c r="H36" s="411">
        <f>+E36-F36</f>
        <v>0</v>
      </c>
    </row>
    <row r="37" spans="1:8" x14ac:dyDescent="0.25">
      <c r="A37" s="414"/>
      <c r="B37" s="413" t="s">
        <v>389</v>
      </c>
      <c r="C37" s="412"/>
      <c r="D37" s="412"/>
      <c r="E37" s="411">
        <f>C37+D37</f>
        <v>0</v>
      </c>
      <c r="F37" s="412"/>
      <c r="G37" s="412"/>
      <c r="H37" s="411">
        <f>+E37-F37</f>
        <v>0</v>
      </c>
    </row>
    <row r="38" spans="1:8" x14ac:dyDescent="0.25">
      <c r="A38" s="414"/>
      <c r="B38" s="413" t="s">
        <v>388</v>
      </c>
      <c r="C38" s="412"/>
      <c r="D38" s="412"/>
      <c r="E38" s="411">
        <f>C38+D38</f>
        <v>0</v>
      </c>
      <c r="F38" s="412"/>
      <c r="G38" s="412"/>
      <c r="H38" s="411">
        <f>+E38-F38</f>
        <v>0</v>
      </c>
    </row>
    <row r="39" spans="1:8" x14ac:dyDescent="0.25">
      <c r="A39" s="414"/>
      <c r="B39" s="413"/>
      <c r="C39" s="412"/>
      <c r="D39" s="412"/>
      <c r="E39" s="411"/>
      <c r="F39" s="412"/>
      <c r="G39" s="412"/>
      <c r="H39" s="411"/>
    </row>
    <row r="40" spans="1:8" x14ac:dyDescent="0.25">
      <c r="A40" s="414" t="s">
        <v>387</v>
      </c>
      <c r="B40" s="413"/>
      <c r="C40" s="411">
        <f>SUM(C41:C44)</f>
        <v>0</v>
      </c>
      <c r="D40" s="411">
        <f>SUM(D41:D44)</f>
        <v>0</v>
      </c>
      <c r="E40" s="411">
        <f>SUM(E41:E44)</f>
        <v>0</v>
      </c>
      <c r="F40" s="411">
        <f>SUM(F41:F44)</f>
        <v>0</v>
      </c>
      <c r="G40" s="411">
        <f>SUM(G41:G44)</f>
        <v>0</v>
      </c>
      <c r="H40" s="411">
        <f>SUM(H41:H44)</f>
        <v>0</v>
      </c>
    </row>
    <row r="41" spans="1:8" x14ac:dyDescent="0.25">
      <c r="A41" s="414"/>
      <c r="B41" s="413" t="s">
        <v>386</v>
      </c>
      <c r="C41" s="412"/>
      <c r="D41" s="412"/>
      <c r="E41" s="411">
        <f>C41+D41</f>
        <v>0</v>
      </c>
      <c r="F41" s="412"/>
      <c r="G41" s="412"/>
      <c r="H41" s="411">
        <f>+E41-F41</f>
        <v>0</v>
      </c>
    </row>
    <row r="42" spans="1:8" x14ac:dyDescent="0.25">
      <c r="A42" s="414"/>
      <c r="B42" s="413" t="s">
        <v>385</v>
      </c>
      <c r="C42" s="412"/>
      <c r="D42" s="412"/>
      <c r="E42" s="411">
        <f>C42+D42</f>
        <v>0</v>
      </c>
      <c r="F42" s="412"/>
      <c r="G42" s="412"/>
      <c r="H42" s="411">
        <f>+E42-F42</f>
        <v>0</v>
      </c>
    </row>
    <row r="43" spans="1:8" x14ac:dyDescent="0.25">
      <c r="A43" s="414"/>
      <c r="B43" s="413" t="s">
        <v>384</v>
      </c>
      <c r="C43" s="412"/>
      <c r="D43" s="412"/>
      <c r="E43" s="411">
        <f>C43+D43</f>
        <v>0</v>
      </c>
      <c r="F43" s="412"/>
      <c r="G43" s="412"/>
      <c r="H43" s="411">
        <f>+E43-F43</f>
        <v>0</v>
      </c>
    </row>
    <row r="44" spans="1:8" x14ac:dyDescent="0.25">
      <c r="A44" s="414"/>
      <c r="B44" s="413" t="s">
        <v>383</v>
      </c>
      <c r="C44" s="412"/>
      <c r="D44" s="412"/>
      <c r="E44" s="411">
        <f>C44+D44</f>
        <v>0</v>
      </c>
      <c r="F44" s="412"/>
      <c r="G44" s="412"/>
      <c r="H44" s="411">
        <f>+E44-F44</f>
        <v>0</v>
      </c>
    </row>
    <row r="45" spans="1:8" x14ac:dyDescent="0.25">
      <c r="A45" s="414"/>
      <c r="B45" s="413"/>
      <c r="C45" s="412"/>
      <c r="D45" s="412"/>
      <c r="E45" s="411"/>
      <c r="F45" s="412"/>
      <c r="G45" s="412"/>
      <c r="H45" s="411"/>
    </row>
    <row r="46" spans="1:8" x14ac:dyDescent="0.25">
      <c r="A46" s="414" t="s">
        <v>415</v>
      </c>
      <c r="B46" s="413"/>
      <c r="C46" s="411">
        <f>+C47+C57+C65+C76</f>
        <v>88275234</v>
      </c>
      <c r="D46" s="411">
        <f>+D47+D57+D65+D76</f>
        <v>43640495.189999998</v>
      </c>
      <c r="E46" s="411">
        <f>+E47+E57+E65+E76</f>
        <v>131915729.19</v>
      </c>
      <c r="F46" s="411">
        <f>+F47+F57+F65+F76</f>
        <v>6260918.9299999997</v>
      </c>
      <c r="G46" s="411">
        <f>+G47+G57+G65+G76</f>
        <v>6260918.9299999997</v>
      </c>
      <c r="H46" s="411">
        <f>+H47+H57+H65+H76</f>
        <v>125654810.25999999</v>
      </c>
    </row>
    <row r="47" spans="1:8" x14ac:dyDescent="0.25">
      <c r="A47" s="414" t="s">
        <v>414</v>
      </c>
      <c r="B47" s="413"/>
      <c r="C47" s="411">
        <f>SUM(C48:C55)</f>
        <v>0</v>
      </c>
      <c r="D47" s="411">
        <f>SUM(D48:D55)</f>
        <v>0</v>
      </c>
      <c r="E47" s="411">
        <f>SUM(E48:E55)</f>
        <v>0</v>
      </c>
      <c r="F47" s="411">
        <f>SUM(F48:F55)</f>
        <v>0</v>
      </c>
      <c r="G47" s="411">
        <f>SUM(G48:G55)</f>
        <v>0</v>
      </c>
      <c r="H47" s="411">
        <f>SUM(H48:H55)</f>
        <v>0</v>
      </c>
    </row>
    <row r="48" spans="1:8" x14ac:dyDescent="0.25">
      <c r="A48" s="414"/>
      <c r="B48" s="413" t="s">
        <v>413</v>
      </c>
      <c r="C48" s="412"/>
      <c r="D48" s="412"/>
      <c r="E48" s="411">
        <f>C48+D48</f>
        <v>0</v>
      </c>
      <c r="F48" s="412"/>
      <c r="G48" s="412"/>
      <c r="H48" s="411">
        <f>+E48-F48</f>
        <v>0</v>
      </c>
    </row>
    <row r="49" spans="1:8" x14ac:dyDescent="0.25">
      <c r="A49" s="414"/>
      <c r="B49" s="413" t="s">
        <v>412</v>
      </c>
      <c r="C49" s="412"/>
      <c r="D49" s="412"/>
      <c r="E49" s="411">
        <f>C49+D49</f>
        <v>0</v>
      </c>
      <c r="F49" s="412"/>
      <c r="G49" s="412"/>
      <c r="H49" s="411">
        <f>+E49-F49</f>
        <v>0</v>
      </c>
    </row>
    <row r="50" spans="1:8" x14ac:dyDescent="0.25">
      <c r="A50" s="414"/>
      <c r="B50" s="413" t="s">
        <v>411</v>
      </c>
      <c r="C50" s="412"/>
      <c r="D50" s="412"/>
      <c r="E50" s="411">
        <f>C50+D50</f>
        <v>0</v>
      </c>
      <c r="F50" s="412"/>
      <c r="G50" s="412"/>
      <c r="H50" s="411">
        <f>+E50-F50</f>
        <v>0</v>
      </c>
    </row>
    <row r="51" spans="1:8" x14ac:dyDescent="0.25">
      <c r="A51" s="414"/>
      <c r="B51" s="413" t="s">
        <v>410</v>
      </c>
      <c r="C51" s="412"/>
      <c r="D51" s="412"/>
      <c r="E51" s="411">
        <f>C51+D51</f>
        <v>0</v>
      </c>
      <c r="F51" s="412"/>
      <c r="G51" s="412"/>
      <c r="H51" s="411">
        <f>+E51-F51</f>
        <v>0</v>
      </c>
    </row>
    <row r="52" spans="1:8" x14ac:dyDescent="0.25">
      <c r="A52" s="414"/>
      <c r="B52" s="413" t="s">
        <v>409</v>
      </c>
      <c r="C52" s="412"/>
      <c r="D52" s="412"/>
      <c r="E52" s="411">
        <f>C52+D52</f>
        <v>0</v>
      </c>
      <c r="F52" s="412"/>
      <c r="G52" s="412"/>
      <c r="H52" s="411">
        <f>+E52-F52</f>
        <v>0</v>
      </c>
    </row>
    <row r="53" spans="1:8" x14ac:dyDescent="0.25">
      <c r="A53" s="414"/>
      <c r="B53" s="413" t="s">
        <v>408</v>
      </c>
      <c r="C53" s="412"/>
      <c r="D53" s="412"/>
      <c r="E53" s="411">
        <f>C53+D53</f>
        <v>0</v>
      </c>
      <c r="F53" s="412"/>
      <c r="G53" s="412"/>
      <c r="H53" s="411">
        <f>+E53-F53</f>
        <v>0</v>
      </c>
    </row>
    <row r="54" spans="1:8" x14ac:dyDescent="0.25">
      <c r="A54" s="414"/>
      <c r="B54" s="413" t="s">
        <v>407</v>
      </c>
      <c r="C54" s="412"/>
      <c r="D54" s="412"/>
      <c r="E54" s="411">
        <f>C54+D54</f>
        <v>0</v>
      </c>
      <c r="F54" s="412"/>
      <c r="G54" s="412"/>
      <c r="H54" s="411">
        <f>+E54-F54</f>
        <v>0</v>
      </c>
    </row>
    <row r="55" spans="1:8" x14ac:dyDescent="0.25">
      <c r="A55" s="414"/>
      <c r="B55" s="413" t="s">
        <v>406</v>
      </c>
      <c r="C55" s="412"/>
      <c r="D55" s="412"/>
      <c r="E55" s="411">
        <f>C55+D55</f>
        <v>0</v>
      </c>
      <c r="F55" s="412"/>
      <c r="G55" s="412"/>
      <c r="H55" s="411">
        <f>+E55-F55</f>
        <v>0</v>
      </c>
    </row>
    <row r="56" spans="1:8" x14ac:dyDescent="0.25">
      <c r="A56" s="414"/>
      <c r="B56" s="413"/>
      <c r="C56" s="412"/>
      <c r="D56" s="412"/>
      <c r="E56" s="411"/>
      <c r="F56" s="412"/>
      <c r="G56" s="412"/>
      <c r="H56" s="411"/>
    </row>
    <row r="57" spans="1:8" x14ac:dyDescent="0.25">
      <c r="A57" s="414" t="s">
        <v>405</v>
      </c>
      <c r="B57" s="413"/>
      <c r="C57" s="411">
        <f>SUM(C58:C64)</f>
        <v>88275234</v>
      </c>
      <c r="D57" s="411">
        <f>SUM(D58:D64)</f>
        <v>43640495.189999998</v>
      </c>
      <c r="E57" s="411">
        <f>SUM(E58:E64)</f>
        <v>131915729.19</v>
      </c>
      <c r="F57" s="411">
        <f>SUM(F58:F64)</f>
        <v>6260918.9299999997</v>
      </c>
      <c r="G57" s="411">
        <f>SUM(G58:G64)</f>
        <v>6260918.9299999997</v>
      </c>
      <c r="H57" s="411">
        <f>SUM(H58:H64)</f>
        <v>125654810.25999999</v>
      </c>
    </row>
    <row r="58" spans="1:8" x14ac:dyDescent="0.25">
      <c r="A58" s="414"/>
      <c r="B58" s="413" t="s">
        <v>404</v>
      </c>
      <c r="C58" s="412"/>
      <c r="D58" s="412"/>
      <c r="E58" s="411">
        <f>C58+D58</f>
        <v>0</v>
      </c>
      <c r="F58" s="412"/>
      <c r="G58" s="412"/>
      <c r="H58" s="411">
        <f>+E58-F58</f>
        <v>0</v>
      </c>
    </row>
    <row r="59" spans="1:8" x14ac:dyDescent="0.25">
      <c r="A59" s="414"/>
      <c r="B59" s="413" t="s">
        <v>403</v>
      </c>
      <c r="C59" s="412">
        <v>88275234</v>
      </c>
      <c r="D59" s="412">
        <v>43640495.189999998</v>
      </c>
      <c r="E59" s="411">
        <f>C59+D59</f>
        <v>131915729.19</v>
      </c>
      <c r="F59" s="412">
        <v>6260918.9299999997</v>
      </c>
      <c r="G59" s="412">
        <v>6260918.9299999997</v>
      </c>
      <c r="H59" s="411">
        <f>+E59-F59</f>
        <v>125654810.25999999</v>
      </c>
    </row>
    <row r="60" spans="1:8" x14ac:dyDescent="0.25">
      <c r="A60" s="414"/>
      <c r="B60" s="413" t="s">
        <v>402</v>
      </c>
      <c r="C60" s="412"/>
      <c r="D60" s="412"/>
      <c r="E60" s="411">
        <f>C60+D60</f>
        <v>0</v>
      </c>
      <c r="F60" s="412"/>
      <c r="G60" s="412"/>
      <c r="H60" s="411">
        <f>+E60-F60</f>
        <v>0</v>
      </c>
    </row>
    <row r="61" spans="1:8" x14ac:dyDescent="0.25">
      <c r="A61" s="414"/>
      <c r="B61" s="413" t="s">
        <v>401</v>
      </c>
      <c r="C61" s="412"/>
      <c r="D61" s="412"/>
      <c r="E61" s="411">
        <f>C61+D61</f>
        <v>0</v>
      </c>
      <c r="F61" s="412"/>
      <c r="G61" s="412"/>
      <c r="H61" s="411">
        <f>+E61-F61</f>
        <v>0</v>
      </c>
    </row>
    <row r="62" spans="1:8" x14ac:dyDescent="0.25">
      <c r="A62" s="414"/>
      <c r="B62" s="413" t="s">
        <v>400</v>
      </c>
      <c r="C62" s="412"/>
      <c r="D62" s="412"/>
      <c r="E62" s="411">
        <f>C62+D62</f>
        <v>0</v>
      </c>
      <c r="F62" s="412"/>
      <c r="G62" s="412"/>
      <c r="H62" s="411">
        <f>+E62-F62</f>
        <v>0</v>
      </c>
    </row>
    <row r="63" spans="1:8" x14ac:dyDescent="0.25">
      <c r="A63" s="414"/>
      <c r="B63" s="413" t="s">
        <v>399</v>
      </c>
      <c r="C63" s="412"/>
      <c r="D63" s="412"/>
      <c r="E63" s="411">
        <f>C63+D63</f>
        <v>0</v>
      </c>
      <c r="F63" s="412"/>
      <c r="G63" s="412"/>
      <c r="H63" s="411">
        <f>+E63-F63</f>
        <v>0</v>
      </c>
    </row>
    <row r="64" spans="1:8" ht="15.75" thickBot="1" x14ac:dyDescent="0.3">
      <c r="A64" s="410"/>
      <c r="B64" s="409" t="s">
        <v>398</v>
      </c>
      <c r="C64" s="415"/>
      <c r="D64" s="415"/>
      <c r="E64" s="408">
        <f>C64+D64</f>
        <v>0</v>
      </c>
      <c r="F64" s="415"/>
      <c r="G64" s="415"/>
      <c r="H64" s="408">
        <f>+E64-F64</f>
        <v>0</v>
      </c>
    </row>
    <row r="65" spans="1:8" x14ac:dyDescent="0.25">
      <c r="A65" s="414" t="s">
        <v>397</v>
      </c>
      <c r="B65" s="413"/>
      <c r="C65" s="411">
        <f>SUM(C66:C74)</f>
        <v>0</v>
      </c>
      <c r="D65" s="411">
        <f>SUM(D66:D74)</f>
        <v>0</v>
      </c>
      <c r="E65" s="411">
        <f>SUM(E66:E74)</f>
        <v>0</v>
      </c>
      <c r="F65" s="411">
        <f>SUM(F66:F74)</f>
        <v>0</v>
      </c>
      <c r="G65" s="411">
        <f>SUM(G66:G74)</f>
        <v>0</v>
      </c>
      <c r="H65" s="411">
        <f>SUM(H66:H74)</f>
        <v>0</v>
      </c>
    </row>
    <row r="66" spans="1:8" x14ac:dyDescent="0.25">
      <c r="A66" s="414"/>
      <c r="B66" s="413" t="s">
        <v>396</v>
      </c>
      <c r="C66" s="412"/>
      <c r="D66" s="412"/>
      <c r="E66" s="411">
        <f>C66+D66</f>
        <v>0</v>
      </c>
      <c r="F66" s="412"/>
      <c r="G66" s="412"/>
      <c r="H66" s="411">
        <f>+E66-F66</f>
        <v>0</v>
      </c>
    </row>
    <row r="67" spans="1:8" x14ac:dyDescent="0.25">
      <c r="A67" s="414"/>
      <c r="B67" s="413" t="s">
        <v>395</v>
      </c>
      <c r="C67" s="412"/>
      <c r="D67" s="412"/>
      <c r="E67" s="411"/>
      <c r="F67" s="412"/>
      <c r="G67" s="412"/>
      <c r="H67" s="411">
        <f>+E67-F67</f>
        <v>0</v>
      </c>
    </row>
    <row r="68" spans="1:8" x14ac:dyDescent="0.25">
      <c r="A68" s="414"/>
      <c r="B68" s="413" t="s">
        <v>394</v>
      </c>
      <c r="C68" s="412"/>
      <c r="D68" s="412"/>
      <c r="E68" s="411">
        <f>C68+D68</f>
        <v>0</v>
      </c>
      <c r="F68" s="412"/>
      <c r="G68" s="412"/>
      <c r="H68" s="411">
        <f>+E68-F68</f>
        <v>0</v>
      </c>
    </row>
    <row r="69" spans="1:8" x14ac:dyDescent="0.25">
      <c r="A69" s="414"/>
      <c r="B69" s="413" t="s">
        <v>393</v>
      </c>
      <c r="C69" s="412"/>
      <c r="D69" s="412"/>
      <c r="E69" s="411">
        <f>C69+D69</f>
        <v>0</v>
      </c>
      <c r="F69" s="412"/>
      <c r="G69" s="412"/>
      <c r="H69" s="411">
        <f>+E69-F69</f>
        <v>0</v>
      </c>
    </row>
    <row r="70" spans="1:8" x14ac:dyDescent="0.25">
      <c r="A70" s="414"/>
      <c r="B70" s="413" t="s">
        <v>392</v>
      </c>
      <c r="C70" s="412"/>
      <c r="D70" s="412"/>
      <c r="E70" s="411">
        <f>C70+D70</f>
        <v>0</v>
      </c>
      <c r="F70" s="412"/>
      <c r="G70" s="412"/>
      <c r="H70" s="411">
        <f>+E70-F70</f>
        <v>0</v>
      </c>
    </row>
    <row r="71" spans="1:8" x14ac:dyDescent="0.25">
      <c r="A71" s="414"/>
      <c r="B71" s="413" t="s">
        <v>391</v>
      </c>
      <c r="C71" s="412"/>
      <c r="D71" s="412"/>
      <c r="E71" s="411">
        <f>C71+D71</f>
        <v>0</v>
      </c>
      <c r="F71" s="412"/>
      <c r="G71" s="412"/>
      <c r="H71" s="411">
        <f>+E71-F71</f>
        <v>0</v>
      </c>
    </row>
    <row r="72" spans="1:8" x14ac:dyDescent="0.25">
      <c r="A72" s="414"/>
      <c r="B72" s="413" t="s">
        <v>390</v>
      </c>
      <c r="C72" s="412"/>
      <c r="D72" s="412"/>
      <c r="E72" s="411">
        <f>C72+D72</f>
        <v>0</v>
      </c>
      <c r="F72" s="412"/>
      <c r="G72" s="412"/>
      <c r="H72" s="411">
        <f>+E72-F72</f>
        <v>0</v>
      </c>
    </row>
    <row r="73" spans="1:8" x14ac:dyDescent="0.25">
      <c r="A73" s="414"/>
      <c r="B73" s="413" t="s">
        <v>389</v>
      </c>
      <c r="C73" s="412"/>
      <c r="D73" s="412"/>
      <c r="E73" s="411">
        <f>C73+D73</f>
        <v>0</v>
      </c>
      <c r="F73" s="412"/>
      <c r="G73" s="412"/>
      <c r="H73" s="411">
        <f>+E73-F73</f>
        <v>0</v>
      </c>
    </row>
    <row r="74" spans="1:8" x14ac:dyDescent="0.25">
      <c r="A74" s="414"/>
      <c r="B74" s="413" t="s">
        <v>388</v>
      </c>
      <c r="C74" s="412"/>
      <c r="D74" s="412"/>
      <c r="E74" s="411">
        <f>C74+D74</f>
        <v>0</v>
      </c>
      <c r="F74" s="412"/>
      <c r="G74" s="412"/>
      <c r="H74" s="411">
        <f>+E74-F74</f>
        <v>0</v>
      </c>
    </row>
    <row r="75" spans="1:8" x14ac:dyDescent="0.25">
      <c r="A75" s="414"/>
      <c r="B75" s="413"/>
      <c r="C75" s="412"/>
      <c r="D75" s="412"/>
      <c r="E75" s="411"/>
      <c r="F75" s="412"/>
      <c r="G75" s="412"/>
      <c r="H75" s="411"/>
    </row>
    <row r="76" spans="1:8" x14ac:dyDescent="0.25">
      <c r="A76" s="414" t="s">
        <v>387</v>
      </c>
      <c r="B76" s="413"/>
      <c r="C76" s="411">
        <f>SUM(C77:C80)</f>
        <v>0</v>
      </c>
      <c r="D76" s="411">
        <f>SUM(D77:D80)</f>
        <v>0</v>
      </c>
      <c r="E76" s="411">
        <f>SUM(E77:E80)</f>
        <v>0</v>
      </c>
      <c r="F76" s="411">
        <f>SUM(F77:F80)</f>
        <v>0</v>
      </c>
      <c r="G76" s="411">
        <f>SUM(G77:G80)</f>
        <v>0</v>
      </c>
      <c r="H76" s="411">
        <f>SUM(H77:H80)</f>
        <v>0</v>
      </c>
    </row>
    <row r="77" spans="1:8" x14ac:dyDescent="0.25">
      <c r="A77" s="414"/>
      <c r="B77" s="413" t="s">
        <v>386</v>
      </c>
      <c r="C77" s="412">
        <v>0</v>
      </c>
      <c r="D77" s="412"/>
      <c r="E77" s="411">
        <f>C77+D77</f>
        <v>0</v>
      </c>
      <c r="F77" s="412"/>
      <c r="G77" s="412"/>
      <c r="H77" s="411">
        <f>+E77-F77</f>
        <v>0</v>
      </c>
    </row>
    <row r="78" spans="1:8" x14ac:dyDescent="0.25">
      <c r="A78" s="414"/>
      <c r="B78" s="413" t="s">
        <v>385</v>
      </c>
      <c r="C78" s="412">
        <v>0</v>
      </c>
      <c r="D78" s="412"/>
      <c r="E78" s="411">
        <f>C78+D78</f>
        <v>0</v>
      </c>
      <c r="F78" s="412"/>
      <c r="G78" s="412"/>
      <c r="H78" s="411">
        <f>+E78-F78</f>
        <v>0</v>
      </c>
    </row>
    <row r="79" spans="1:8" x14ac:dyDescent="0.25">
      <c r="A79" s="414"/>
      <c r="B79" s="413" t="s">
        <v>384</v>
      </c>
      <c r="C79" s="412">
        <v>0</v>
      </c>
      <c r="D79" s="412"/>
      <c r="E79" s="411">
        <f>C79+D79</f>
        <v>0</v>
      </c>
      <c r="F79" s="412"/>
      <c r="G79" s="412"/>
      <c r="H79" s="411">
        <f>+E79-F79</f>
        <v>0</v>
      </c>
    </row>
    <row r="80" spans="1:8" x14ac:dyDescent="0.25">
      <c r="A80" s="414"/>
      <c r="B80" s="413" t="s">
        <v>383</v>
      </c>
      <c r="C80" s="412"/>
      <c r="D80" s="412"/>
      <c r="E80" s="411">
        <f>C80+D80</f>
        <v>0</v>
      </c>
      <c r="F80" s="412"/>
      <c r="G80" s="412"/>
      <c r="H80" s="411">
        <f>+E80-F80</f>
        <v>0</v>
      </c>
    </row>
    <row r="81" spans="1:9" x14ac:dyDescent="0.25">
      <c r="A81" s="414"/>
      <c r="B81" s="413"/>
      <c r="C81" s="412"/>
      <c r="D81" s="412"/>
      <c r="E81" s="411"/>
      <c r="F81" s="412"/>
      <c r="G81" s="412"/>
      <c r="H81" s="411"/>
    </row>
    <row r="82" spans="1:9" ht="15.75" thickBot="1" x14ac:dyDescent="0.3">
      <c r="A82" s="410" t="s">
        <v>214</v>
      </c>
      <c r="B82" s="409"/>
      <c r="C82" s="408">
        <f>+C9+C46</f>
        <v>623389417.66593051</v>
      </c>
      <c r="D82" s="408">
        <f>+D9+D46</f>
        <v>99294260.989999995</v>
      </c>
      <c r="E82" s="408">
        <f>+E9+E46</f>
        <v>722683678.65593052</v>
      </c>
      <c r="F82" s="408">
        <f>+F9+F46</f>
        <v>163394492.12</v>
      </c>
      <c r="G82" s="408">
        <f>+G9+G46</f>
        <v>145583078.78999999</v>
      </c>
      <c r="H82" s="408">
        <f>+H9+H46</f>
        <v>559289186.5359304</v>
      </c>
      <c r="I82" s="105" t="str">
        <f>IF((C82-'ETCA-II-11'!B44)&gt;0.9,"ERROR!!!!! EL MONTO NO COINCIDE CON LO REPORTADO EN EL FORMATO ETCA-II-11 EN EL TOTAL DEL GASTO","")</f>
        <v/>
      </c>
    </row>
    <row r="83" spans="1:9" x14ac:dyDescent="0.25">
      <c r="A83" s="407"/>
      <c r="B83" s="407"/>
      <c r="C83" s="406"/>
      <c r="D83" s="406"/>
      <c r="E83" s="405"/>
      <c r="F83" s="406"/>
      <c r="G83" s="406"/>
      <c r="H83" s="405"/>
      <c r="I83" s="105" t="str">
        <f>IF((D82-'ETCA-II-11'!C44)&gt;0.9,"ERROR!!!!! EL MONTO NO COINCIDE CON LO REPORTADO EN EL FORMATO ETCA-II-11 EN EL TOTAL DEL GASTO","")</f>
        <v/>
      </c>
    </row>
    <row r="84" spans="1:9" x14ac:dyDescent="0.25">
      <c r="A84" s="407"/>
      <c r="B84" s="407"/>
      <c r="C84" s="406"/>
      <c r="D84" s="406"/>
      <c r="E84" s="405"/>
      <c r="F84" s="406"/>
      <c r="G84" s="406"/>
      <c r="H84" s="405"/>
      <c r="I84" t="str">
        <f>IF((E82-'ETCA-II-11'!D44),"ERROR!!!!! EL MONTO NO COINCIDE CON LO REPORTADO EN EL FORMATO ETCA-II-11 EN EL TOTAL DEL GASTO","")</f>
        <v/>
      </c>
    </row>
    <row r="85" spans="1:9" x14ac:dyDescent="0.25">
      <c r="A85" s="407"/>
      <c r="B85" s="407"/>
      <c r="C85" s="406"/>
      <c r="D85" s="406"/>
      <c r="E85" s="405"/>
      <c r="F85" s="406"/>
      <c r="G85" s="406"/>
      <c r="H85" s="405"/>
      <c r="I85" t="str">
        <f>IF((F82-'ETCA-II-11'!E44)&gt;0.9,"ERROR!!!!! EL MONTO NO COINCIDE CON LO REPORTADO EN EL FORMATO ETCA-II-11 EN EL TOTAL DEL GASTO","")</f>
        <v/>
      </c>
    </row>
    <row r="86" spans="1:9" x14ac:dyDescent="0.25">
      <c r="A86" s="407"/>
      <c r="B86" s="407"/>
      <c r="C86" s="406"/>
      <c r="D86" s="406"/>
      <c r="E86" s="405"/>
      <c r="F86" s="406"/>
      <c r="G86" s="406"/>
      <c r="H86" s="405"/>
      <c r="I86" t="str">
        <f>IF((G82-'ETCA-II-11'!F44)&gt;0.9,"ERROR!!!!! EL MONTO NO COINCIDE CON LO REPORTADO EN EL FORMATO ETCA-II-11 EN EL TOTAL DEL GASTO","")</f>
        <v/>
      </c>
    </row>
    <row r="87" spans="1:9" x14ac:dyDescent="0.25">
      <c r="A87" s="407"/>
      <c r="B87" s="407"/>
      <c r="C87" s="406"/>
      <c r="D87" s="406"/>
      <c r="E87" s="405"/>
      <c r="F87" s="406"/>
      <c r="G87" s="406"/>
      <c r="H87" s="405"/>
      <c r="I87" t="str">
        <f>IF((H82-'ETCA-II-11'!G44)&gt;0.9,"ERROR!!!!! EL MONTO NO COINCIDE CON LO REPORTADO EN EL FORMATO ETCA-II-11 EN EL TOTAL DEL GASTO","")</f>
        <v/>
      </c>
    </row>
    <row r="88" spans="1:9" x14ac:dyDescent="0.25">
      <c r="A88" s="407"/>
      <c r="B88" s="407"/>
      <c r="C88" s="406"/>
      <c r="D88" s="406"/>
      <c r="E88" s="405"/>
      <c r="F88" s="406"/>
      <c r="G88" s="406"/>
      <c r="H88" s="405"/>
    </row>
  </sheetData>
  <sheetProtection formatColumns="0" formatRows="0" insertHyperlinks="0"/>
  <mergeCells count="13">
    <mergeCell ref="A8:B8"/>
    <mergeCell ref="A9:B9"/>
    <mergeCell ref="A10:B10"/>
    <mergeCell ref="A20:B20"/>
    <mergeCell ref="A29:B29"/>
    <mergeCell ref="A6:B7"/>
    <mergeCell ref="C6:G6"/>
    <mergeCell ref="H6:H7"/>
    <mergeCell ref="A1:H1"/>
    <mergeCell ref="A2:H2"/>
    <mergeCell ref="A3:H3"/>
    <mergeCell ref="A4:H4"/>
    <mergeCell ref="A5:H5"/>
  </mergeCells>
  <pageMargins left="0.19685039370078741" right="0.31496062992125984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D019-275D-4F81-A7C1-9792D42CD559}">
  <sheetPr>
    <tabColor theme="0" tint="-0.14999847407452621"/>
  </sheetPr>
  <dimension ref="A1:J387"/>
  <sheetViews>
    <sheetView view="pageBreakPreview" topLeftCell="A361" zoomScaleNormal="100" zoomScaleSheetLayoutView="100" workbookViewId="0">
      <selection activeCell="S24" sqref="S24"/>
    </sheetView>
  </sheetViews>
  <sheetFormatPr baseColWidth="10" defaultRowHeight="15" x14ac:dyDescent="0.25"/>
  <cols>
    <col min="1" max="1" width="14.28515625" style="437" customWidth="1"/>
    <col min="2" max="2" width="44.7109375" style="437" customWidth="1"/>
    <col min="3" max="3" width="16.140625" style="439" customWidth="1"/>
    <col min="4" max="4" width="15" style="439" customWidth="1"/>
    <col min="5" max="5" width="12.7109375" style="439" customWidth="1"/>
    <col min="6" max="6" width="18" style="439" customWidth="1"/>
    <col min="7" max="7" width="16.140625" style="439" customWidth="1"/>
    <col min="8" max="8" width="14.5703125" style="438" customWidth="1"/>
    <col min="9" max="9" width="9.42578125" style="437" customWidth="1"/>
    <col min="10" max="10" width="11.42578125" style="436"/>
  </cols>
  <sheetData>
    <row r="1" spans="1:9" x14ac:dyDescent="0.25">
      <c r="A1" s="492" t="s">
        <v>697</v>
      </c>
      <c r="B1" s="492"/>
      <c r="C1" s="492"/>
      <c r="D1" s="492"/>
      <c r="E1" s="492"/>
      <c r="F1" s="492"/>
      <c r="G1" s="492"/>
      <c r="H1" s="492"/>
      <c r="I1" s="492"/>
    </row>
    <row r="2" spans="1:9" x14ac:dyDescent="0.25">
      <c r="A2" s="491" t="s">
        <v>213</v>
      </c>
      <c r="B2" s="491"/>
      <c r="C2" s="491"/>
      <c r="D2" s="491"/>
      <c r="E2" s="491"/>
      <c r="F2" s="491"/>
      <c r="G2" s="491"/>
      <c r="H2" s="491"/>
      <c r="I2" s="491"/>
    </row>
    <row r="3" spans="1:9" x14ac:dyDescent="0.25">
      <c r="A3" s="491" t="s">
        <v>696</v>
      </c>
      <c r="B3" s="491"/>
      <c r="C3" s="491"/>
      <c r="D3" s="491"/>
      <c r="E3" s="491"/>
      <c r="F3" s="491"/>
      <c r="G3" s="491"/>
      <c r="H3" s="491"/>
      <c r="I3" s="491"/>
    </row>
    <row r="4" spans="1:9" x14ac:dyDescent="0.25">
      <c r="A4" s="491" t="s">
        <v>695</v>
      </c>
      <c r="B4" s="491"/>
      <c r="C4" s="491"/>
      <c r="D4" s="491"/>
      <c r="E4" s="491"/>
      <c r="F4" s="491"/>
      <c r="G4" s="491"/>
      <c r="H4" s="491"/>
      <c r="I4" s="491"/>
    </row>
    <row r="5" spans="1:9" x14ac:dyDescent="0.25">
      <c r="A5" s="491" t="s">
        <v>694</v>
      </c>
      <c r="B5" s="491"/>
      <c r="C5" s="491"/>
      <c r="D5" s="491"/>
      <c r="E5" s="491"/>
      <c r="F5" s="491"/>
      <c r="G5" s="491"/>
      <c r="H5" s="491"/>
      <c r="I5" s="491"/>
    </row>
    <row r="6" spans="1:9" ht="15.75" customHeight="1" thickBot="1" x14ac:dyDescent="0.3">
      <c r="H6" s="490"/>
      <c r="I6" s="490"/>
    </row>
    <row r="7" spans="1:9" ht="15.75" thickTop="1" x14ac:dyDescent="0.25">
      <c r="A7" s="489" t="s">
        <v>693</v>
      </c>
      <c r="B7" s="488" t="s">
        <v>692</v>
      </c>
      <c r="C7" s="486" t="s">
        <v>691</v>
      </c>
      <c r="D7" s="486" t="s">
        <v>690</v>
      </c>
      <c r="E7" s="487" t="s">
        <v>689</v>
      </c>
      <c r="F7" s="486" t="s">
        <v>688</v>
      </c>
      <c r="G7" s="486" t="s">
        <v>687</v>
      </c>
      <c r="H7" s="485" t="s">
        <v>686</v>
      </c>
      <c r="I7" s="484" t="s">
        <v>685</v>
      </c>
    </row>
    <row r="8" spans="1:9" ht="36" customHeight="1" x14ac:dyDescent="0.25">
      <c r="A8" s="483"/>
      <c r="B8" s="482"/>
      <c r="C8" s="479"/>
      <c r="D8" s="479"/>
      <c r="E8" s="481"/>
      <c r="F8" s="480"/>
      <c r="G8" s="479"/>
      <c r="H8" s="478"/>
      <c r="I8" s="477"/>
    </row>
    <row r="9" spans="1:9" x14ac:dyDescent="0.25">
      <c r="A9" s="463">
        <v>1000</v>
      </c>
      <c r="B9" s="474" t="s">
        <v>684</v>
      </c>
      <c r="C9" s="451">
        <f>C10+C20+C23+C35+C45+C56</f>
        <v>204443147.32279521</v>
      </c>
      <c r="D9" s="451">
        <f>D10+D20+D23+D35+D45+D56</f>
        <v>-632242.46</v>
      </c>
      <c r="E9" s="451">
        <f>+C9+D9</f>
        <v>203810904.8627952</v>
      </c>
      <c r="F9" s="451">
        <v>53838907.32</v>
      </c>
      <c r="G9" s="451">
        <v>48389236.330000006</v>
      </c>
      <c r="H9" s="451">
        <f>+E9-F9</f>
        <v>149971997.54279521</v>
      </c>
      <c r="I9" s="450">
        <f>+F9/E9</f>
        <v>0.26416107301149644</v>
      </c>
    </row>
    <row r="10" spans="1:9" x14ac:dyDescent="0.25">
      <c r="A10" s="471">
        <v>1100</v>
      </c>
      <c r="B10" s="474" t="s">
        <v>683</v>
      </c>
      <c r="C10" s="451">
        <f>C11</f>
        <v>115843503.13592325</v>
      </c>
      <c r="D10" s="451">
        <f>D11</f>
        <v>-834328.46</v>
      </c>
      <c r="E10" s="451">
        <f>+C10+D10</f>
        <v>115009174.67592326</v>
      </c>
      <c r="F10" s="451">
        <v>29367767.989999998</v>
      </c>
      <c r="G10" s="451">
        <v>25772782.050000001</v>
      </c>
      <c r="H10" s="451">
        <f>+E10-F10</f>
        <v>85641406.685923263</v>
      </c>
      <c r="I10" s="450">
        <f>+F10/E10</f>
        <v>0.25535152367411978</v>
      </c>
    </row>
    <row r="11" spans="1:9" x14ac:dyDescent="0.25">
      <c r="A11" s="470">
        <v>113</v>
      </c>
      <c r="B11" s="474" t="s">
        <v>682</v>
      </c>
      <c r="C11" s="451">
        <f>SUM(C12:C19)</f>
        <v>115843503.13592325</v>
      </c>
      <c r="D11" s="451">
        <f>SUM(D12:D19)</f>
        <v>-834328.46</v>
      </c>
      <c r="E11" s="451">
        <f>+C11+D11</f>
        <v>115009174.67592326</v>
      </c>
      <c r="F11" s="451">
        <v>29367767.989999998</v>
      </c>
      <c r="G11" s="451">
        <v>25772782.050000001</v>
      </c>
      <c r="H11" s="451">
        <f>+E11-F11</f>
        <v>85641406.685923263</v>
      </c>
      <c r="I11" s="450">
        <f>+F11/E11</f>
        <v>0.25535152367411978</v>
      </c>
    </row>
    <row r="12" spans="1:9" x14ac:dyDescent="0.25">
      <c r="A12" s="467">
        <v>11301</v>
      </c>
      <c r="B12" s="466" t="s">
        <v>681</v>
      </c>
      <c r="C12" s="452">
        <v>54789445.173276708</v>
      </c>
      <c r="D12" s="452">
        <v>-233286</v>
      </c>
      <c r="E12" s="451">
        <f>+C12+D12</f>
        <v>54556159.173276708</v>
      </c>
      <c r="F12" s="452">
        <v>13965929.649999999</v>
      </c>
      <c r="G12" s="452">
        <v>13965926.649999999</v>
      </c>
      <c r="H12" s="451">
        <f>+E12-F12</f>
        <v>40590229.523276709</v>
      </c>
      <c r="I12" s="450">
        <f>+F12/E12</f>
        <v>0.255991804805074</v>
      </c>
    </row>
    <row r="13" spans="1:9" x14ac:dyDescent="0.25">
      <c r="A13" s="467">
        <v>11302</v>
      </c>
      <c r="B13" s="466" t="s">
        <v>680</v>
      </c>
      <c r="C13" s="452"/>
      <c r="D13" s="452"/>
      <c r="E13" s="451">
        <f>+C13+D13</f>
        <v>0</v>
      </c>
      <c r="F13" s="452">
        <v>111460.13</v>
      </c>
      <c r="G13" s="452">
        <v>111460.13</v>
      </c>
      <c r="H13" s="451"/>
      <c r="I13" s="450"/>
    </row>
    <row r="14" spans="1:9" x14ac:dyDescent="0.25">
      <c r="A14" s="467">
        <v>11303</v>
      </c>
      <c r="B14" s="466" t="s">
        <v>679</v>
      </c>
      <c r="C14" s="452">
        <v>1188605.3668761486</v>
      </c>
      <c r="D14" s="452">
        <v>0</v>
      </c>
      <c r="E14" s="451">
        <f>+C14+D14</f>
        <v>1188605.3668761486</v>
      </c>
      <c r="F14" s="452">
        <v>177109.52000000002</v>
      </c>
      <c r="G14" s="452">
        <v>177109.52000000002</v>
      </c>
      <c r="H14" s="451">
        <f>+E14-F14</f>
        <v>1011495.8468761486</v>
      </c>
      <c r="I14" s="450">
        <f>+F14/E14</f>
        <v>0.14900615876022258</v>
      </c>
    </row>
    <row r="15" spans="1:9" x14ac:dyDescent="0.25">
      <c r="A15" s="467">
        <v>11304</v>
      </c>
      <c r="B15" s="466" t="s">
        <v>678</v>
      </c>
      <c r="C15" s="452">
        <v>779339.53</v>
      </c>
      <c r="D15" s="452">
        <v>0</v>
      </c>
      <c r="E15" s="451">
        <f>+C15+D15</f>
        <v>779339.53</v>
      </c>
      <c r="F15" s="452">
        <v>0</v>
      </c>
      <c r="G15" s="452">
        <v>0</v>
      </c>
      <c r="H15" s="451">
        <f>+E15-F15</f>
        <v>779339.53</v>
      </c>
      <c r="I15" s="450">
        <f>+F15/E15</f>
        <v>0</v>
      </c>
    </row>
    <row r="16" spans="1:9" x14ac:dyDescent="0.25">
      <c r="A16" s="467">
        <v>11306</v>
      </c>
      <c r="B16" s="466" t="s">
        <v>677</v>
      </c>
      <c r="C16" s="452">
        <v>39234835.581377797</v>
      </c>
      <c r="D16" s="452">
        <v>-612042.46</v>
      </c>
      <c r="E16" s="451">
        <f>+C16+D16</f>
        <v>38622793.121377796</v>
      </c>
      <c r="F16" s="452">
        <v>10175939.949999999</v>
      </c>
      <c r="G16" s="452">
        <v>6580957.0100000007</v>
      </c>
      <c r="H16" s="451">
        <f>+E16-F16</f>
        <v>28446853.171377797</v>
      </c>
      <c r="I16" s="450">
        <f>+F16/E16</f>
        <v>0.26346980960234062</v>
      </c>
    </row>
    <row r="17" spans="1:9" x14ac:dyDescent="0.25">
      <c r="A17" s="467">
        <v>11307</v>
      </c>
      <c r="B17" s="466" t="s">
        <v>676</v>
      </c>
      <c r="C17" s="452">
        <v>11625339.585183397</v>
      </c>
      <c r="D17" s="452">
        <v>6600</v>
      </c>
      <c r="E17" s="451">
        <f>+C17+D17</f>
        <v>11631939.585183397</v>
      </c>
      <c r="F17" s="452">
        <v>2889317.64</v>
      </c>
      <c r="G17" s="452">
        <v>2889317.64</v>
      </c>
      <c r="H17" s="451">
        <f>+E17-F17</f>
        <v>8742621.9451833963</v>
      </c>
      <c r="I17" s="450">
        <f>+F17/E17</f>
        <v>0.24839517251966928</v>
      </c>
    </row>
    <row r="18" spans="1:9" x14ac:dyDescent="0.25">
      <c r="A18" s="467">
        <v>11308</v>
      </c>
      <c r="B18" s="466" t="s">
        <v>675</v>
      </c>
      <c r="C18" s="452">
        <v>16199.049186517554</v>
      </c>
      <c r="D18" s="452">
        <v>0</v>
      </c>
      <c r="E18" s="451">
        <f>+C18+D18</f>
        <v>16199.049186517554</v>
      </c>
      <c r="F18" s="452">
        <v>3660</v>
      </c>
      <c r="G18" s="452">
        <v>3660</v>
      </c>
      <c r="H18" s="451">
        <f>+E18-F18</f>
        <v>12539.049186517554</v>
      </c>
      <c r="I18" s="450">
        <f>+F18/E18</f>
        <v>0.22593918679166755</v>
      </c>
    </row>
    <row r="19" spans="1:9" x14ac:dyDescent="0.25">
      <c r="A19" s="467">
        <v>11310</v>
      </c>
      <c r="B19" s="466" t="s">
        <v>674</v>
      </c>
      <c r="C19" s="452">
        <v>8209738.8500226913</v>
      </c>
      <c r="D19" s="452">
        <v>4400</v>
      </c>
      <c r="E19" s="451">
        <f>+C19+D19</f>
        <v>8214138.8500226913</v>
      </c>
      <c r="F19" s="452">
        <v>2044351.0999999999</v>
      </c>
      <c r="G19" s="452">
        <v>2044351.0999999999</v>
      </c>
      <c r="H19" s="451">
        <f>+E19-F19</f>
        <v>6169787.7500226917</v>
      </c>
      <c r="I19" s="450">
        <f>+F19/E19</f>
        <v>0.24888197500999784</v>
      </c>
    </row>
    <row r="20" spans="1:9" x14ac:dyDescent="0.25">
      <c r="A20" s="471">
        <v>1200</v>
      </c>
      <c r="B20" s="474" t="s">
        <v>673</v>
      </c>
      <c r="C20" s="451">
        <f>C21</f>
        <v>1883200.3508860434</v>
      </c>
      <c r="D20" s="451">
        <f>D21</f>
        <v>0</v>
      </c>
      <c r="E20" s="451">
        <f>+C20+D20</f>
        <v>1883200.3508860434</v>
      </c>
      <c r="F20" s="451">
        <v>410725.17000000004</v>
      </c>
      <c r="G20" s="451">
        <v>392858.18</v>
      </c>
      <c r="H20" s="451">
        <f>+E20-F20</f>
        <v>1472475.1808860432</v>
      </c>
      <c r="I20" s="450">
        <f>+F20/E20</f>
        <v>0.21809956110445411</v>
      </c>
    </row>
    <row r="21" spans="1:9" x14ac:dyDescent="0.25">
      <c r="A21" s="470">
        <v>121</v>
      </c>
      <c r="B21" s="474" t="s">
        <v>672</v>
      </c>
      <c r="C21" s="451">
        <f>C22</f>
        <v>1883200.3508860434</v>
      </c>
      <c r="D21" s="451">
        <f>D22</f>
        <v>0</v>
      </c>
      <c r="E21" s="451">
        <f>+C21+D21</f>
        <v>1883200.3508860434</v>
      </c>
      <c r="F21" s="451">
        <v>410725.17000000004</v>
      </c>
      <c r="G21" s="451">
        <v>392858.18</v>
      </c>
      <c r="H21" s="451">
        <f>+E21-F21</f>
        <v>1472475.1808860432</v>
      </c>
      <c r="I21" s="450">
        <f>+F21/E21</f>
        <v>0.21809956110445411</v>
      </c>
    </row>
    <row r="22" spans="1:9" x14ac:dyDescent="0.25">
      <c r="A22" s="467">
        <v>12101</v>
      </c>
      <c r="B22" s="466" t="s">
        <v>671</v>
      </c>
      <c r="C22" s="452">
        <v>1883200.3508860434</v>
      </c>
      <c r="D22" s="452">
        <v>0</v>
      </c>
      <c r="E22" s="451">
        <f>+C22+D22</f>
        <v>1883200.3508860434</v>
      </c>
      <c r="F22" s="452">
        <v>410725.17000000004</v>
      </c>
      <c r="G22" s="452">
        <v>392858.18</v>
      </c>
      <c r="H22" s="451">
        <f>+E22-F22</f>
        <v>1472475.1808860432</v>
      </c>
      <c r="I22" s="450">
        <f>+F22/E22</f>
        <v>0.21809956110445411</v>
      </c>
    </row>
    <row r="23" spans="1:9" x14ac:dyDescent="0.25">
      <c r="A23" s="471">
        <v>1300</v>
      </c>
      <c r="B23" s="474" t="s">
        <v>670</v>
      </c>
      <c r="C23" s="451">
        <f>C24+C26+C31+C33</f>
        <v>10262941.40592527</v>
      </c>
      <c r="D23" s="451">
        <f>D24+D26+D31+D33</f>
        <v>92086</v>
      </c>
      <c r="E23" s="451">
        <f>+C23+D23</f>
        <v>10355027.40592527</v>
      </c>
      <c r="F23" s="451">
        <v>2578247.58</v>
      </c>
      <c r="G23" s="451">
        <v>2316590.15</v>
      </c>
      <c r="H23" s="451">
        <f>+E23-F23</f>
        <v>7776779.8259252701</v>
      </c>
      <c r="I23" s="450">
        <f>+F23/E23</f>
        <v>0.24898510442615499</v>
      </c>
    </row>
    <row r="24" spans="1:9" x14ac:dyDescent="0.25">
      <c r="A24" s="470">
        <v>131</v>
      </c>
      <c r="B24" s="474" t="s">
        <v>669</v>
      </c>
      <c r="C24" s="451">
        <f>C25</f>
        <v>2984342.6136914436</v>
      </c>
      <c r="D24" s="451">
        <f>D25</f>
        <v>0</v>
      </c>
      <c r="E24" s="451">
        <f>+C24+D24</f>
        <v>2984342.6136914436</v>
      </c>
      <c r="F24" s="451">
        <v>781759.32000000007</v>
      </c>
      <c r="G24" s="451">
        <v>781759.32000000007</v>
      </c>
      <c r="H24" s="451">
        <f>+E24-F24</f>
        <v>2202583.2936914433</v>
      </c>
      <c r="I24" s="450">
        <f>+F24/E24</f>
        <v>0.26195360962024838</v>
      </c>
    </row>
    <row r="25" spans="1:9" x14ac:dyDescent="0.25">
      <c r="A25" s="467">
        <v>13101</v>
      </c>
      <c r="B25" s="466" t="s">
        <v>669</v>
      </c>
      <c r="C25" s="452">
        <v>2984342.6136914436</v>
      </c>
      <c r="D25" s="452">
        <v>0</v>
      </c>
      <c r="E25" s="451">
        <f>+C25+D25</f>
        <v>2984342.6136914436</v>
      </c>
      <c r="F25" s="452">
        <v>781759.32000000007</v>
      </c>
      <c r="G25" s="452">
        <v>781759.32000000007</v>
      </c>
      <c r="H25" s="451">
        <f>+E25-F25</f>
        <v>2202583.2936914433</v>
      </c>
      <c r="I25" s="450">
        <f>+F25/E25</f>
        <v>0.26195360962024838</v>
      </c>
    </row>
    <row r="26" spans="1:9" ht="22.5" x14ac:dyDescent="0.25">
      <c r="A26" s="470">
        <v>132</v>
      </c>
      <c r="B26" s="474" t="s">
        <v>668</v>
      </c>
      <c r="C26" s="451">
        <f>C27+C28+C29+C30</f>
        <v>6197735.4397429833</v>
      </c>
      <c r="D26" s="451">
        <f>D27+D28+D29+D30</f>
        <v>-163200</v>
      </c>
      <c r="E26" s="451">
        <f>+C26+D26</f>
        <v>6034535.4397429833</v>
      </c>
      <c r="F26" s="451">
        <v>548538.52</v>
      </c>
      <c r="G26" s="451">
        <v>286881.09000000003</v>
      </c>
      <c r="H26" s="451">
        <f>+E26-F26</f>
        <v>5485996.9197429828</v>
      </c>
      <c r="I26" s="450">
        <f>+F26/E26</f>
        <v>9.0899875471335836E-2</v>
      </c>
    </row>
    <row r="27" spans="1:9" x14ac:dyDescent="0.25">
      <c r="A27" s="467">
        <v>13201</v>
      </c>
      <c r="B27" s="466" t="s">
        <v>667</v>
      </c>
      <c r="C27" s="452">
        <v>4542217.0013376875</v>
      </c>
      <c r="D27" s="452">
        <v>10100</v>
      </c>
      <c r="E27" s="451">
        <f>+C27+D27</f>
        <v>4552317.0013376875</v>
      </c>
      <c r="F27" s="452">
        <v>366895.84</v>
      </c>
      <c r="G27" s="452">
        <v>286881.09000000003</v>
      </c>
      <c r="H27" s="451">
        <f>+E27-F27</f>
        <v>4185421.1613376876</v>
      </c>
      <c r="I27" s="450">
        <f>+F27/E27</f>
        <v>8.0595406667020017E-2</v>
      </c>
    </row>
    <row r="28" spans="1:9" x14ac:dyDescent="0.25">
      <c r="A28" s="467">
        <v>13202</v>
      </c>
      <c r="B28" s="466" t="s">
        <v>666</v>
      </c>
      <c r="C28" s="452">
        <v>1486153.9684052961</v>
      </c>
      <c r="D28" s="452">
        <v>-173600</v>
      </c>
      <c r="E28" s="451">
        <f>+C28+D28</f>
        <v>1312553.9684052961</v>
      </c>
      <c r="F28" s="452">
        <v>161460.14000000001</v>
      </c>
      <c r="G28" s="452">
        <v>0</v>
      </c>
      <c r="H28" s="451">
        <f>+E28-F28</f>
        <v>1151093.828405296</v>
      </c>
      <c r="I28" s="450">
        <f>+F28/E28</f>
        <v>0.12301219141196003</v>
      </c>
    </row>
    <row r="29" spans="1:9" x14ac:dyDescent="0.25">
      <c r="A29" s="467">
        <v>13203</v>
      </c>
      <c r="B29" s="466" t="s">
        <v>665</v>
      </c>
      <c r="C29" s="452">
        <v>87500.160000000003</v>
      </c>
      <c r="D29" s="452">
        <v>0</v>
      </c>
      <c r="E29" s="451">
        <f>+C29+D29</f>
        <v>87500.160000000003</v>
      </c>
      <c r="F29" s="452">
        <v>0</v>
      </c>
      <c r="G29" s="452">
        <v>0</v>
      </c>
      <c r="H29" s="451">
        <f>+E29-F29</f>
        <v>87500.160000000003</v>
      </c>
      <c r="I29" s="450">
        <f>+F29/E29</f>
        <v>0</v>
      </c>
    </row>
    <row r="30" spans="1:9" x14ac:dyDescent="0.25">
      <c r="A30" s="467">
        <v>13204</v>
      </c>
      <c r="B30" s="466" t="s">
        <v>664</v>
      </c>
      <c r="C30" s="452">
        <v>81864.31</v>
      </c>
      <c r="D30" s="452">
        <v>300</v>
      </c>
      <c r="E30" s="451">
        <f>+C30+D30</f>
        <v>82164.31</v>
      </c>
      <c r="F30" s="452">
        <v>20182.54</v>
      </c>
      <c r="G30" s="452">
        <v>0</v>
      </c>
      <c r="H30" s="451">
        <f>+E30-F30</f>
        <v>61981.77</v>
      </c>
      <c r="I30" s="450">
        <f>+F30/E30</f>
        <v>0.24563633528961665</v>
      </c>
    </row>
    <row r="31" spans="1:9" x14ac:dyDescent="0.25">
      <c r="A31" s="470">
        <v>133</v>
      </c>
      <c r="B31" s="474" t="s">
        <v>663</v>
      </c>
      <c r="C31" s="451">
        <f>C32</f>
        <v>963263.35249084188</v>
      </c>
      <c r="D31" s="451">
        <f>D32</f>
        <v>255286</v>
      </c>
      <c r="E31" s="451">
        <f>+C31+D31</f>
        <v>1218549.3524908419</v>
      </c>
      <c r="F31" s="451">
        <v>1218549.74</v>
      </c>
      <c r="G31" s="451">
        <v>1218549.74</v>
      </c>
      <c r="H31" s="451">
        <f>+E31-F31</f>
        <v>-0.38750915811397135</v>
      </c>
      <c r="I31" s="450">
        <f>+F31/E31</f>
        <v>1.0000003180085872</v>
      </c>
    </row>
    <row r="32" spans="1:9" x14ac:dyDescent="0.25">
      <c r="A32" s="467">
        <v>13301</v>
      </c>
      <c r="B32" s="466" t="s">
        <v>662</v>
      </c>
      <c r="C32" s="452">
        <v>963263.35249084188</v>
      </c>
      <c r="D32" s="452">
        <v>255286</v>
      </c>
      <c r="E32" s="451">
        <f>+C32+D32</f>
        <v>1218549.3524908419</v>
      </c>
      <c r="F32" s="452">
        <v>1218549.74</v>
      </c>
      <c r="G32" s="452">
        <v>1218549.74</v>
      </c>
      <c r="H32" s="451">
        <f>+E32-F32</f>
        <v>-0.38750915811397135</v>
      </c>
      <c r="I32" s="450">
        <f>+F32/E32</f>
        <v>1.0000003180085872</v>
      </c>
    </row>
    <row r="33" spans="1:9" x14ac:dyDescent="0.25">
      <c r="A33" s="470">
        <v>134</v>
      </c>
      <c r="B33" s="474" t="s">
        <v>661</v>
      </c>
      <c r="C33" s="451">
        <f>C34</f>
        <v>117600</v>
      </c>
      <c r="D33" s="451">
        <f>D34</f>
        <v>0</v>
      </c>
      <c r="E33" s="451">
        <f>+C33+D33</f>
        <v>117600</v>
      </c>
      <c r="F33" s="451">
        <v>29400</v>
      </c>
      <c r="G33" s="451">
        <v>29400</v>
      </c>
      <c r="H33" s="451">
        <f>+E33-F33</f>
        <v>88200</v>
      </c>
      <c r="I33" s="450">
        <f>+F33/E33</f>
        <v>0.25</v>
      </c>
    </row>
    <row r="34" spans="1:9" x14ac:dyDescent="0.25">
      <c r="A34" s="467">
        <v>13403</v>
      </c>
      <c r="B34" s="466" t="s">
        <v>660</v>
      </c>
      <c r="C34" s="452">
        <v>117600</v>
      </c>
      <c r="D34" s="452">
        <v>0</v>
      </c>
      <c r="E34" s="451">
        <f>+C34+D34</f>
        <v>117600</v>
      </c>
      <c r="F34" s="452">
        <v>29400</v>
      </c>
      <c r="G34" s="452">
        <v>29400</v>
      </c>
      <c r="H34" s="451">
        <f>+E34-F34</f>
        <v>88200</v>
      </c>
      <c r="I34" s="450">
        <f>+F34/E34</f>
        <v>0.25</v>
      </c>
    </row>
    <row r="35" spans="1:9" x14ac:dyDescent="0.25">
      <c r="A35" s="471">
        <v>1400</v>
      </c>
      <c r="B35" s="474" t="s">
        <v>198</v>
      </c>
      <c r="C35" s="451">
        <f>C36+C39+C41</f>
        <v>39796179.374640383</v>
      </c>
      <c r="D35" s="451">
        <f>D36+D39+D41</f>
        <v>0</v>
      </c>
      <c r="E35" s="451">
        <f>+C35+D35</f>
        <v>39796179.374640383</v>
      </c>
      <c r="F35" s="451">
        <v>11827622.16</v>
      </c>
      <c r="G35" s="451">
        <v>10392788.84</v>
      </c>
      <c r="H35" s="451">
        <f>+E35-F35</f>
        <v>27968557.214640383</v>
      </c>
      <c r="I35" s="450">
        <f>+F35/E35</f>
        <v>0.29720496655357331</v>
      </c>
    </row>
    <row r="36" spans="1:9" x14ac:dyDescent="0.25">
      <c r="A36" s="470">
        <v>141</v>
      </c>
      <c r="B36" s="474" t="s">
        <v>659</v>
      </c>
      <c r="C36" s="451">
        <f>C37+C38</f>
        <v>36185061.691328228</v>
      </c>
      <c r="D36" s="451">
        <f>D37+D38</f>
        <v>-402283</v>
      </c>
      <c r="E36" s="451">
        <f>+C36+D36</f>
        <v>35782778.691328228</v>
      </c>
      <c r="F36" s="451">
        <v>8723653.5999999996</v>
      </c>
      <c r="G36" s="451">
        <v>7307512.9699999988</v>
      </c>
      <c r="H36" s="451">
        <f>+E36-F36</f>
        <v>27059125.091328226</v>
      </c>
      <c r="I36" s="450">
        <f>+F36/E36</f>
        <v>0.24379475040919985</v>
      </c>
    </row>
    <row r="37" spans="1:9" x14ac:dyDescent="0.25">
      <c r="A37" s="467">
        <v>14106</v>
      </c>
      <c r="B37" s="466" t="s">
        <v>658</v>
      </c>
      <c r="C37" s="452">
        <v>22662579.121978931</v>
      </c>
      <c r="D37" s="452">
        <v>-402283</v>
      </c>
      <c r="E37" s="451">
        <f>+C37+D37</f>
        <v>22260296.121978931</v>
      </c>
      <c r="F37" s="452">
        <v>5242004.7399999993</v>
      </c>
      <c r="G37" s="452">
        <v>4394614.46</v>
      </c>
      <c r="H37" s="451">
        <f>+E37-F37</f>
        <v>17018291.381978933</v>
      </c>
      <c r="I37" s="450">
        <f>+F37/E37</f>
        <v>0.23548674785257023</v>
      </c>
    </row>
    <row r="38" spans="1:9" x14ac:dyDescent="0.25">
      <c r="A38" s="467">
        <v>14109</v>
      </c>
      <c r="B38" s="466" t="s">
        <v>657</v>
      </c>
      <c r="C38" s="452">
        <v>13522482.569349293</v>
      </c>
      <c r="D38" s="452">
        <v>0</v>
      </c>
      <c r="E38" s="451">
        <f>+C38+D38</f>
        <v>13522482.569349293</v>
      </c>
      <c r="F38" s="452">
        <v>3481648.86</v>
      </c>
      <c r="G38" s="452">
        <v>2912898.51</v>
      </c>
      <c r="H38" s="451">
        <f>+E38-F38</f>
        <v>10040833.709349293</v>
      </c>
      <c r="I38" s="450">
        <f>+F38/E38</f>
        <v>0.2574711294427306</v>
      </c>
    </row>
    <row r="39" spans="1:9" x14ac:dyDescent="0.25">
      <c r="A39" s="470">
        <v>143</v>
      </c>
      <c r="B39" s="474" t="s">
        <v>656</v>
      </c>
      <c r="C39" s="451">
        <f>C40</f>
        <v>450243.82</v>
      </c>
      <c r="D39" s="451">
        <f>D40</f>
        <v>0</v>
      </c>
      <c r="E39" s="451">
        <f>+C39+D39</f>
        <v>450243.82</v>
      </c>
      <c r="F39" s="451">
        <v>114494.81</v>
      </c>
      <c r="G39" s="451">
        <v>114494.81</v>
      </c>
      <c r="H39" s="451">
        <f>+E39-F39</f>
        <v>335749.01</v>
      </c>
      <c r="I39" s="450">
        <f>+F39/E39</f>
        <v>0.25429512835956303</v>
      </c>
    </row>
    <row r="40" spans="1:9" x14ac:dyDescent="0.25">
      <c r="A40" s="467">
        <v>14303</v>
      </c>
      <c r="B40" s="466" t="s">
        <v>655</v>
      </c>
      <c r="C40" s="452">
        <v>450243.82</v>
      </c>
      <c r="D40" s="452">
        <v>0</v>
      </c>
      <c r="E40" s="451">
        <f>+C40+D40</f>
        <v>450243.82</v>
      </c>
      <c r="F40" s="452">
        <v>114494.81</v>
      </c>
      <c r="G40" s="452">
        <v>114494.81</v>
      </c>
      <c r="H40" s="451">
        <f>+E40-F40</f>
        <v>335749.01</v>
      </c>
      <c r="I40" s="450">
        <f>+F40/E40</f>
        <v>0.25429512835956303</v>
      </c>
    </row>
    <row r="41" spans="1:9" x14ac:dyDescent="0.25">
      <c r="A41" s="470">
        <v>144</v>
      </c>
      <c r="B41" s="474" t="s">
        <v>654</v>
      </c>
      <c r="C41" s="451">
        <f>C42+C43+C44</f>
        <v>3160873.8633121559</v>
      </c>
      <c r="D41" s="451">
        <f>D42+D43+D44</f>
        <v>402283</v>
      </c>
      <c r="E41" s="451">
        <f>+C41+D41</f>
        <v>3563156.8633121559</v>
      </c>
      <c r="F41" s="451">
        <v>2989473.75</v>
      </c>
      <c r="G41" s="451">
        <v>2970781.06</v>
      </c>
      <c r="H41" s="451">
        <f>+E41-F41</f>
        <v>573683.11331215594</v>
      </c>
      <c r="I41" s="450">
        <f>+F41/E41</f>
        <v>0.83899583001269129</v>
      </c>
    </row>
    <row r="42" spans="1:9" x14ac:dyDescent="0.25">
      <c r="A42" s="467">
        <v>14402</v>
      </c>
      <c r="B42" s="466" t="s">
        <v>653</v>
      </c>
      <c r="C42" s="452">
        <v>20856</v>
      </c>
      <c r="D42" s="452">
        <v>0</v>
      </c>
      <c r="E42" s="451">
        <f>+C42+D42</f>
        <v>20856</v>
      </c>
      <c r="F42" s="452">
        <v>5159</v>
      </c>
      <c r="G42" s="452">
        <v>5159</v>
      </c>
      <c r="H42" s="451">
        <f>+E42-F42</f>
        <v>15697</v>
      </c>
      <c r="I42" s="450">
        <f>+F42/E42</f>
        <v>0.24736286919831224</v>
      </c>
    </row>
    <row r="43" spans="1:9" x14ac:dyDescent="0.25">
      <c r="A43" s="467">
        <v>14403</v>
      </c>
      <c r="B43" s="466" t="s">
        <v>652</v>
      </c>
      <c r="C43" s="452">
        <v>3135643.8633121559</v>
      </c>
      <c r="D43" s="452">
        <v>402283</v>
      </c>
      <c r="E43" s="451">
        <f>+C43+D43</f>
        <v>3537926.8633121559</v>
      </c>
      <c r="F43" s="452">
        <v>2983261.75</v>
      </c>
      <c r="G43" s="452">
        <v>2964569.06</v>
      </c>
      <c r="H43" s="451">
        <f>+E43-F43</f>
        <v>554665.11331215594</v>
      </c>
      <c r="I43" s="450">
        <f>+F43/E43</f>
        <v>0.84322312621440498</v>
      </c>
    </row>
    <row r="44" spans="1:9" x14ac:dyDescent="0.25">
      <c r="A44" s="467">
        <v>14406</v>
      </c>
      <c r="B44" s="466" t="s">
        <v>651</v>
      </c>
      <c r="C44" s="452">
        <v>4374</v>
      </c>
      <c r="D44" s="452">
        <v>0</v>
      </c>
      <c r="E44" s="451">
        <f>+C44+D44</f>
        <v>4374</v>
      </c>
      <c r="F44" s="452">
        <v>1053</v>
      </c>
      <c r="G44" s="452">
        <v>1053</v>
      </c>
      <c r="H44" s="451">
        <f>+E44-F44</f>
        <v>3321</v>
      </c>
      <c r="I44" s="450">
        <f>+F44/E44</f>
        <v>0.24074074074074073</v>
      </c>
    </row>
    <row r="45" spans="1:9" x14ac:dyDescent="0.25">
      <c r="A45" s="471">
        <v>1500</v>
      </c>
      <c r="B45" s="474" t="s">
        <v>642</v>
      </c>
      <c r="C45" s="451">
        <f>C46+C48+C51+C54</f>
        <v>35786324.26935032</v>
      </c>
      <c r="D45" s="451">
        <f>D46+D48+D51+D54</f>
        <v>110000</v>
      </c>
      <c r="E45" s="451">
        <f>+C45+D45</f>
        <v>35896324.26935032</v>
      </c>
      <c r="F45" s="451">
        <v>9482585.9900000002</v>
      </c>
      <c r="G45" s="451">
        <v>9342258.6800000016</v>
      </c>
      <c r="H45" s="451">
        <f>+E45-F45</f>
        <v>26413738.279350318</v>
      </c>
      <c r="I45" s="450">
        <f>+F45/E45</f>
        <v>0.26416593294753027</v>
      </c>
    </row>
    <row r="46" spans="1:9" x14ac:dyDescent="0.25">
      <c r="A46" s="470">
        <v>151</v>
      </c>
      <c r="B46" s="474" t="s">
        <v>650</v>
      </c>
      <c r="C46" s="451">
        <f>C47</f>
        <v>5778675.6906861197</v>
      </c>
      <c r="D46" s="451">
        <f>D47</f>
        <v>0</v>
      </c>
      <c r="E46" s="451">
        <f>+C46+D46</f>
        <v>5778675.6906861197</v>
      </c>
      <c r="F46" s="451">
        <v>1557076.79</v>
      </c>
      <c r="G46" s="451">
        <v>1416749.48</v>
      </c>
      <c r="H46" s="451">
        <f>+E46-F46</f>
        <v>4221598.9006861197</v>
      </c>
      <c r="I46" s="450">
        <f>+F46/E46</f>
        <v>0.26945218478165256</v>
      </c>
    </row>
    <row r="47" spans="1:9" x14ac:dyDescent="0.25">
      <c r="A47" s="467">
        <v>15101</v>
      </c>
      <c r="B47" s="466" t="s">
        <v>649</v>
      </c>
      <c r="C47" s="452">
        <v>5778675.6906861197</v>
      </c>
      <c r="D47" s="452">
        <v>0</v>
      </c>
      <c r="E47" s="451">
        <f>+C47+D47</f>
        <v>5778675.6906861197</v>
      </c>
      <c r="F47" s="452">
        <v>1557076.79</v>
      </c>
      <c r="G47" s="452">
        <v>1416749.48</v>
      </c>
      <c r="H47" s="451">
        <f>+E47-F47</f>
        <v>4221598.9006861197</v>
      </c>
      <c r="I47" s="450">
        <f>+F47/E47</f>
        <v>0.26945218478165256</v>
      </c>
    </row>
    <row r="48" spans="1:9" x14ac:dyDescent="0.25">
      <c r="A48" s="470">
        <v>152</v>
      </c>
      <c r="B48" s="474" t="s">
        <v>648</v>
      </c>
      <c r="C48" s="451">
        <f>C49+C50</f>
        <v>1438783.3229715917</v>
      </c>
      <c r="D48" s="451">
        <f>D49+D50</f>
        <v>0</v>
      </c>
      <c r="E48" s="451">
        <f>+C48+D48</f>
        <v>1438783.3229715917</v>
      </c>
      <c r="F48" s="451">
        <v>0</v>
      </c>
      <c r="G48" s="451">
        <v>0</v>
      </c>
      <c r="H48" s="451">
        <f>+E48-F48</f>
        <v>1438783.3229715917</v>
      </c>
      <c r="I48" s="450">
        <f>+F48/E48</f>
        <v>0</v>
      </c>
    </row>
    <row r="49" spans="1:9" x14ac:dyDescent="0.25">
      <c r="A49" s="467">
        <v>15201</v>
      </c>
      <c r="B49" s="466" t="s">
        <v>647</v>
      </c>
      <c r="C49" s="452">
        <v>0</v>
      </c>
      <c r="D49" s="452">
        <v>0</v>
      </c>
      <c r="E49" s="451">
        <f>+C49+D49</f>
        <v>0</v>
      </c>
      <c r="F49" s="452">
        <v>0</v>
      </c>
      <c r="G49" s="452">
        <v>0</v>
      </c>
      <c r="H49" s="451">
        <f>+E49-F49</f>
        <v>0</v>
      </c>
      <c r="I49" s="450"/>
    </row>
    <row r="50" spans="1:9" x14ac:dyDescent="0.25">
      <c r="A50" s="467">
        <v>15202</v>
      </c>
      <c r="B50" s="466" t="s">
        <v>646</v>
      </c>
      <c r="C50" s="452">
        <v>1438783.3229715917</v>
      </c>
      <c r="D50" s="452">
        <v>0</v>
      </c>
      <c r="E50" s="451">
        <f>+C50+D50</f>
        <v>1438783.3229715917</v>
      </c>
      <c r="F50" s="452">
        <v>0</v>
      </c>
      <c r="G50" s="452">
        <v>0</v>
      </c>
      <c r="H50" s="451">
        <f>+E50-F50</f>
        <v>1438783.3229715917</v>
      </c>
      <c r="I50" s="450">
        <f>+F50/E50</f>
        <v>0</v>
      </c>
    </row>
    <row r="51" spans="1:9" x14ac:dyDescent="0.25">
      <c r="A51" s="470">
        <v>154</v>
      </c>
      <c r="B51" s="474" t="s">
        <v>645</v>
      </c>
      <c r="C51" s="451">
        <f>C52+C53</f>
        <v>2699386.6069024238</v>
      </c>
      <c r="D51" s="451">
        <f>D52+D53</f>
        <v>0</v>
      </c>
      <c r="E51" s="451">
        <f>+C51+D51</f>
        <v>2699386.6069024238</v>
      </c>
      <c r="F51" s="451">
        <v>921665.41</v>
      </c>
      <c r="G51" s="451">
        <v>921665.41</v>
      </c>
      <c r="H51" s="451">
        <f>+E51-F51</f>
        <v>1777721.1969024236</v>
      </c>
      <c r="I51" s="450">
        <f>+F51/E51</f>
        <v>0.34143512738904092</v>
      </c>
    </row>
    <row r="52" spans="1:9" x14ac:dyDescent="0.25">
      <c r="A52" s="467">
        <v>15409</v>
      </c>
      <c r="B52" s="466" t="s">
        <v>644</v>
      </c>
      <c r="C52" s="452">
        <v>2299985.8332690885</v>
      </c>
      <c r="D52" s="452">
        <v>0</v>
      </c>
      <c r="E52" s="451">
        <f>+C52+D52</f>
        <v>2299985.8332690885</v>
      </c>
      <c r="F52" s="451">
        <v>679829.41</v>
      </c>
      <c r="G52" s="451">
        <v>679829.41</v>
      </c>
      <c r="H52" s="451">
        <f>+E52-F52</f>
        <v>1620156.4232690884</v>
      </c>
      <c r="I52" s="450">
        <f>+F52/E52</f>
        <v>0.29557982495645352</v>
      </c>
    </row>
    <row r="53" spans="1:9" x14ac:dyDescent="0.25">
      <c r="A53" s="467">
        <v>15419</v>
      </c>
      <c r="B53" s="466" t="s">
        <v>643</v>
      </c>
      <c r="C53" s="452">
        <v>399400.77363333531</v>
      </c>
      <c r="D53" s="452">
        <v>0</v>
      </c>
      <c r="E53" s="451">
        <f>+C53+D53</f>
        <v>399400.77363333531</v>
      </c>
      <c r="F53" s="452">
        <v>241836</v>
      </c>
      <c r="G53" s="452">
        <v>241836</v>
      </c>
      <c r="H53" s="451">
        <f>+E53-F53</f>
        <v>157564.77363333531</v>
      </c>
      <c r="I53" s="450">
        <f>+F53/E53</f>
        <v>0.6054970745299918</v>
      </c>
    </row>
    <row r="54" spans="1:9" x14ac:dyDescent="0.25">
      <c r="A54" s="470">
        <v>159</v>
      </c>
      <c r="B54" s="474" t="s">
        <v>642</v>
      </c>
      <c r="C54" s="451">
        <f>C55</f>
        <v>25869478.648790181</v>
      </c>
      <c r="D54" s="451">
        <f>D55</f>
        <v>110000</v>
      </c>
      <c r="E54" s="451">
        <f>+C54+D54</f>
        <v>25979478.648790181</v>
      </c>
      <c r="F54" s="451">
        <v>7003843.79</v>
      </c>
      <c r="G54" s="451">
        <v>7003843.79</v>
      </c>
      <c r="H54" s="451">
        <f>+E54-F54</f>
        <v>18975634.858790182</v>
      </c>
      <c r="I54" s="450">
        <f>+F54/E54</f>
        <v>0.26959139113925817</v>
      </c>
    </row>
    <row r="55" spans="1:9" x14ac:dyDescent="0.25">
      <c r="A55" s="467">
        <v>15901</v>
      </c>
      <c r="B55" s="466" t="s">
        <v>641</v>
      </c>
      <c r="C55" s="452">
        <v>25869478.648790181</v>
      </c>
      <c r="D55" s="452">
        <v>110000</v>
      </c>
      <c r="E55" s="451">
        <f>+C55+D55</f>
        <v>25979478.648790181</v>
      </c>
      <c r="F55" s="452">
        <v>7003843.79</v>
      </c>
      <c r="G55" s="452">
        <v>7003843.79</v>
      </c>
      <c r="H55" s="451">
        <f>+E55-F55</f>
        <v>18975634.858790182</v>
      </c>
      <c r="I55" s="450">
        <f>+F55/E55</f>
        <v>0.26959139113925817</v>
      </c>
    </row>
    <row r="56" spans="1:9" x14ac:dyDescent="0.25">
      <c r="A56" s="473">
        <v>1700</v>
      </c>
      <c r="B56" s="474" t="s">
        <v>640</v>
      </c>
      <c r="C56" s="451">
        <f>C57</f>
        <v>870998.78606991796</v>
      </c>
      <c r="D56" s="451">
        <f>D57</f>
        <v>0</v>
      </c>
      <c r="E56" s="451">
        <f>+C56+D56</f>
        <v>870998.78606991796</v>
      </c>
      <c r="F56" s="451">
        <v>171958.43</v>
      </c>
      <c r="G56" s="451">
        <v>171958.43</v>
      </c>
      <c r="H56" s="451">
        <f>+E56-F56</f>
        <v>699040.35606991802</v>
      </c>
      <c r="I56" s="450">
        <f>+F56/E56</f>
        <v>0.19742671603011433</v>
      </c>
    </row>
    <row r="57" spans="1:9" x14ac:dyDescent="0.25">
      <c r="A57" s="473">
        <v>171</v>
      </c>
      <c r="B57" s="474" t="s">
        <v>639</v>
      </c>
      <c r="C57" s="451">
        <f>SUM(C58:C59)</f>
        <v>870998.78606991796</v>
      </c>
      <c r="D57" s="451">
        <f>SUM(D58:D59)</f>
        <v>0</v>
      </c>
      <c r="E57" s="451">
        <f>+C57+D57</f>
        <v>870998.78606991796</v>
      </c>
      <c r="F57" s="451">
        <v>171958.43</v>
      </c>
      <c r="G57" s="451">
        <v>171958.43</v>
      </c>
      <c r="H57" s="451">
        <f>+E57-F57</f>
        <v>699040.35606991802</v>
      </c>
      <c r="I57" s="450">
        <f>+F57/E57</f>
        <v>0.19742671603011433</v>
      </c>
    </row>
    <row r="58" spans="1:9" x14ac:dyDescent="0.25">
      <c r="A58" s="467">
        <v>17102</v>
      </c>
      <c r="B58" s="466" t="s">
        <v>638</v>
      </c>
      <c r="C58" s="452">
        <v>488195.04</v>
      </c>
      <c r="D58" s="452">
        <v>0</v>
      </c>
      <c r="E58" s="451">
        <f>+C58+D58</f>
        <v>488195.04</v>
      </c>
      <c r="F58" s="452">
        <v>122048.76</v>
      </c>
      <c r="G58" s="452">
        <v>122048.76</v>
      </c>
      <c r="H58" s="451">
        <f>+E58-F58</f>
        <v>366146.27999999997</v>
      </c>
      <c r="I58" s="450">
        <f>+F58/E58</f>
        <v>0.25</v>
      </c>
    </row>
    <row r="59" spans="1:9" x14ac:dyDescent="0.25">
      <c r="A59" s="476">
        <v>17104</v>
      </c>
      <c r="B59" s="476" t="s">
        <v>637</v>
      </c>
      <c r="C59" s="452">
        <v>382803.74606991804</v>
      </c>
      <c r="D59" s="452">
        <v>0</v>
      </c>
      <c r="E59" s="451">
        <f>+C59+D59</f>
        <v>382803.74606991804</v>
      </c>
      <c r="F59" s="452">
        <v>49909.67</v>
      </c>
      <c r="G59" s="452">
        <v>49909.67</v>
      </c>
      <c r="H59" s="451">
        <f>+E59-F59</f>
        <v>332894.07606991805</v>
      </c>
      <c r="I59" s="450">
        <f>+F59/E59</f>
        <v>0.13037926225226681</v>
      </c>
    </row>
    <row r="60" spans="1:9" x14ac:dyDescent="0.25">
      <c r="A60" s="467"/>
      <c r="B60" s="466"/>
      <c r="C60" s="452">
        <v>0</v>
      </c>
      <c r="D60" s="452">
        <v>0</v>
      </c>
      <c r="E60" s="451">
        <f>+C60+D60</f>
        <v>0</v>
      </c>
      <c r="F60" s="452">
        <v>0</v>
      </c>
      <c r="G60" s="452">
        <v>0</v>
      </c>
      <c r="H60" s="451">
        <f>+E60-F60</f>
        <v>0</v>
      </c>
      <c r="I60" s="450"/>
    </row>
    <row r="61" spans="1:9" x14ac:dyDescent="0.25">
      <c r="A61" s="463">
        <v>2000</v>
      </c>
      <c r="B61" s="474" t="s">
        <v>636</v>
      </c>
      <c r="C61" s="475">
        <f>C62+C78+C84+C87+C101+C112+C116+C121</f>
        <v>29390389.214226238</v>
      </c>
      <c r="D61" s="475">
        <f>D62+D78+D84+D87+D101+D112+D116+D121</f>
        <v>2116504.3199999998</v>
      </c>
      <c r="E61" s="451">
        <f>+C61+D61</f>
        <v>31506893.534226239</v>
      </c>
      <c r="F61" s="451">
        <v>3963082.95</v>
      </c>
      <c r="G61" s="451">
        <v>2858849.4899999998</v>
      </c>
      <c r="H61" s="451">
        <f>+E61-F61</f>
        <v>27543810.584226239</v>
      </c>
      <c r="I61" s="450">
        <f>+F61/E61</f>
        <v>0.12578463013800029</v>
      </c>
    </row>
    <row r="62" spans="1:9" ht="22.5" x14ac:dyDescent="0.25">
      <c r="A62" s="471">
        <v>2100</v>
      </c>
      <c r="B62" s="474" t="s">
        <v>635</v>
      </c>
      <c r="C62" s="451">
        <f>C63+C65+C67+C69+C71+C73+C75</f>
        <v>2348248.1320336713</v>
      </c>
      <c r="D62" s="451">
        <f>D63+D65+D67+D69+D71+D73+D75</f>
        <v>0</v>
      </c>
      <c r="E62" s="451">
        <f>+C62+D62</f>
        <v>2348248.1320336713</v>
      </c>
      <c r="F62" s="451">
        <v>243587.32000000004</v>
      </c>
      <c r="G62" s="451">
        <v>219616.99000000002</v>
      </c>
      <c r="H62" s="451">
        <f>+E62-F62</f>
        <v>2104660.8120336714</v>
      </c>
      <c r="I62" s="450">
        <f>+F62/E62</f>
        <v>0.10373150804512479</v>
      </c>
    </row>
    <row r="63" spans="1:9" x14ac:dyDescent="0.25">
      <c r="A63" s="470">
        <v>211</v>
      </c>
      <c r="B63" s="474" t="s">
        <v>634</v>
      </c>
      <c r="C63" s="451">
        <f>C64</f>
        <v>1225435.4062956315</v>
      </c>
      <c r="D63" s="451">
        <f>D64</f>
        <v>0</v>
      </c>
      <c r="E63" s="451">
        <f>+C63+D63</f>
        <v>1225435.4062956315</v>
      </c>
      <c r="F63" s="451">
        <v>39001.790000000008</v>
      </c>
      <c r="G63" s="451">
        <v>36248.43</v>
      </c>
      <c r="H63" s="451">
        <f>+E63-F63</f>
        <v>1186433.6162956315</v>
      </c>
      <c r="I63" s="450">
        <f>+F63/E63</f>
        <v>3.1826883571039057E-2</v>
      </c>
    </row>
    <row r="64" spans="1:9" x14ac:dyDescent="0.25">
      <c r="A64" s="467">
        <v>21101</v>
      </c>
      <c r="B64" s="466" t="s">
        <v>634</v>
      </c>
      <c r="C64" s="452">
        <v>1225435.4062956315</v>
      </c>
      <c r="D64" s="452">
        <v>0</v>
      </c>
      <c r="E64" s="451">
        <f>+C64+D64</f>
        <v>1225435.4062956315</v>
      </c>
      <c r="F64" s="452">
        <v>39001.790000000008</v>
      </c>
      <c r="G64" s="452">
        <v>36248.43</v>
      </c>
      <c r="H64" s="451">
        <f>+E64-F64</f>
        <v>1186433.6162956315</v>
      </c>
      <c r="I64" s="450">
        <f>+F64/E64</f>
        <v>3.1826883571039057E-2</v>
      </c>
    </row>
    <row r="65" spans="1:9" x14ac:dyDescent="0.25">
      <c r="A65" s="470">
        <v>212</v>
      </c>
      <c r="B65" s="474" t="s">
        <v>633</v>
      </c>
      <c r="C65" s="451">
        <f>C66</f>
        <v>216630.51210119019</v>
      </c>
      <c r="D65" s="451">
        <f>D66</f>
        <v>0</v>
      </c>
      <c r="E65" s="451">
        <f>+C65+D65</f>
        <v>216630.51210119019</v>
      </c>
      <c r="F65" s="451">
        <v>4364.6000000000004</v>
      </c>
      <c r="G65" s="451">
        <v>2466.87</v>
      </c>
      <c r="H65" s="451">
        <f>+E65-F65</f>
        <v>212265.91210119019</v>
      </c>
      <c r="I65" s="450">
        <f>+F65/E65</f>
        <v>2.0147669678042646E-2</v>
      </c>
    </row>
    <row r="66" spans="1:9" x14ac:dyDescent="0.25">
      <c r="A66" s="467">
        <v>21201</v>
      </c>
      <c r="B66" s="466" t="s">
        <v>633</v>
      </c>
      <c r="C66" s="452">
        <v>216630.51210119019</v>
      </c>
      <c r="D66" s="452">
        <v>0</v>
      </c>
      <c r="E66" s="451">
        <f>+C66+D66</f>
        <v>216630.51210119019</v>
      </c>
      <c r="F66" s="452">
        <v>4364.6000000000004</v>
      </c>
      <c r="G66" s="452">
        <v>2466.87</v>
      </c>
      <c r="H66" s="451">
        <f>+E66-F66</f>
        <v>212265.91210119019</v>
      </c>
      <c r="I66" s="450">
        <f>+F66/E66</f>
        <v>2.0147669678042646E-2</v>
      </c>
    </row>
    <row r="67" spans="1:9" ht="22.5" x14ac:dyDescent="0.25">
      <c r="A67" s="470">
        <v>214</v>
      </c>
      <c r="B67" s="474" t="s">
        <v>632</v>
      </c>
      <c r="C67" s="451">
        <f>C68</f>
        <v>450169.0015559491</v>
      </c>
      <c r="D67" s="451">
        <f>D68</f>
        <v>0</v>
      </c>
      <c r="E67" s="451">
        <f>+C67+D67</f>
        <v>450169.0015559491</v>
      </c>
      <c r="F67" s="451">
        <v>17736.599999999999</v>
      </c>
      <c r="G67" s="451">
        <v>17736.599999999999</v>
      </c>
      <c r="H67" s="451">
        <f>+E67-F67</f>
        <v>432432.40155594912</v>
      </c>
      <c r="I67" s="450">
        <f>+F67/E67</f>
        <v>3.9399869690484701E-2</v>
      </c>
    </row>
    <row r="68" spans="1:9" ht="22.5" x14ac:dyDescent="0.25">
      <c r="A68" s="467">
        <v>21401</v>
      </c>
      <c r="B68" s="466" t="s">
        <v>631</v>
      </c>
      <c r="C68" s="452">
        <v>450169.0015559491</v>
      </c>
      <c r="D68" s="452">
        <v>0</v>
      </c>
      <c r="E68" s="451">
        <f>+C68+D68</f>
        <v>450169.0015559491</v>
      </c>
      <c r="F68" s="452">
        <v>17736.599999999999</v>
      </c>
      <c r="G68" s="452">
        <v>17736.599999999999</v>
      </c>
      <c r="H68" s="451">
        <f>+E68-F68</f>
        <v>432432.40155594912</v>
      </c>
      <c r="I68" s="450">
        <f>+F68/E68</f>
        <v>3.9399869690484701E-2</v>
      </c>
    </row>
    <row r="69" spans="1:9" x14ac:dyDescent="0.25">
      <c r="A69" s="470">
        <v>215</v>
      </c>
      <c r="B69" s="474" t="s">
        <v>630</v>
      </c>
      <c r="C69" s="451">
        <f>C70</f>
        <v>2500</v>
      </c>
      <c r="D69" s="451">
        <f>D70</f>
        <v>0</v>
      </c>
      <c r="E69" s="451">
        <f>+C69+D69</f>
        <v>2500</v>
      </c>
      <c r="F69" s="451">
        <v>0</v>
      </c>
      <c r="G69" s="451">
        <v>0</v>
      </c>
      <c r="H69" s="451">
        <f>+E69-F69</f>
        <v>2500</v>
      </c>
      <c r="I69" s="450">
        <f>+F69/E69</f>
        <v>0</v>
      </c>
    </row>
    <row r="70" spans="1:9" x14ac:dyDescent="0.25">
      <c r="A70" s="467">
        <v>21501</v>
      </c>
      <c r="B70" s="466" t="s">
        <v>629</v>
      </c>
      <c r="C70" s="452">
        <v>2500</v>
      </c>
      <c r="D70" s="452">
        <v>0</v>
      </c>
      <c r="E70" s="451">
        <f>+C70+D70</f>
        <v>2500</v>
      </c>
      <c r="F70" s="452">
        <v>0</v>
      </c>
      <c r="G70" s="452">
        <v>0</v>
      </c>
      <c r="H70" s="451">
        <f>+E70-F70</f>
        <v>2500</v>
      </c>
      <c r="I70" s="450">
        <f>+F70/E70</f>
        <v>0</v>
      </c>
    </row>
    <row r="71" spans="1:9" x14ac:dyDescent="0.25">
      <c r="A71" s="470">
        <v>216</v>
      </c>
      <c r="B71" s="474" t="s">
        <v>628</v>
      </c>
      <c r="C71" s="451">
        <f>C72</f>
        <v>191367.96086570388</v>
      </c>
      <c r="D71" s="451">
        <f>D72</f>
        <v>0</v>
      </c>
      <c r="E71" s="451">
        <f>+C71+D71</f>
        <v>191367.96086570388</v>
      </c>
      <c r="F71" s="451">
        <v>33111.33</v>
      </c>
      <c r="G71" s="451">
        <v>13792.09</v>
      </c>
      <c r="H71" s="451">
        <f>+E71-F71</f>
        <v>158256.63086570386</v>
      </c>
      <c r="I71" s="450">
        <f>+F71/E71</f>
        <v>0.17302441772495297</v>
      </c>
    </row>
    <row r="72" spans="1:9" x14ac:dyDescent="0.25">
      <c r="A72" s="467">
        <v>21601</v>
      </c>
      <c r="B72" s="466" t="s">
        <v>628</v>
      </c>
      <c r="C72" s="452">
        <v>191367.96086570388</v>
      </c>
      <c r="D72" s="452">
        <v>0</v>
      </c>
      <c r="E72" s="451">
        <f>+C72+D72</f>
        <v>191367.96086570388</v>
      </c>
      <c r="F72" s="452">
        <v>33111.33</v>
      </c>
      <c r="G72" s="452">
        <v>13792.09</v>
      </c>
      <c r="H72" s="451">
        <f>+E72-F72</f>
        <v>158256.63086570386</v>
      </c>
      <c r="I72" s="450">
        <f>+F72/E72</f>
        <v>0.17302441772495297</v>
      </c>
    </row>
    <row r="73" spans="1:9" x14ac:dyDescent="0.25">
      <c r="A73" s="470">
        <v>217</v>
      </c>
      <c r="B73" s="474" t="s">
        <v>627</v>
      </c>
      <c r="C73" s="451">
        <f>C74</f>
        <v>0</v>
      </c>
      <c r="D73" s="451">
        <f>D74</f>
        <v>0</v>
      </c>
      <c r="E73" s="451">
        <f>+C73+D73</f>
        <v>0</v>
      </c>
      <c r="F73" s="451">
        <v>0</v>
      </c>
      <c r="G73" s="451">
        <v>0</v>
      </c>
      <c r="H73" s="451">
        <f>+E73-F73</f>
        <v>0</v>
      </c>
      <c r="I73" s="450"/>
    </row>
    <row r="74" spans="1:9" x14ac:dyDescent="0.25">
      <c r="A74" s="467">
        <v>21701</v>
      </c>
      <c r="B74" s="466" t="s">
        <v>626</v>
      </c>
      <c r="C74" s="452">
        <v>0</v>
      </c>
      <c r="D74" s="452">
        <v>0</v>
      </c>
      <c r="E74" s="451">
        <f>+C74+D74</f>
        <v>0</v>
      </c>
      <c r="F74" s="452">
        <v>0</v>
      </c>
      <c r="G74" s="452">
        <v>0</v>
      </c>
      <c r="H74" s="451">
        <f>+E74-F74</f>
        <v>0</v>
      </c>
      <c r="I74" s="450"/>
    </row>
    <row r="75" spans="1:9" ht="22.5" x14ac:dyDescent="0.25">
      <c r="A75" s="470">
        <v>218</v>
      </c>
      <c r="B75" s="474" t="s">
        <v>625</v>
      </c>
      <c r="C75" s="451">
        <f>C76+C77</f>
        <v>262145.25121519662</v>
      </c>
      <c r="D75" s="451">
        <f>D76+D77</f>
        <v>0</v>
      </c>
      <c r="E75" s="451">
        <f>+C75+D75</f>
        <v>262145.25121519662</v>
      </c>
      <c r="F75" s="451">
        <v>149373</v>
      </c>
      <c r="G75" s="451">
        <v>149373</v>
      </c>
      <c r="H75" s="451">
        <f>+E75-F75</f>
        <v>112772.25121519662</v>
      </c>
      <c r="I75" s="450">
        <f>+F75/E75</f>
        <v>0.56981005495071435</v>
      </c>
    </row>
    <row r="76" spans="1:9" x14ac:dyDescent="0.25">
      <c r="A76" s="467">
        <v>21801</v>
      </c>
      <c r="B76" s="466" t="s">
        <v>624</v>
      </c>
      <c r="C76" s="452">
        <v>262145.25121519662</v>
      </c>
      <c r="D76" s="452">
        <v>0</v>
      </c>
      <c r="E76" s="451">
        <f>+C76+D76</f>
        <v>262145.25121519662</v>
      </c>
      <c r="F76" s="452">
        <v>149373</v>
      </c>
      <c r="G76" s="452">
        <v>149373</v>
      </c>
      <c r="H76" s="451">
        <f>+E76-F76</f>
        <v>112772.25121519662</v>
      </c>
      <c r="I76" s="450">
        <f>+F76/E76</f>
        <v>0.56981005495071435</v>
      </c>
    </row>
    <row r="77" spans="1:9" x14ac:dyDescent="0.25">
      <c r="A77" s="467">
        <v>21802</v>
      </c>
      <c r="B77" s="466" t="s">
        <v>623</v>
      </c>
      <c r="C77" s="452">
        <v>0</v>
      </c>
      <c r="D77" s="452">
        <v>0</v>
      </c>
      <c r="E77" s="451">
        <f>+C77+D77</f>
        <v>0</v>
      </c>
      <c r="F77" s="452">
        <v>0</v>
      </c>
      <c r="G77" s="452">
        <v>0</v>
      </c>
      <c r="H77" s="451">
        <f>+E77-F77</f>
        <v>0</v>
      </c>
      <c r="I77" s="450"/>
    </row>
    <row r="78" spans="1:9" x14ac:dyDescent="0.25">
      <c r="A78" s="471">
        <v>2200</v>
      </c>
      <c r="B78" s="474" t="s">
        <v>622</v>
      </c>
      <c r="C78" s="451">
        <f>C79+C82</f>
        <v>495539.67176440824</v>
      </c>
      <c r="D78" s="451">
        <f>D79+D82</f>
        <v>0</v>
      </c>
      <c r="E78" s="451">
        <f>+C78+D78</f>
        <v>495539.67176440824</v>
      </c>
      <c r="F78" s="451">
        <v>130334.39</v>
      </c>
      <c r="G78" s="451">
        <v>85162.79</v>
      </c>
      <c r="H78" s="451">
        <f>+E78-F78</f>
        <v>365205.28176440822</v>
      </c>
      <c r="I78" s="450">
        <f>+F78/E78</f>
        <v>0.26301504687996841</v>
      </c>
    </row>
    <row r="79" spans="1:9" x14ac:dyDescent="0.25">
      <c r="A79" s="470">
        <v>221</v>
      </c>
      <c r="B79" s="474" t="s">
        <v>621</v>
      </c>
      <c r="C79" s="451">
        <f>C80+C81</f>
        <v>490156.01996440825</v>
      </c>
      <c r="D79" s="451">
        <f>D80+D81</f>
        <v>0</v>
      </c>
      <c r="E79" s="451">
        <f>+C79+D79</f>
        <v>490156.01996440825</v>
      </c>
      <c r="F79" s="451">
        <v>129565.51</v>
      </c>
      <c r="G79" s="451">
        <v>84393.91</v>
      </c>
      <c r="H79" s="451">
        <f>+E79-F79</f>
        <v>360590.50996440824</v>
      </c>
      <c r="I79" s="450">
        <f>+F79/E79</f>
        <v>0.26433524168367484</v>
      </c>
    </row>
    <row r="80" spans="1:9" x14ac:dyDescent="0.25">
      <c r="A80" s="467">
        <v>22101</v>
      </c>
      <c r="B80" s="466" t="s">
        <v>620</v>
      </c>
      <c r="C80" s="452">
        <v>310460.56596368557</v>
      </c>
      <c r="D80" s="452">
        <v>0</v>
      </c>
      <c r="E80" s="451">
        <f>+C80+D80</f>
        <v>310460.56596368557</v>
      </c>
      <c r="F80" s="452">
        <v>103417.51</v>
      </c>
      <c r="G80" s="452">
        <v>80790.91</v>
      </c>
      <c r="H80" s="451">
        <f>+E80-F80</f>
        <v>207043.05596368556</v>
      </c>
      <c r="I80" s="450">
        <f>+F80/E80</f>
        <v>0.33310997059799435</v>
      </c>
    </row>
    <row r="81" spans="1:9" x14ac:dyDescent="0.25">
      <c r="A81" s="467">
        <v>22106</v>
      </c>
      <c r="B81" s="466" t="s">
        <v>619</v>
      </c>
      <c r="C81" s="452">
        <v>179695.45400072268</v>
      </c>
      <c r="D81" s="452">
        <v>0</v>
      </c>
      <c r="E81" s="451">
        <f>+C81+D81</f>
        <v>179695.45400072268</v>
      </c>
      <c r="F81" s="452">
        <v>26148</v>
      </c>
      <c r="G81" s="452">
        <v>3603</v>
      </c>
      <c r="H81" s="451">
        <f>+E81-F81</f>
        <v>153547.45400072268</v>
      </c>
      <c r="I81" s="450">
        <f>+F81/E81</f>
        <v>0.14551286311280218</v>
      </c>
    </row>
    <row r="82" spans="1:9" x14ac:dyDescent="0.25">
      <c r="A82" s="470">
        <v>223</v>
      </c>
      <c r="B82" s="474" t="s">
        <v>618</v>
      </c>
      <c r="C82" s="451">
        <f>C83</f>
        <v>5383.6517999999996</v>
      </c>
      <c r="D82" s="451">
        <f>D83</f>
        <v>0</v>
      </c>
      <c r="E82" s="451">
        <f>+C82+D82</f>
        <v>5383.6517999999996</v>
      </c>
      <c r="F82" s="451">
        <v>768.88</v>
      </c>
      <c r="G82" s="451">
        <v>768.88</v>
      </c>
      <c r="H82" s="451">
        <f>+E82-F82</f>
        <v>4614.7717999999995</v>
      </c>
      <c r="I82" s="450">
        <f>+F82/E82</f>
        <v>0.14281755740592289</v>
      </c>
    </row>
    <row r="83" spans="1:9" x14ac:dyDescent="0.25">
      <c r="A83" s="467">
        <v>22301</v>
      </c>
      <c r="B83" s="466" t="s">
        <v>618</v>
      </c>
      <c r="C83" s="452">
        <v>5383.6517999999996</v>
      </c>
      <c r="D83" s="452">
        <v>0</v>
      </c>
      <c r="E83" s="451">
        <f>+C83+D83</f>
        <v>5383.6517999999996</v>
      </c>
      <c r="F83" s="452">
        <v>768.88</v>
      </c>
      <c r="G83" s="452">
        <v>768.88</v>
      </c>
      <c r="H83" s="451">
        <f>+E83-F83</f>
        <v>4614.7717999999995</v>
      </c>
      <c r="I83" s="450">
        <f>+F83/E83</f>
        <v>0.14281755740592289</v>
      </c>
    </row>
    <row r="84" spans="1:9" ht="22.5" x14ac:dyDescent="0.25">
      <c r="A84" s="471">
        <v>2300</v>
      </c>
      <c r="B84" s="474" t="s">
        <v>617</v>
      </c>
      <c r="C84" s="451">
        <f>C85</f>
        <v>6451276.4820699999</v>
      </c>
      <c r="D84" s="451">
        <f>D85</f>
        <v>1317063.78</v>
      </c>
      <c r="E84" s="451">
        <f>+C84+D84</f>
        <v>7768340.2620700002</v>
      </c>
      <c r="F84" s="451">
        <v>350257.08</v>
      </c>
      <c r="G84" s="451">
        <v>288778.07999999996</v>
      </c>
      <c r="H84" s="451">
        <f>+E84-F84</f>
        <v>7418083.1820700001</v>
      </c>
      <c r="I84" s="450">
        <f>+F84/E84</f>
        <v>4.5087762402759163E-2</v>
      </c>
    </row>
    <row r="85" spans="1:9" x14ac:dyDescent="0.25">
      <c r="A85" s="470">
        <v>239</v>
      </c>
      <c r="B85" s="474" t="s">
        <v>616</v>
      </c>
      <c r="C85" s="451">
        <f>C86</f>
        <v>6451276.4820699999</v>
      </c>
      <c r="D85" s="451">
        <f>D86</f>
        <v>1317063.78</v>
      </c>
      <c r="E85" s="451">
        <f>+C85+D85</f>
        <v>7768340.2620700002</v>
      </c>
      <c r="F85" s="451">
        <v>350257.08</v>
      </c>
      <c r="G85" s="451">
        <v>288778.07999999996</v>
      </c>
      <c r="H85" s="451">
        <f>+E85-F85</f>
        <v>7418083.1820700001</v>
      </c>
      <c r="I85" s="450">
        <f>+F85/E85</f>
        <v>4.5087762402759163E-2</v>
      </c>
    </row>
    <row r="86" spans="1:9" x14ac:dyDescent="0.25">
      <c r="A86" s="467">
        <v>23901</v>
      </c>
      <c r="B86" s="466" t="s">
        <v>616</v>
      </c>
      <c r="C86" s="452">
        <v>6451276.4820699999</v>
      </c>
      <c r="D86" s="452">
        <v>1317063.78</v>
      </c>
      <c r="E86" s="451">
        <f>+C86+D86</f>
        <v>7768340.2620700002</v>
      </c>
      <c r="F86" s="452">
        <v>350257.08</v>
      </c>
      <c r="G86" s="452">
        <v>288778.07999999996</v>
      </c>
      <c r="H86" s="451">
        <f>+E86-F86</f>
        <v>7418083.1820700001</v>
      </c>
      <c r="I86" s="450">
        <f>+F86/E86</f>
        <v>4.5087762402759163E-2</v>
      </c>
    </row>
    <row r="87" spans="1:9" x14ac:dyDescent="0.25">
      <c r="A87" s="471">
        <v>2400</v>
      </c>
      <c r="B87" s="474" t="s">
        <v>615</v>
      </c>
      <c r="C87" s="451">
        <f>C88+C92+C94+C96+C99</f>
        <v>647543.79660407268</v>
      </c>
      <c r="D87" s="451">
        <f>D88+D92+D94+D96+D99</f>
        <v>1500</v>
      </c>
      <c r="E87" s="451">
        <f>+C87+D87</f>
        <v>649043.79660407268</v>
      </c>
      <c r="F87" s="451">
        <v>80328.600000000006</v>
      </c>
      <c r="G87" s="451">
        <v>79483.64</v>
      </c>
      <c r="H87" s="451">
        <f>+E87-F87</f>
        <v>568715.1966040727</v>
      </c>
      <c r="I87" s="450">
        <f>+F87/E87</f>
        <v>0.12376452932805976</v>
      </c>
    </row>
    <row r="88" spans="1:9" x14ac:dyDescent="0.25">
      <c r="A88" s="470">
        <v>242</v>
      </c>
      <c r="B88" s="474" t="s">
        <v>614</v>
      </c>
      <c r="C88" s="451">
        <f>C89</f>
        <v>126007.24592760553</v>
      </c>
      <c r="D88" s="451">
        <f>D89</f>
        <v>0</v>
      </c>
      <c r="E88" s="451">
        <f>+C88+D88</f>
        <v>126007.24592760553</v>
      </c>
      <c r="F88" s="451">
        <v>14502.2</v>
      </c>
      <c r="G88" s="451">
        <v>14502.2</v>
      </c>
      <c r="H88" s="451">
        <f>+E88-F88</f>
        <v>111505.04592760553</v>
      </c>
      <c r="I88" s="450">
        <f>+F88/E88</f>
        <v>0.11509020686264261</v>
      </c>
    </row>
    <row r="89" spans="1:9" x14ac:dyDescent="0.25">
      <c r="A89" s="467">
        <v>24201</v>
      </c>
      <c r="B89" s="466" t="s">
        <v>614</v>
      </c>
      <c r="C89" s="452">
        <v>126007.24592760553</v>
      </c>
      <c r="D89" s="452">
        <v>0</v>
      </c>
      <c r="E89" s="451">
        <f>+C89+D89</f>
        <v>126007.24592760553</v>
      </c>
      <c r="F89" s="452">
        <v>14502.2</v>
      </c>
      <c r="G89" s="452">
        <v>14502.2</v>
      </c>
      <c r="H89" s="451">
        <f>+E89-F89</f>
        <v>111505.04592760553</v>
      </c>
      <c r="I89" s="450">
        <f>+F89/E89</f>
        <v>0.11509020686264261</v>
      </c>
    </row>
    <row r="90" spans="1:9" x14ac:dyDescent="0.25">
      <c r="A90" s="470">
        <v>243</v>
      </c>
      <c r="B90" s="474" t="s">
        <v>613</v>
      </c>
      <c r="C90" s="451">
        <f>C91</f>
        <v>0</v>
      </c>
      <c r="D90" s="451">
        <f>D91</f>
        <v>0</v>
      </c>
      <c r="E90" s="451">
        <f>+C90+D90</f>
        <v>0</v>
      </c>
      <c r="F90" s="451">
        <v>0</v>
      </c>
      <c r="G90" s="451">
        <v>0</v>
      </c>
      <c r="H90" s="451">
        <f>+E90-F90</f>
        <v>0</v>
      </c>
      <c r="I90" s="450"/>
    </row>
    <row r="91" spans="1:9" x14ac:dyDescent="0.25">
      <c r="A91" s="467">
        <v>24301</v>
      </c>
      <c r="B91" s="466" t="s">
        <v>612</v>
      </c>
      <c r="C91" s="452">
        <v>0</v>
      </c>
      <c r="D91" s="452">
        <v>0</v>
      </c>
      <c r="E91" s="451">
        <f>+C91+D91</f>
        <v>0</v>
      </c>
      <c r="F91" s="452">
        <v>0</v>
      </c>
      <c r="G91" s="452">
        <v>0</v>
      </c>
      <c r="H91" s="451">
        <f>+E91-F91</f>
        <v>0</v>
      </c>
      <c r="I91" s="450"/>
    </row>
    <row r="92" spans="1:9" x14ac:dyDescent="0.25">
      <c r="A92" s="470">
        <v>244</v>
      </c>
      <c r="B92" s="474" t="s">
        <v>611</v>
      </c>
      <c r="C92" s="451">
        <f>C93</f>
        <v>0</v>
      </c>
      <c r="D92" s="451">
        <v>0</v>
      </c>
      <c r="E92" s="451">
        <f>+C92+D92</f>
        <v>0</v>
      </c>
      <c r="F92" s="451">
        <v>0</v>
      </c>
      <c r="G92" s="451">
        <v>0</v>
      </c>
      <c r="H92" s="451">
        <f>+E92-F92</f>
        <v>0</v>
      </c>
      <c r="I92" s="450"/>
    </row>
    <row r="93" spans="1:9" x14ac:dyDescent="0.25">
      <c r="A93" s="467">
        <v>24401</v>
      </c>
      <c r="B93" s="466" t="s">
        <v>611</v>
      </c>
      <c r="C93" s="452">
        <v>0</v>
      </c>
      <c r="D93" s="452">
        <v>0</v>
      </c>
      <c r="E93" s="451">
        <f>+C93+D93</f>
        <v>0</v>
      </c>
      <c r="F93" s="452">
        <v>0</v>
      </c>
      <c r="G93" s="452">
        <v>0</v>
      </c>
      <c r="H93" s="451">
        <f>+E93-F93</f>
        <v>0</v>
      </c>
      <c r="I93" s="450"/>
    </row>
    <row r="94" spans="1:9" x14ac:dyDescent="0.25">
      <c r="A94" s="470">
        <v>245</v>
      </c>
      <c r="B94" s="474" t="s">
        <v>610</v>
      </c>
      <c r="C94" s="451">
        <f>C95</f>
        <v>0</v>
      </c>
      <c r="D94" s="451">
        <v>0</v>
      </c>
      <c r="E94" s="451">
        <f>+C94+D94</f>
        <v>0</v>
      </c>
      <c r="F94" s="451">
        <v>0</v>
      </c>
      <c r="G94" s="451">
        <v>0</v>
      </c>
      <c r="H94" s="451">
        <f>+E94-F94</f>
        <v>0</v>
      </c>
      <c r="I94" s="450"/>
    </row>
    <row r="95" spans="1:9" x14ac:dyDescent="0.25">
      <c r="A95" s="467">
        <v>24501</v>
      </c>
      <c r="B95" s="466" t="s">
        <v>610</v>
      </c>
      <c r="C95" s="452">
        <v>0</v>
      </c>
      <c r="D95" s="452">
        <v>0</v>
      </c>
      <c r="E95" s="451">
        <f>+C95+D95</f>
        <v>0</v>
      </c>
      <c r="F95" s="452">
        <v>0</v>
      </c>
      <c r="G95" s="452">
        <v>0</v>
      </c>
      <c r="H95" s="451">
        <f>+E95-F95</f>
        <v>0</v>
      </c>
      <c r="I95" s="450"/>
    </row>
    <row r="96" spans="1:9" x14ac:dyDescent="0.25">
      <c r="A96" s="470">
        <v>246</v>
      </c>
      <c r="B96" s="474" t="s">
        <v>609</v>
      </c>
      <c r="C96" s="451">
        <f>C97+C98</f>
        <v>521536.55067646713</v>
      </c>
      <c r="D96" s="451">
        <f>D97+D98</f>
        <v>1500</v>
      </c>
      <c r="E96" s="451">
        <f>+C96+D96</f>
        <v>523036.55067646713</v>
      </c>
      <c r="F96" s="451">
        <v>65826.400000000009</v>
      </c>
      <c r="G96" s="451">
        <v>64981.440000000002</v>
      </c>
      <c r="H96" s="451">
        <f>+E96-F96</f>
        <v>457210.15067646711</v>
      </c>
      <c r="I96" s="450">
        <f>+F96/E96</f>
        <v>0.12585430198876868</v>
      </c>
    </row>
    <row r="97" spans="1:9" x14ac:dyDescent="0.25">
      <c r="A97" s="467">
        <v>24601</v>
      </c>
      <c r="B97" s="466" t="s">
        <v>609</v>
      </c>
      <c r="C97" s="452">
        <v>521536.55067646713</v>
      </c>
      <c r="D97" s="452">
        <v>0</v>
      </c>
      <c r="E97" s="451">
        <f>+C97+D97</f>
        <v>521536.55067646713</v>
      </c>
      <c r="F97" s="452">
        <v>64409.400000000009</v>
      </c>
      <c r="G97" s="452">
        <v>63564.44</v>
      </c>
      <c r="H97" s="451">
        <f>+E97-F97</f>
        <v>457127.15067646711</v>
      </c>
      <c r="I97" s="450">
        <f>+F97/E97</f>
        <v>0.12349930204595784</v>
      </c>
    </row>
    <row r="98" spans="1:9" x14ac:dyDescent="0.25">
      <c r="A98" s="467">
        <v>24801</v>
      </c>
      <c r="B98" s="466" t="s">
        <v>608</v>
      </c>
      <c r="C98" s="452">
        <v>0</v>
      </c>
      <c r="D98" s="452">
        <v>1500</v>
      </c>
      <c r="E98" s="451">
        <f>+C98+D98</f>
        <v>1500</v>
      </c>
      <c r="F98" s="452">
        <v>1417</v>
      </c>
      <c r="G98" s="452">
        <v>1417</v>
      </c>
      <c r="H98" s="451">
        <f>+E98-F98</f>
        <v>83</v>
      </c>
      <c r="I98" s="450"/>
    </row>
    <row r="99" spans="1:9" ht="22.5" x14ac:dyDescent="0.25">
      <c r="A99" s="470">
        <v>249</v>
      </c>
      <c r="B99" s="474" t="s">
        <v>607</v>
      </c>
      <c r="C99" s="451">
        <f>C100</f>
        <v>0</v>
      </c>
      <c r="D99" s="451">
        <f>D100</f>
        <v>0</v>
      </c>
      <c r="E99" s="451">
        <f>+C99+D99</f>
        <v>0</v>
      </c>
      <c r="F99" s="451">
        <v>0</v>
      </c>
      <c r="G99" s="451">
        <v>0</v>
      </c>
      <c r="H99" s="451">
        <f>+E99-F99</f>
        <v>0</v>
      </c>
      <c r="I99" s="450"/>
    </row>
    <row r="100" spans="1:9" x14ac:dyDescent="0.25">
      <c r="A100" s="467">
        <v>24901</v>
      </c>
      <c r="B100" s="466" t="s">
        <v>607</v>
      </c>
      <c r="C100" s="452"/>
      <c r="D100" s="452">
        <v>0</v>
      </c>
      <c r="E100" s="451">
        <f>+C100+D100</f>
        <v>0</v>
      </c>
      <c r="F100" s="452">
        <v>0</v>
      </c>
      <c r="G100" s="452">
        <v>0</v>
      </c>
      <c r="H100" s="451">
        <f>+E100-F100</f>
        <v>0</v>
      </c>
      <c r="I100" s="450"/>
    </row>
    <row r="101" spans="1:9" x14ac:dyDescent="0.25">
      <c r="A101" s="471">
        <v>2500</v>
      </c>
      <c r="B101" s="474" t="s">
        <v>606</v>
      </c>
      <c r="C101" s="451">
        <f>C102+C104+C106+C108+C110</f>
        <v>7668652.7501789946</v>
      </c>
      <c r="D101" s="451">
        <f>D102+D104+D106+D108+D110</f>
        <v>0</v>
      </c>
      <c r="E101" s="451">
        <f>+C101+D101</f>
        <v>7668652.7501789946</v>
      </c>
      <c r="F101" s="451">
        <v>13188.62</v>
      </c>
      <c r="G101" s="451">
        <v>9457.3799999999992</v>
      </c>
      <c r="H101" s="451">
        <f>+E101-F101</f>
        <v>7655464.1301789945</v>
      </c>
      <c r="I101" s="450">
        <f>+F101/E101</f>
        <v>1.7198092585026966E-3</v>
      </c>
    </row>
    <row r="102" spans="1:9" x14ac:dyDescent="0.25">
      <c r="A102" s="470">
        <v>251</v>
      </c>
      <c r="B102" s="474" t="s">
        <v>605</v>
      </c>
      <c r="C102" s="451">
        <f>C103</f>
        <v>0</v>
      </c>
      <c r="D102" s="451">
        <f>D103</f>
        <v>0</v>
      </c>
      <c r="E102" s="451">
        <f>+C102+D102</f>
        <v>0</v>
      </c>
      <c r="F102" s="451">
        <v>0</v>
      </c>
      <c r="G102" s="451">
        <v>0</v>
      </c>
      <c r="H102" s="451">
        <f>+E102-F102</f>
        <v>0</v>
      </c>
      <c r="I102" s="450"/>
    </row>
    <row r="103" spans="1:9" x14ac:dyDescent="0.25">
      <c r="A103" s="467">
        <v>25101</v>
      </c>
      <c r="B103" s="466" t="s">
        <v>605</v>
      </c>
      <c r="C103" s="451">
        <v>0</v>
      </c>
      <c r="D103" s="452">
        <v>0</v>
      </c>
      <c r="E103" s="451">
        <f>+C103+D103</f>
        <v>0</v>
      </c>
      <c r="F103" s="451">
        <v>0</v>
      </c>
      <c r="G103" s="451">
        <v>0</v>
      </c>
      <c r="H103" s="451">
        <f>+E103-F103</f>
        <v>0</v>
      </c>
      <c r="I103" s="450"/>
    </row>
    <row r="104" spans="1:9" x14ac:dyDescent="0.25">
      <c r="A104" s="470">
        <v>252</v>
      </c>
      <c r="B104" s="474" t="s">
        <v>604</v>
      </c>
      <c r="C104" s="451">
        <f>C105</f>
        <v>0</v>
      </c>
      <c r="D104" s="451">
        <f>D105</f>
        <v>0</v>
      </c>
      <c r="E104" s="451">
        <f>+C104+D104</f>
        <v>0</v>
      </c>
      <c r="F104" s="451">
        <v>0</v>
      </c>
      <c r="G104" s="451">
        <v>0</v>
      </c>
      <c r="H104" s="451">
        <f>+E104-F104</f>
        <v>0</v>
      </c>
      <c r="I104" s="450"/>
    </row>
    <row r="105" spans="1:9" x14ac:dyDescent="0.25">
      <c r="A105" s="467">
        <v>25201</v>
      </c>
      <c r="B105" s="466" t="s">
        <v>604</v>
      </c>
      <c r="C105" s="452">
        <v>0</v>
      </c>
      <c r="D105" s="452">
        <v>0</v>
      </c>
      <c r="E105" s="451">
        <f>+C105+D105</f>
        <v>0</v>
      </c>
      <c r="F105" s="452">
        <v>0</v>
      </c>
      <c r="G105" s="452">
        <v>0</v>
      </c>
      <c r="H105" s="451">
        <f>+E105-F105</f>
        <v>0</v>
      </c>
      <c r="I105" s="450"/>
    </row>
    <row r="106" spans="1:9" x14ac:dyDescent="0.25">
      <c r="A106" s="470">
        <v>253</v>
      </c>
      <c r="B106" s="474" t="s">
        <v>603</v>
      </c>
      <c r="C106" s="451">
        <f>C107</f>
        <v>17050.360216439713</v>
      </c>
      <c r="D106" s="451">
        <f>D107</f>
        <v>0</v>
      </c>
      <c r="E106" s="451">
        <f>+C106+D106</f>
        <v>17050.360216439713</v>
      </c>
      <c r="F106" s="451">
        <v>11358.18</v>
      </c>
      <c r="G106" s="451">
        <v>7626.94</v>
      </c>
      <c r="H106" s="451">
        <f>+E106-F106</f>
        <v>5692.1802164397122</v>
      </c>
      <c r="I106" s="450">
        <f>+F106/E106</f>
        <v>0.66615484106010892</v>
      </c>
    </row>
    <row r="107" spans="1:9" x14ac:dyDescent="0.25">
      <c r="A107" s="467">
        <v>25301</v>
      </c>
      <c r="B107" s="466" t="s">
        <v>603</v>
      </c>
      <c r="C107" s="452">
        <v>17050.360216439713</v>
      </c>
      <c r="D107" s="452">
        <v>0</v>
      </c>
      <c r="E107" s="451">
        <f>+C107+D107</f>
        <v>17050.360216439713</v>
      </c>
      <c r="F107" s="452">
        <v>11358.18</v>
      </c>
      <c r="G107" s="452">
        <v>7626.94</v>
      </c>
      <c r="H107" s="451">
        <f>+E107-F107</f>
        <v>5692.1802164397122</v>
      </c>
      <c r="I107" s="450">
        <f>+F107/E107</f>
        <v>0.66615484106010892</v>
      </c>
    </row>
    <row r="108" spans="1:9" x14ac:dyDescent="0.25">
      <c r="A108" s="470">
        <v>255</v>
      </c>
      <c r="B108" s="474" t="s">
        <v>602</v>
      </c>
      <c r="C108" s="451">
        <f>C109</f>
        <v>0</v>
      </c>
      <c r="D108" s="451">
        <f>D109</f>
        <v>0</v>
      </c>
      <c r="E108" s="451">
        <f>+C108+D108</f>
        <v>0</v>
      </c>
      <c r="F108" s="451">
        <v>0</v>
      </c>
      <c r="G108" s="451">
        <v>0</v>
      </c>
      <c r="H108" s="451">
        <f>+E108-F108</f>
        <v>0</v>
      </c>
      <c r="I108" s="450"/>
    </row>
    <row r="109" spans="1:9" x14ac:dyDescent="0.25">
      <c r="A109" s="467">
        <v>25501</v>
      </c>
      <c r="B109" s="466" t="s">
        <v>602</v>
      </c>
      <c r="C109" s="452"/>
      <c r="D109" s="452">
        <v>0</v>
      </c>
      <c r="E109" s="451">
        <f>+C109+D109</f>
        <v>0</v>
      </c>
      <c r="F109" s="452">
        <v>0</v>
      </c>
      <c r="G109" s="452">
        <v>0</v>
      </c>
      <c r="H109" s="451">
        <f>+E109-F109</f>
        <v>0</v>
      </c>
      <c r="I109" s="450"/>
    </row>
    <row r="110" spans="1:9" x14ac:dyDescent="0.25">
      <c r="A110" s="470">
        <v>259</v>
      </c>
      <c r="B110" s="474" t="s">
        <v>601</v>
      </c>
      <c r="C110" s="451">
        <f>C111</f>
        <v>7651602.3899625549</v>
      </c>
      <c r="D110" s="451">
        <f>D111</f>
        <v>0</v>
      </c>
      <c r="E110" s="451">
        <f>+C110+D110</f>
        <v>7651602.3899625549</v>
      </c>
      <c r="F110" s="451">
        <v>1830.44</v>
      </c>
      <c r="G110" s="451">
        <v>1830.44</v>
      </c>
      <c r="H110" s="451">
        <f>+E110-F110</f>
        <v>7649771.9499625545</v>
      </c>
      <c r="I110" s="450">
        <f>+F110/E110</f>
        <v>2.3922309428952931E-4</v>
      </c>
    </row>
    <row r="111" spans="1:9" x14ac:dyDescent="0.25">
      <c r="A111" s="467">
        <v>25901</v>
      </c>
      <c r="B111" s="466" t="s">
        <v>601</v>
      </c>
      <c r="C111" s="452">
        <v>7651602.3899625549</v>
      </c>
      <c r="D111" s="452">
        <v>0</v>
      </c>
      <c r="E111" s="451">
        <f>+C111+D111</f>
        <v>7651602.3899625549</v>
      </c>
      <c r="F111" s="452">
        <v>1830.44</v>
      </c>
      <c r="G111" s="452">
        <v>1830.44</v>
      </c>
      <c r="H111" s="451">
        <f>+E111-F111</f>
        <v>7649771.9499625545</v>
      </c>
      <c r="I111" s="450">
        <f>+F111/E111</f>
        <v>2.3922309428952931E-4</v>
      </c>
    </row>
    <row r="112" spans="1:9" x14ac:dyDescent="0.25">
      <c r="A112" s="471">
        <v>2600</v>
      </c>
      <c r="B112" s="474" t="s">
        <v>600</v>
      </c>
      <c r="C112" s="451">
        <f>C113</f>
        <v>7323123.8132909173</v>
      </c>
      <c r="D112" s="451">
        <f>D113</f>
        <v>196484.22</v>
      </c>
      <c r="E112" s="451">
        <f>+C112+D112</f>
        <v>7519608.0332909171</v>
      </c>
      <c r="F112" s="451">
        <v>2573659.7000000002</v>
      </c>
      <c r="G112" s="451">
        <v>1762729.69</v>
      </c>
      <c r="H112" s="451">
        <f>+E112-F112</f>
        <v>4945948.3332909169</v>
      </c>
      <c r="I112" s="450">
        <f>+F112/E112</f>
        <v>0.34225982107123892</v>
      </c>
    </row>
    <row r="113" spans="1:9" x14ac:dyDescent="0.25">
      <c r="A113" s="470">
        <v>261</v>
      </c>
      <c r="B113" s="474" t="s">
        <v>600</v>
      </c>
      <c r="C113" s="451">
        <f>SUM(C114:C115)</f>
        <v>7323123.8132909173</v>
      </c>
      <c r="D113" s="451">
        <f>SUM(D114:D115)</f>
        <v>196484.22</v>
      </c>
      <c r="E113" s="451">
        <f>+C113+D113</f>
        <v>7519608.0332909171</v>
      </c>
      <c r="F113" s="451">
        <v>2573659.7000000002</v>
      </c>
      <c r="G113" s="451">
        <v>1762729.69</v>
      </c>
      <c r="H113" s="451">
        <f>+E113-F113</f>
        <v>4945948.3332909169</v>
      </c>
      <c r="I113" s="450">
        <f>+F113/E113</f>
        <v>0.34225982107123892</v>
      </c>
    </row>
    <row r="114" spans="1:9" x14ac:dyDescent="0.25">
      <c r="A114" s="467">
        <v>26101</v>
      </c>
      <c r="B114" s="466" t="s">
        <v>599</v>
      </c>
      <c r="C114" s="452">
        <v>6902254.4553108262</v>
      </c>
      <c r="D114" s="452">
        <v>196484.22</v>
      </c>
      <c r="E114" s="451">
        <f>+C114+D114</f>
        <v>7098738.6753108259</v>
      </c>
      <c r="F114" s="452">
        <v>2451351.3100000005</v>
      </c>
      <c r="G114" s="452">
        <v>1681586.57</v>
      </c>
      <c r="H114" s="451">
        <f>+E114-F114</f>
        <v>4647387.3653108254</v>
      </c>
      <c r="I114" s="450">
        <f>+F114/E114</f>
        <v>0.34532209482872189</v>
      </c>
    </row>
    <row r="115" spans="1:9" x14ac:dyDescent="0.25">
      <c r="A115" s="467">
        <v>26102</v>
      </c>
      <c r="B115" s="466" t="s">
        <v>598</v>
      </c>
      <c r="C115" s="452">
        <v>420869.35798009124</v>
      </c>
      <c r="D115" s="452">
        <v>0</v>
      </c>
      <c r="E115" s="451">
        <f>+C115+D115</f>
        <v>420869.35798009124</v>
      </c>
      <c r="F115" s="452">
        <v>122308.39</v>
      </c>
      <c r="G115" s="452">
        <v>81143.12</v>
      </c>
      <c r="H115" s="451">
        <f>+E115-F115</f>
        <v>298560.96798009123</v>
      </c>
      <c r="I115" s="450">
        <f>+F115/E115</f>
        <v>0.29060892098917229</v>
      </c>
    </row>
    <row r="116" spans="1:9" ht="22.5" x14ac:dyDescent="0.25">
      <c r="A116" s="471">
        <v>2700</v>
      </c>
      <c r="B116" s="474" t="s">
        <v>597</v>
      </c>
      <c r="C116" s="451">
        <f>C117+C119</f>
        <v>2068168.613606584</v>
      </c>
      <c r="D116" s="451">
        <f>D117+D119</f>
        <v>430567.76</v>
      </c>
      <c r="E116" s="451">
        <f>+C116+D116</f>
        <v>2498736.373606584</v>
      </c>
      <c r="F116" s="451">
        <v>20739.95</v>
      </c>
      <c r="G116" s="451">
        <v>15458.369999999999</v>
      </c>
      <c r="H116" s="451">
        <f>+E116-F116</f>
        <v>2477996.4236065838</v>
      </c>
      <c r="I116" s="450">
        <f>+F116/E116</f>
        <v>8.3001753282459009E-3</v>
      </c>
    </row>
    <row r="117" spans="1:9" x14ac:dyDescent="0.25">
      <c r="A117" s="470">
        <v>271</v>
      </c>
      <c r="B117" s="474" t="s">
        <v>596</v>
      </c>
      <c r="C117" s="451">
        <f>C118</f>
        <v>1912274.6190116936</v>
      </c>
      <c r="D117" s="451">
        <f>D118</f>
        <v>430567.76</v>
      </c>
      <c r="E117" s="451">
        <f>+C117+D117</f>
        <v>2342842.3790116934</v>
      </c>
      <c r="F117" s="451">
        <v>8073.6</v>
      </c>
      <c r="G117" s="451">
        <v>8073.6</v>
      </c>
      <c r="H117" s="451">
        <f>+E117-F117</f>
        <v>2334768.7790116933</v>
      </c>
      <c r="I117" s="450">
        <f>+F117/E117</f>
        <v>3.4460704963881414E-3</v>
      </c>
    </row>
    <row r="118" spans="1:9" x14ac:dyDescent="0.25">
      <c r="A118" s="467">
        <v>27101</v>
      </c>
      <c r="B118" s="466" t="s">
        <v>596</v>
      </c>
      <c r="C118" s="452">
        <v>1912274.6190116936</v>
      </c>
      <c r="D118" s="452">
        <v>430567.76</v>
      </c>
      <c r="E118" s="451">
        <f>+C118+D118</f>
        <v>2342842.3790116934</v>
      </c>
      <c r="F118" s="452">
        <v>8073.6</v>
      </c>
      <c r="G118" s="452">
        <v>8073.6</v>
      </c>
      <c r="H118" s="451">
        <f>+E118-F118</f>
        <v>2334768.7790116933</v>
      </c>
      <c r="I118" s="450">
        <f>+F118/E118</f>
        <v>3.4460704963881414E-3</v>
      </c>
    </row>
    <row r="119" spans="1:9" x14ac:dyDescent="0.25">
      <c r="A119" s="470">
        <v>272</v>
      </c>
      <c r="B119" s="474" t="s">
        <v>595</v>
      </c>
      <c r="C119" s="451">
        <f>C120</f>
        <v>155893.99459489042</v>
      </c>
      <c r="D119" s="451">
        <f>D120</f>
        <v>0</v>
      </c>
      <c r="E119" s="451">
        <f>+C119+D119</f>
        <v>155893.99459489042</v>
      </c>
      <c r="F119" s="451">
        <v>12666.349999999999</v>
      </c>
      <c r="G119" s="451">
        <v>7384.77</v>
      </c>
      <c r="H119" s="451">
        <f>+E119-F119</f>
        <v>143227.64459489041</v>
      </c>
      <c r="I119" s="450">
        <f>+F119/E119</f>
        <v>8.1249762269002448E-2</v>
      </c>
    </row>
    <row r="120" spans="1:9" x14ac:dyDescent="0.25">
      <c r="A120" s="467">
        <v>27201</v>
      </c>
      <c r="B120" s="466" t="s">
        <v>595</v>
      </c>
      <c r="C120" s="452">
        <v>155893.99459489042</v>
      </c>
      <c r="D120" s="452">
        <v>0</v>
      </c>
      <c r="E120" s="451">
        <f>+C120+D120</f>
        <v>155893.99459489042</v>
      </c>
      <c r="F120" s="452">
        <v>12666.349999999999</v>
      </c>
      <c r="G120" s="452">
        <v>7384.77</v>
      </c>
      <c r="H120" s="451">
        <f>+E120-F120</f>
        <v>143227.64459489041</v>
      </c>
      <c r="I120" s="450">
        <f>+F120/E120</f>
        <v>8.1249762269002448E-2</v>
      </c>
    </row>
    <row r="121" spans="1:9" x14ac:dyDescent="0.25">
      <c r="A121" s="471">
        <v>2900</v>
      </c>
      <c r="B121" s="474" t="s">
        <v>594</v>
      </c>
      <c r="C121" s="451">
        <f>C122+C124+C126+C128+C130+C132</f>
        <v>2387835.9546775939</v>
      </c>
      <c r="D121" s="451">
        <f>D122+D124+D126+D128+D130+D132</f>
        <v>170888.56</v>
      </c>
      <c r="E121" s="451">
        <f>+C121+D121</f>
        <v>2558724.514677594</v>
      </c>
      <c r="F121" s="451">
        <v>550987.29</v>
      </c>
      <c r="G121" s="451">
        <v>398162.55</v>
      </c>
      <c r="H121" s="451">
        <f>+E121-F121</f>
        <v>2007737.2246775939</v>
      </c>
      <c r="I121" s="450">
        <f>+F121/E121</f>
        <v>0.21533669874946498</v>
      </c>
    </row>
    <row r="122" spans="1:9" x14ac:dyDescent="0.25">
      <c r="A122" s="470">
        <v>291</v>
      </c>
      <c r="B122" s="474" t="s">
        <v>593</v>
      </c>
      <c r="C122" s="451">
        <f>C123</f>
        <v>251889.28417526121</v>
      </c>
      <c r="D122" s="451">
        <f>D123</f>
        <v>0</v>
      </c>
      <c r="E122" s="451">
        <f>+C122+D122</f>
        <v>251889.28417526121</v>
      </c>
      <c r="F122" s="451">
        <v>46220.68</v>
      </c>
      <c r="G122" s="451">
        <v>35396.909999999996</v>
      </c>
      <c r="H122" s="451">
        <f>+E122-F122</f>
        <v>205668.60417526122</v>
      </c>
      <c r="I122" s="450">
        <f>+F122/E122</f>
        <v>0.18349601552656866</v>
      </c>
    </row>
    <row r="123" spans="1:9" x14ac:dyDescent="0.25">
      <c r="A123" s="467">
        <v>29101</v>
      </c>
      <c r="B123" s="466" t="s">
        <v>593</v>
      </c>
      <c r="C123" s="452">
        <v>251889.28417526121</v>
      </c>
      <c r="D123" s="452">
        <v>0</v>
      </c>
      <c r="E123" s="451">
        <f>+C123+D123</f>
        <v>251889.28417526121</v>
      </c>
      <c r="F123" s="452">
        <v>46220.68</v>
      </c>
      <c r="G123" s="452">
        <v>35396.909999999996</v>
      </c>
      <c r="H123" s="451">
        <f>+E123-F123</f>
        <v>205668.60417526122</v>
      </c>
      <c r="I123" s="450">
        <f>+F123/E123</f>
        <v>0.18349601552656866</v>
      </c>
    </row>
    <row r="124" spans="1:9" x14ac:dyDescent="0.25">
      <c r="A124" s="470">
        <v>292</v>
      </c>
      <c r="B124" s="474" t="s">
        <v>592</v>
      </c>
      <c r="C124" s="451">
        <f>C125</f>
        <v>40453.74506604093</v>
      </c>
      <c r="D124" s="451">
        <f>D125</f>
        <v>0</v>
      </c>
      <c r="E124" s="451">
        <f>+C124+D124</f>
        <v>40453.74506604093</v>
      </c>
      <c r="F124" s="451">
        <v>3199.15</v>
      </c>
      <c r="G124" s="451">
        <v>3199.15</v>
      </c>
      <c r="H124" s="451">
        <f>+E124-F124</f>
        <v>37254.595066040929</v>
      </c>
      <c r="I124" s="450">
        <f>+F124/E124</f>
        <v>7.9081676981386337E-2</v>
      </c>
    </row>
    <row r="125" spans="1:9" x14ac:dyDescent="0.25">
      <c r="A125" s="467">
        <v>29201</v>
      </c>
      <c r="B125" s="466" t="s">
        <v>592</v>
      </c>
      <c r="C125" s="452">
        <v>40453.74506604093</v>
      </c>
      <c r="D125" s="452">
        <v>0</v>
      </c>
      <c r="E125" s="451">
        <f>+C125+D125</f>
        <v>40453.74506604093</v>
      </c>
      <c r="F125" s="452">
        <v>3199.15</v>
      </c>
      <c r="G125" s="452">
        <v>3199.15</v>
      </c>
      <c r="H125" s="451">
        <f>+E125-F125</f>
        <v>37254.595066040929</v>
      </c>
      <c r="I125" s="450">
        <f>+F125/E125</f>
        <v>7.9081676981386337E-2</v>
      </c>
    </row>
    <row r="126" spans="1:9" ht="22.5" x14ac:dyDescent="0.25">
      <c r="A126" s="470">
        <v>293</v>
      </c>
      <c r="B126" s="474" t="s">
        <v>591</v>
      </c>
      <c r="C126" s="451">
        <f>C127</f>
        <v>7147.9015132493396</v>
      </c>
      <c r="D126" s="451">
        <f>D127</f>
        <v>0</v>
      </c>
      <c r="E126" s="451">
        <f>+C126+D126</f>
        <v>7147.9015132493396</v>
      </c>
      <c r="F126" s="451">
        <v>1275</v>
      </c>
      <c r="G126" s="451">
        <v>1275</v>
      </c>
      <c r="H126" s="451">
        <f>+E126-F126</f>
        <v>5872.9015132493396</v>
      </c>
      <c r="I126" s="450">
        <f>+F126/E126</f>
        <v>0.17837403014530376</v>
      </c>
    </row>
    <row r="127" spans="1:9" ht="22.5" x14ac:dyDescent="0.25">
      <c r="A127" s="467">
        <v>29301</v>
      </c>
      <c r="B127" s="466" t="s">
        <v>590</v>
      </c>
      <c r="C127" s="452">
        <v>7147.9015132493396</v>
      </c>
      <c r="D127" s="452">
        <v>0</v>
      </c>
      <c r="E127" s="451">
        <f>+C127+D127</f>
        <v>7147.9015132493396</v>
      </c>
      <c r="F127" s="452">
        <v>1275</v>
      </c>
      <c r="G127" s="452">
        <v>1275</v>
      </c>
      <c r="H127" s="451">
        <f>+E127-F127</f>
        <v>5872.9015132493396</v>
      </c>
      <c r="I127" s="450">
        <f>+F127/E127</f>
        <v>0.17837403014530376</v>
      </c>
    </row>
    <row r="128" spans="1:9" ht="22.5" x14ac:dyDescent="0.25">
      <c r="A128" s="470">
        <v>294</v>
      </c>
      <c r="B128" s="474" t="s">
        <v>589</v>
      </c>
      <c r="C128" s="451">
        <f>C129</f>
        <v>66943.220433427457</v>
      </c>
      <c r="D128" s="451">
        <f>D129</f>
        <v>0</v>
      </c>
      <c r="E128" s="451">
        <f>+C128+D128</f>
        <v>66943.220433427457</v>
      </c>
      <c r="F128" s="451">
        <v>762.98</v>
      </c>
      <c r="G128" s="451">
        <v>762.98</v>
      </c>
      <c r="H128" s="451">
        <f>+E128-F128</f>
        <v>66180.240433427462</v>
      </c>
      <c r="I128" s="450">
        <f>+F128/E128</f>
        <v>1.1397420008479504E-2</v>
      </c>
    </row>
    <row r="129" spans="1:9" ht="22.5" x14ac:dyDescent="0.25">
      <c r="A129" s="467">
        <v>29401</v>
      </c>
      <c r="B129" s="466" t="s">
        <v>589</v>
      </c>
      <c r="C129" s="452">
        <v>66943.220433427457</v>
      </c>
      <c r="D129" s="452">
        <v>0</v>
      </c>
      <c r="E129" s="451">
        <f>+C129+D129</f>
        <v>66943.220433427457</v>
      </c>
      <c r="F129" s="452">
        <v>762.98</v>
      </c>
      <c r="G129" s="452">
        <v>762.98</v>
      </c>
      <c r="H129" s="451">
        <f>+E129-F129</f>
        <v>66180.240433427462</v>
      </c>
      <c r="I129" s="450">
        <f>+F129/E129</f>
        <v>1.1397420008479504E-2</v>
      </c>
    </row>
    <row r="130" spans="1:9" ht="22.5" x14ac:dyDescent="0.25">
      <c r="A130" s="470">
        <v>296</v>
      </c>
      <c r="B130" s="474" t="s">
        <v>588</v>
      </c>
      <c r="C130" s="451">
        <f>C131</f>
        <v>1228244.9277371359</v>
      </c>
      <c r="D130" s="451">
        <f>D131</f>
        <v>62452.020000000004</v>
      </c>
      <c r="E130" s="451">
        <f>+C130+D130</f>
        <v>1290696.9477371359</v>
      </c>
      <c r="F130" s="451">
        <v>338568.1</v>
      </c>
      <c r="G130" s="451">
        <v>220758.16</v>
      </c>
      <c r="H130" s="451">
        <f>+E130-F130</f>
        <v>952128.84773713595</v>
      </c>
      <c r="I130" s="450">
        <f>+F130/E130</f>
        <v>0.26231417111009775</v>
      </c>
    </row>
    <row r="131" spans="1:9" x14ac:dyDescent="0.25">
      <c r="A131" s="467">
        <v>29601</v>
      </c>
      <c r="B131" s="466" t="s">
        <v>588</v>
      </c>
      <c r="C131" s="452">
        <v>1228244.9277371359</v>
      </c>
      <c r="D131" s="452">
        <v>62452.020000000004</v>
      </c>
      <c r="E131" s="451">
        <f>+C131+D131</f>
        <v>1290696.9477371359</v>
      </c>
      <c r="F131" s="452">
        <v>338568.1</v>
      </c>
      <c r="G131" s="452">
        <v>220758.16</v>
      </c>
      <c r="H131" s="451">
        <f>+E131-F131</f>
        <v>952128.84773713595</v>
      </c>
      <c r="I131" s="450">
        <f>+F131/E131</f>
        <v>0.26231417111009775</v>
      </c>
    </row>
    <row r="132" spans="1:9" ht="22.5" x14ac:dyDescent="0.25">
      <c r="A132" s="470">
        <v>298</v>
      </c>
      <c r="B132" s="474" t="s">
        <v>587</v>
      </c>
      <c r="C132" s="451">
        <f>C133</f>
        <v>793156.87575247907</v>
      </c>
      <c r="D132" s="451">
        <f>D133</f>
        <v>108436.54</v>
      </c>
      <c r="E132" s="451">
        <f>+C132+D132</f>
        <v>901593.41575247911</v>
      </c>
      <c r="F132" s="451">
        <v>160961.38</v>
      </c>
      <c r="G132" s="451">
        <v>136770.35</v>
      </c>
      <c r="H132" s="451">
        <f>+E132-F132</f>
        <v>740632.0357524791</v>
      </c>
      <c r="I132" s="450">
        <f>+F132/E132</f>
        <v>0.17852989738801495</v>
      </c>
    </row>
    <row r="133" spans="1:9" ht="22.5" x14ac:dyDescent="0.25">
      <c r="A133" s="467">
        <v>29801</v>
      </c>
      <c r="B133" s="466" t="s">
        <v>587</v>
      </c>
      <c r="C133" s="452">
        <v>793156.87575247907</v>
      </c>
      <c r="D133" s="452">
        <f>110936.54-1500-1000</f>
        <v>108436.54</v>
      </c>
      <c r="E133" s="451">
        <f>+C133+D133</f>
        <v>901593.41575247911</v>
      </c>
      <c r="F133" s="452">
        <v>160961.38</v>
      </c>
      <c r="G133" s="452">
        <v>136770.35</v>
      </c>
      <c r="H133" s="451">
        <f>+E133-F133</f>
        <v>740632.0357524791</v>
      </c>
      <c r="I133" s="450">
        <f>+F133/E133</f>
        <v>0.17852989738801495</v>
      </c>
    </row>
    <row r="134" spans="1:9" x14ac:dyDescent="0.25">
      <c r="A134" s="467"/>
      <c r="B134" s="466"/>
      <c r="C134" s="452">
        <v>0</v>
      </c>
      <c r="D134" s="452">
        <v>0</v>
      </c>
      <c r="E134" s="451">
        <f>+C134+D134</f>
        <v>0</v>
      </c>
      <c r="F134" s="452">
        <v>0</v>
      </c>
      <c r="G134" s="452">
        <v>0</v>
      </c>
      <c r="H134" s="451">
        <f>+E134-F134</f>
        <v>0</v>
      </c>
      <c r="I134" s="450"/>
    </row>
    <row r="135" spans="1:9" x14ac:dyDescent="0.25">
      <c r="A135" s="463">
        <v>3000</v>
      </c>
      <c r="B135" s="474" t="s">
        <v>586</v>
      </c>
      <c r="C135" s="451">
        <f>C136+C153+C167+C186+C195+C212+C221+C236+C245</f>
        <v>174368088.12890899</v>
      </c>
      <c r="D135" s="451">
        <f>D136+D153+D167+D186+D195+D212+D221+D236+D245</f>
        <v>5746870.6600000001</v>
      </c>
      <c r="E135" s="451">
        <f>+C135+D135</f>
        <v>180114958.78890899</v>
      </c>
      <c r="F135" s="451">
        <v>51181337.519999996</v>
      </c>
      <c r="G135" s="451">
        <v>40214326.640000001</v>
      </c>
      <c r="H135" s="451">
        <f>+E135-F135</f>
        <v>128933621.26890899</v>
      </c>
      <c r="I135" s="450">
        <f>+F135/E135</f>
        <v>0.28415928284992403</v>
      </c>
    </row>
    <row r="136" spans="1:9" x14ac:dyDescent="0.25">
      <c r="A136" s="471">
        <v>3100</v>
      </c>
      <c r="B136" s="474" t="s">
        <v>585</v>
      </c>
      <c r="C136" s="451">
        <f>C137+C139+C141+C143+C145+C147+C149+C151</f>
        <v>111236399.01198274</v>
      </c>
      <c r="D136" s="451">
        <f>D137+D139+D141+D143+D145+D147+D149+D151</f>
        <v>-9353481</v>
      </c>
      <c r="E136" s="451">
        <f>+C136+D136</f>
        <v>101882918.01198274</v>
      </c>
      <c r="F136" s="451">
        <v>26914223.329999998</v>
      </c>
      <c r="G136" s="451">
        <v>22845897.449999996</v>
      </c>
      <c r="H136" s="451">
        <f>+E136-F136</f>
        <v>74968694.681982741</v>
      </c>
      <c r="I136" s="450">
        <f>+F136/E136</f>
        <v>0.26416816336998261</v>
      </c>
    </row>
    <row r="137" spans="1:9" x14ac:dyDescent="0.25">
      <c r="A137" s="470">
        <v>311</v>
      </c>
      <c r="B137" s="474" t="s">
        <v>584</v>
      </c>
      <c r="C137" s="451">
        <f>C138</f>
        <v>110500794.92643769</v>
      </c>
      <c r="D137" s="451">
        <f>D138</f>
        <v>-9353481</v>
      </c>
      <c r="E137" s="451">
        <f>+C137+D137</f>
        <v>101147313.92643769</v>
      </c>
      <c r="F137" s="451">
        <v>26724505.539999999</v>
      </c>
      <c r="G137" s="451">
        <v>22701191</v>
      </c>
      <c r="H137" s="451">
        <f>+E137-F137</f>
        <v>74422808.386437684</v>
      </c>
      <c r="I137" s="450">
        <f>+F137/E137</f>
        <v>0.26421369488305113</v>
      </c>
    </row>
    <row r="138" spans="1:9" x14ac:dyDescent="0.25">
      <c r="A138" s="467">
        <v>31101</v>
      </c>
      <c r="B138" s="466" t="s">
        <v>584</v>
      </c>
      <c r="C138" s="452">
        <v>110500794.92643769</v>
      </c>
      <c r="D138" s="452">
        <f>-3152773-6200708</f>
        <v>-9353481</v>
      </c>
      <c r="E138" s="451">
        <f>+C138+D138</f>
        <v>101147313.92643769</v>
      </c>
      <c r="F138" s="452">
        <v>26724505.539999999</v>
      </c>
      <c r="G138" s="452">
        <v>22701191</v>
      </c>
      <c r="H138" s="451">
        <f>+E138-F138</f>
        <v>74422808.386437684</v>
      </c>
      <c r="I138" s="450">
        <f>+F138/E138</f>
        <v>0.26421369488305113</v>
      </c>
    </row>
    <row r="139" spans="1:9" x14ac:dyDescent="0.25">
      <c r="A139" s="470">
        <v>312</v>
      </c>
      <c r="B139" s="474" t="s">
        <v>583</v>
      </c>
      <c r="C139" s="451">
        <f>C140</f>
        <v>4499.7</v>
      </c>
      <c r="D139" s="451">
        <f>D140</f>
        <v>0</v>
      </c>
      <c r="E139" s="451">
        <f>+C139+D139</f>
        <v>4499.7</v>
      </c>
      <c r="F139" s="451">
        <v>1500.02</v>
      </c>
      <c r="G139" s="451">
        <v>1700.02</v>
      </c>
      <c r="H139" s="451">
        <f>+E139-F139</f>
        <v>2999.68</v>
      </c>
      <c r="I139" s="450">
        <f>+F139/E139</f>
        <v>0.33336000177789632</v>
      </c>
    </row>
    <row r="140" spans="1:9" x14ac:dyDescent="0.25">
      <c r="A140" s="467">
        <v>31201</v>
      </c>
      <c r="B140" s="466" t="s">
        <v>583</v>
      </c>
      <c r="C140" s="452">
        <v>4499.7</v>
      </c>
      <c r="D140" s="452">
        <v>0</v>
      </c>
      <c r="E140" s="451">
        <f>+C140+D140</f>
        <v>4499.7</v>
      </c>
      <c r="F140" s="452">
        <v>1500.02</v>
      </c>
      <c r="G140" s="452">
        <v>1700.02</v>
      </c>
      <c r="H140" s="451">
        <f>+E140-F140</f>
        <v>2999.68</v>
      </c>
      <c r="I140" s="450">
        <f>+F140/E140</f>
        <v>0.33336000177789632</v>
      </c>
    </row>
    <row r="141" spans="1:9" x14ac:dyDescent="0.25">
      <c r="A141" s="470">
        <v>313</v>
      </c>
      <c r="B141" s="474" t="s">
        <v>582</v>
      </c>
      <c r="C141" s="451">
        <f>C142</f>
        <v>49364</v>
      </c>
      <c r="D141" s="451">
        <f>D142</f>
        <v>0</v>
      </c>
      <c r="E141" s="451">
        <f>+C141+D141</f>
        <v>49364</v>
      </c>
      <c r="F141" s="451">
        <v>11221.48</v>
      </c>
      <c r="G141" s="451">
        <v>11221.48</v>
      </c>
      <c r="H141" s="451">
        <f>+E141-F141</f>
        <v>38142.520000000004</v>
      </c>
      <c r="I141" s="450">
        <f>+F141/E141</f>
        <v>0.22732112470626367</v>
      </c>
    </row>
    <row r="142" spans="1:9" x14ac:dyDescent="0.25">
      <c r="A142" s="467">
        <v>31301</v>
      </c>
      <c r="B142" s="466" t="s">
        <v>581</v>
      </c>
      <c r="C142" s="452">
        <v>49364</v>
      </c>
      <c r="D142" s="452">
        <v>0</v>
      </c>
      <c r="E142" s="451">
        <f>+C142+D142</f>
        <v>49364</v>
      </c>
      <c r="F142" s="452">
        <v>11221.48</v>
      </c>
      <c r="G142" s="452">
        <v>11221.48</v>
      </c>
      <c r="H142" s="451">
        <f>+E142-F142</f>
        <v>38142.520000000004</v>
      </c>
      <c r="I142" s="450">
        <f>+F142/E142</f>
        <v>0.22732112470626367</v>
      </c>
    </row>
    <row r="143" spans="1:9" x14ac:dyDescent="0.25">
      <c r="A143" s="470">
        <v>314</v>
      </c>
      <c r="B143" s="474" t="s">
        <v>580</v>
      </c>
      <c r="C143" s="451">
        <f>C144</f>
        <v>418510.70516212622</v>
      </c>
      <c r="D143" s="451">
        <f>D144</f>
        <v>0</v>
      </c>
      <c r="E143" s="451">
        <f>+C143+D143</f>
        <v>418510.70516212622</v>
      </c>
      <c r="F143" s="451">
        <v>107876.63000000002</v>
      </c>
      <c r="G143" s="451">
        <v>86091.13</v>
      </c>
      <c r="H143" s="451">
        <f>+E143-F143</f>
        <v>310634.07516212622</v>
      </c>
      <c r="I143" s="450">
        <f>+F143/E143</f>
        <v>0.25776313166997689</v>
      </c>
    </row>
    <row r="144" spans="1:9" x14ac:dyDescent="0.25">
      <c r="A144" s="467">
        <v>31401</v>
      </c>
      <c r="B144" s="466" t="s">
        <v>580</v>
      </c>
      <c r="C144" s="452">
        <v>418510.70516212622</v>
      </c>
      <c r="D144" s="452">
        <v>0</v>
      </c>
      <c r="E144" s="451">
        <f>+C144+D144</f>
        <v>418510.70516212622</v>
      </c>
      <c r="F144" s="452">
        <v>107876.63000000002</v>
      </c>
      <c r="G144" s="452">
        <v>86091.13</v>
      </c>
      <c r="H144" s="451">
        <f>+E144-F144</f>
        <v>310634.07516212622</v>
      </c>
      <c r="I144" s="450">
        <f>+F144/E144</f>
        <v>0.25776313166997689</v>
      </c>
    </row>
    <row r="145" spans="1:9" x14ac:dyDescent="0.25">
      <c r="A145" s="470">
        <v>315</v>
      </c>
      <c r="B145" s="474" t="s">
        <v>579</v>
      </c>
      <c r="C145" s="451">
        <f>C146</f>
        <v>3500</v>
      </c>
      <c r="D145" s="451">
        <f>D146</f>
        <v>0</v>
      </c>
      <c r="E145" s="451">
        <f>+C145+D145</f>
        <v>3500</v>
      </c>
      <c r="F145" s="451">
        <v>339.78</v>
      </c>
      <c r="G145" s="451">
        <v>339.78</v>
      </c>
      <c r="H145" s="451">
        <f>+E145-F145</f>
        <v>3160.2200000000003</v>
      </c>
      <c r="I145" s="450">
        <f>+F145/E145</f>
        <v>9.7079999999999986E-2</v>
      </c>
    </row>
    <row r="146" spans="1:9" x14ac:dyDescent="0.25">
      <c r="A146" s="467">
        <v>31501</v>
      </c>
      <c r="B146" s="466" t="s">
        <v>579</v>
      </c>
      <c r="C146" s="452">
        <v>3500</v>
      </c>
      <c r="D146" s="452">
        <v>0</v>
      </c>
      <c r="E146" s="451">
        <f>+C146+D146</f>
        <v>3500</v>
      </c>
      <c r="F146" s="452">
        <v>339.78</v>
      </c>
      <c r="G146" s="452">
        <v>339.78</v>
      </c>
      <c r="H146" s="451">
        <f>+E146-F146</f>
        <v>3160.2200000000003</v>
      </c>
      <c r="I146" s="450">
        <f>+F146/E146</f>
        <v>9.7079999999999986E-2</v>
      </c>
    </row>
    <row r="147" spans="1:9" x14ac:dyDescent="0.25">
      <c r="A147" s="470">
        <v>316</v>
      </c>
      <c r="B147" s="474" t="s">
        <v>578</v>
      </c>
      <c r="C147" s="451">
        <f>C148</f>
        <v>0</v>
      </c>
      <c r="D147" s="451">
        <v>0</v>
      </c>
      <c r="E147" s="451">
        <f>+C147+D147</f>
        <v>0</v>
      </c>
      <c r="F147" s="451">
        <v>0</v>
      </c>
      <c r="G147" s="451">
        <v>0</v>
      </c>
      <c r="H147" s="451">
        <f>+E147-F147</f>
        <v>0</v>
      </c>
      <c r="I147" s="450"/>
    </row>
    <row r="148" spans="1:9" x14ac:dyDescent="0.25">
      <c r="A148" s="467">
        <v>31601</v>
      </c>
      <c r="B148" s="466" t="s">
        <v>578</v>
      </c>
      <c r="C148" s="452">
        <v>0</v>
      </c>
      <c r="D148" s="452">
        <v>0</v>
      </c>
      <c r="E148" s="451">
        <f>+C148+D148</f>
        <v>0</v>
      </c>
      <c r="F148" s="452">
        <v>0</v>
      </c>
      <c r="G148" s="452">
        <v>0</v>
      </c>
      <c r="H148" s="451">
        <f>+E148-F148</f>
        <v>0</v>
      </c>
      <c r="I148" s="450"/>
    </row>
    <row r="149" spans="1:9" ht="22.5" x14ac:dyDescent="0.25">
      <c r="A149" s="470">
        <v>317</v>
      </c>
      <c r="B149" s="474" t="s">
        <v>577</v>
      </c>
      <c r="C149" s="451">
        <f>C150</f>
        <v>221230.98402013246</v>
      </c>
      <c r="D149" s="451">
        <f>D150</f>
        <v>0</v>
      </c>
      <c r="E149" s="451">
        <f>+C149+D149</f>
        <v>221230.98402013246</v>
      </c>
      <c r="F149" s="451">
        <v>63129.729999999996</v>
      </c>
      <c r="G149" s="451">
        <v>39814.89</v>
      </c>
      <c r="H149" s="451">
        <f>+E149-F149</f>
        <v>158101.25402013247</v>
      </c>
      <c r="I149" s="450">
        <f>+F149/E149</f>
        <v>0.28535663880722539</v>
      </c>
    </row>
    <row r="150" spans="1:9" ht="22.5" x14ac:dyDescent="0.25">
      <c r="A150" s="467">
        <v>31701</v>
      </c>
      <c r="B150" s="466" t="s">
        <v>577</v>
      </c>
      <c r="C150" s="452">
        <v>221230.98402013246</v>
      </c>
      <c r="D150" s="452">
        <v>0</v>
      </c>
      <c r="E150" s="451">
        <f>+C150+D150</f>
        <v>221230.98402013246</v>
      </c>
      <c r="F150" s="452">
        <v>63129.729999999996</v>
      </c>
      <c r="G150" s="452">
        <v>39814.89</v>
      </c>
      <c r="H150" s="451">
        <f>+E150-F150</f>
        <v>158101.25402013247</v>
      </c>
      <c r="I150" s="450">
        <f>+F150/E150</f>
        <v>0.28535663880722539</v>
      </c>
    </row>
    <row r="151" spans="1:9" x14ac:dyDescent="0.25">
      <c r="A151" s="470">
        <v>318</v>
      </c>
      <c r="B151" s="474" t="s">
        <v>576</v>
      </c>
      <c r="C151" s="451">
        <f>C152</f>
        <v>38498.696362792172</v>
      </c>
      <c r="D151" s="451">
        <f>D152</f>
        <v>0</v>
      </c>
      <c r="E151" s="451">
        <f>+C151+D151</f>
        <v>38498.696362792172</v>
      </c>
      <c r="F151" s="451">
        <v>5650.15</v>
      </c>
      <c r="G151" s="451">
        <v>5539.15</v>
      </c>
      <c r="H151" s="451">
        <f>+E151-F151</f>
        <v>32848.546362792171</v>
      </c>
      <c r="I151" s="450">
        <f>+F151/E151</f>
        <v>0.14676211232598252</v>
      </c>
    </row>
    <row r="152" spans="1:9" x14ac:dyDescent="0.25">
      <c r="A152" s="467">
        <v>31801</v>
      </c>
      <c r="B152" s="466" t="s">
        <v>575</v>
      </c>
      <c r="C152" s="452">
        <v>38498.696362792172</v>
      </c>
      <c r="D152" s="452">
        <v>0</v>
      </c>
      <c r="E152" s="451">
        <f>+C152+D152</f>
        <v>38498.696362792172</v>
      </c>
      <c r="F152" s="452">
        <v>5650.15</v>
      </c>
      <c r="G152" s="452">
        <v>5539.15</v>
      </c>
      <c r="H152" s="451">
        <f>+E152-F152</f>
        <v>32848.546362792171</v>
      </c>
      <c r="I152" s="450">
        <f>+F152/E152</f>
        <v>0.14676211232598252</v>
      </c>
    </row>
    <row r="153" spans="1:9" x14ac:dyDescent="0.25">
      <c r="A153" s="471">
        <v>3200</v>
      </c>
      <c r="B153" s="474" t="s">
        <v>574</v>
      </c>
      <c r="C153" s="451">
        <f>C154+C156+C158+C161+C163+C165</f>
        <v>5424645.4848321658</v>
      </c>
      <c r="D153" s="451">
        <f>D154+D156+D158+D161+D163+D165</f>
        <v>278795.01</v>
      </c>
      <c r="E153" s="451">
        <f>+C153+D153</f>
        <v>5703440.4948321655</v>
      </c>
      <c r="F153" s="451">
        <v>1269285.08</v>
      </c>
      <c r="G153" s="451">
        <v>688316.74</v>
      </c>
      <c r="H153" s="451">
        <f>+E153-F153</f>
        <v>4434155.4148321655</v>
      </c>
      <c r="I153" s="450">
        <f>+F153/E153</f>
        <v>0.22254726443627973</v>
      </c>
    </row>
    <row r="154" spans="1:9" x14ac:dyDescent="0.25">
      <c r="A154" s="470">
        <v>321</v>
      </c>
      <c r="B154" s="474" t="s">
        <v>573</v>
      </c>
      <c r="C154" s="451">
        <f>C155</f>
        <v>736471.67713733204</v>
      </c>
      <c r="D154" s="451">
        <f>D155</f>
        <v>0</v>
      </c>
      <c r="E154" s="451">
        <f>+C154+D154</f>
        <v>736471.67713733204</v>
      </c>
      <c r="F154" s="451">
        <v>39285.72</v>
      </c>
      <c r="G154" s="451">
        <v>39285.72</v>
      </c>
      <c r="H154" s="451">
        <f>+E154-F154</f>
        <v>697185.95713733207</v>
      </c>
      <c r="I154" s="450">
        <f>+F154/E154</f>
        <v>5.334315116190718E-2</v>
      </c>
    </row>
    <row r="155" spans="1:9" x14ac:dyDescent="0.25">
      <c r="A155" s="467">
        <v>32101</v>
      </c>
      <c r="B155" s="466" t="s">
        <v>573</v>
      </c>
      <c r="C155" s="452">
        <v>736471.67713733204</v>
      </c>
      <c r="D155" s="452">
        <v>0</v>
      </c>
      <c r="E155" s="451">
        <f>+C155+D155</f>
        <v>736471.67713733204</v>
      </c>
      <c r="F155" s="452">
        <v>39285.72</v>
      </c>
      <c r="G155" s="452">
        <v>39285.72</v>
      </c>
      <c r="H155" s="451">
        <f>+E155-F155</f>
        <v>697185.95713733207</v>
      </c>
      <c r="I155" s="450">
        <f>+F155/E155</f>
        <v>5.334315116190718E-2</v>
      </c>
    </row>
    <row r="156" spans="1:9" x14ac:dyDescent="0.25">
      <c r="A156" s="470">
        <v>322</v>
      </c>
      <c r="B156" s="474" t="s">
        <v>572</v>
      </c>
      <c r="C156" s="451">
        <f>C157</f>
        <v>2580110.8765796819</v>
      </c>
      <c r="D156" s="451">
        <f>D157</f>
        <v>56000</v>
      </c>
      <c r="E156" s="451">
        <f>+C156+D156</f>
        <v>2636110.8765796819</v>
      </c>
      <c r="F156" s="451">
        <v>433602.85</v>
      </c>
      <c r="G156" s="451">
        <v>226972.59</v>
      </c>
      <c r="H156" s="451">
        <f>+E156-F156</f>
        <v>2202508.0265796818</v>
      </c>
      <c r="I156" s="450">
        <f>+F156/E156</f>
        <v>0.16448581653082581</v>
      </c>
    </row>
    <row r="157" spans="1:9" x14ac:dyDescent="0.25">
      <c r="A157" s="467">
        <v>32201</v>
      </c>
      <c r="B157" s="466" t="s">
        <v>572</v>
      </c>
      <c r="C157" s="452">
        <v>2580110.8765796819</v>
      </c>
      <c r="D157" s="452">
        <v>56000</v>
      </c>
      <c r="E157" s="451">
        <f>+C157+D157</f>
        <v>2636110.8765796819</v>
      </c>
      <c r="F157" s="452">
        <v>433602.85</v>
      </c>
      <c r="G157" s="452">
        <v>226972.59</v>
      </c>
      <c r="H157" s="451">
        <f>+E157-F157</f>
        <v>2202508.0265796818</v>
      </c>
      <c r="I157" s="450">
        <f>+F157/E157</f>
        <v>0.16448581653082581</v>
      </c>
    </row>
    <row r="158" spans="1:9" ht="22.5" x14ac:dyDescent="0.25">
      <c r="A158" s="470">
        <v>323</v>
      </c>
      <c r="B158" s="474" t="s">
        <v>571</v>
      </c>
      <c r="C158" s="451">
        <f>C159+C160</f>
        <v>692137.39333269931</v>
      </c>
      <c r="D158" s="451">
        <f>D159+D160</f>
        <v>182795.01</v>
      </c>
      <c r="E158" s="451">
        <f>+C158+D158</f>
        <v>874932.40333269932</v>
      </c>
      <c r="F158" s="451">
        <v>214625.51</v>
      </c>
      <c r="G158" s="451">
        <v>92839.430000000008</v>
      </c>
      <c r="H158" s="451">
        <f>+E158-F158</f>
        <v>660306.89333269931</v>
      </c>
      <c r="I158" s="450">
        <f>+F158/E158</f>
        <v>0.24530524779111093</v>
      </c>
    </row>
    <row r="159" spans="1:9" x14ac:dyDescent="0.25">
      <c r="A159" s="467">
        <v>32301</v>
      </c>
      <c r="B159" s="466" t="s">
        <v>570</v>
      </c>
      <c r="C159" s="452">
        <v>59453.968637635495</v>
      </c>
      <c r="D159" s="452">
        <v>0</v>
      </c>
      <c r="E159" s="451">
        <f>+C159+D159</f>
        <v>59453.968637635495</v>
      </c>
      <c r="F159" s="452">
        <v>0</v>
      </c>
      <c r="G159" s="452">
        <v>0</v>
      </c>
      <c r="H159" s="451">
        <f>+E159-F159</f>
        <v>59453.968637635495</v>
      </c>
      <c r="I159" s="450">
        <f>+F159/E159</f>
        <v>0</v>
      </c>
    </row>
    <row r="160" spans="1:9" x14ac:dyDescent="0.25">
      <c r="A160" s="467">
        <v>32302</v>
      </c>
      <c r="B160" s="466" t="s">
        <v>569</v>
      </c>
      <c r="C160" s="452">
        <v>632683.42469506385</v>
      </c>
      <c r="D160" s="452">
        <v>182795.01</v>
      </c>
      <c r="E160" s="451">
        <f>+C160+D160</f>
        <v>815478.43469506386</v>
      </c>
      <c r="F160" s="452">
        <v>214625.51</v>
      </c>
      <c r="G160" s="452">
        <v>92839.430000000008</v>
      </c>
      <c r="H160" s="451">
        <f>+E160-F160</f>
        <v>600852.92469506385</v>
      </c>
      <c r="I160" s="450">
        <f>+F160/E160</f>
        <v>0.26318968211618748</v>
      </c>
    </row>
    <row r="161" spans="1:9" x14ac:dyDescent="0.25">
      <c r="A161" s="470">
        <v>325</v>
      </c>
      <c r="B161" s="474" t="s">
        <v>568</v>
      </c>
      <c r="C161" s="451">
        <f>C162</f>
        <v>10000</v>
      </c>
      <c r="D161" s="451">
        <f>D162</f>
        <v>0</v>
      </c>
      <c r="E161" s="451">
        <f>+C161+D161</f>
        <v>10000</v>
      </c>
      <c r="F161" s="451">
        <v>0</v>
      </c>
      <c r="G161" s="451">
        <v>0</v>
      </c>
      <c r="H161" s="451">
        <f>+E161-F161</f>
        <v>10000</v>
      </c>
      <c r="I161" s="450">
        <f>+F161/E161</f>
        <v>0</v>
      </c>
    </row>
    <row r="162" spans="1:9" x14ac:dyDescent="0.25">
      <c r="A162" s="467">
        <v>32501</v>
      </c>
      <c r="B162" s="466" t="s">
        <v>568</v>
      </c>
      <c r="C162" s="452">
        <v>10000</v>
      </c>
      <c r="D162" s="452">
        <v>0</v>
      </c>
      <c r="E162" s="451">
        <f>+C162+D162</f>
        <v>10000</v>
      </c>
      <c r="F162" s="452">
        <v>0</v>
      </c>
      <c r="G162" s="452">
        <v>0</v>
      </c>
      <c r="H162" s="451">
        <f>+E162-F162</f>
        <v>10000</v>
      </c>
      <c r="I162" s="450">
        <f>+F162/E162</f>
        <v>0</v>
      </c>
    </row>
    <row r="163" spans="1:9" ht="22.5" x14ac:dyDescent="0.25">
      <c r="A163" s="470">
        <v>326</v>
      </c>
      <c r="B163" s="474" t="s">
        <v>567</v>
      </c>
      <c r="C163" s="451">
        <f>C164</f>
        <v>1398239.1990758115</v>
      </c>
      <c r="D163" s="451">
        <f>D164</f>
        <v>40000</v>
      </c>
      <c r="E163" s="451">
        <f>+C163+D163</f>
        <v>1438239.1990758115</v>
      </c>
      <c r="F163" s="451">
        <v>581771</v>
      </c>
      <c r="G163" s="451">
        <v>329219</v>
      </c>
      <c r="H163" s="451">
        <f>+E163-F163</f>
        <v>856468.19907581154</v>
      </c>
      <c r="I163" s="450">
        <f>+F163/E163</f>
        <v>0.40450225551760538</v>
      </c>
    </row>
    <row r="164" spans="1:9" x14ac:dyDescent="0.25">
      <c r="A164" s="467">
        <v>32601</v>
      </c>
      <c r="B164" s="466" t="s">
        <v>567</v>
      </c>
      <c r="C164" s="452">
        <v>1398239.1990758115</v>
      </c>
      <c r="D164" s="452">
        <v>40000</v>
      </c>
      <c r="E164" s="451">
        <f>+C164+D164</f>
        <v>1438239.1990758115</v>
      </c>
      <c r="F164" s="452">
        <v>581771</v>
      </c>
      <c r="G164" s="452">
        <v>329219</v>
      </c>
      <c r="H164" s="451">
        <f>+E164-F164</f>
        <v>856468.19907581154</v>
      </c>
      <c r="I164" s="450">
        <f>+F164/E164</f>
        <v>0.40450225551760538</v>
      </c>
    </row>
    <row r="165" spans="1:9" x14ac:dyDescent="0.25">
      <c r="A165" s="470">
        <v>329</v>
      </c>
      <c r="B165" s="474" t="s">
        <v>566</v>
      </c>
      <c r="C165" s="451">
        <f>C166</f>
        <v>7686.3387066406913</v>
      </c>
      <c r="D165" s="451">
        <f>D166</f>
        <v>0</v>
      </c>
      <c r="E165" s="451">
        <f>+C165+D165</f>
        <v>7686.3387066406913</v>
      </c>
      <c r="F165" s="451">
        <v>0</v>
      </c>
      <c r="G165" s="451">
        <v>0</v>
      </c>
      <c r="H165" s="451">
        <f>+E165-F165</f>
        <v>7686.3387066406913</v>
      </c>
      <c r="I165" s="450">
        <f>+F165/E165</f>
        <v>0</v>
      </c>
    </row>
    <row r="166" spans="1:9" x14ac:dyDescent="0.25">
      <c r="A166" s="467">
        <v>32901</v>
      </c>
      <c r="B166" s="466" t="s">
        <v>566</v>
      </c>
      <c r="C166" s="452">
        <v>7686.3387066406913</v>
      </c>
      <c r="D166" s="452">
        <v>0</v>
      </c>
      <c r="E166" s="451">
        <f>+C166+D166</f>
        <v>7686.3387066406913</v>
      </c>
      <c r="F166" s="452">
        <v>0</v>
      </c>
      <c r="G166" s="452">
        <v>0</v>
      </c>
      <c r="H166" s="451">
        <f>+E166-F166</f>
        <v>7686.3387066406913</v>
      </c>
      <c r="I166" s="450">
        <f>+F166/E166</f>
        <v>0</v>
      </c>
    </row>
    <row r="167" spans="1:9" ht="22.5" x14ac:dyDescent="0.25">
      <c r="A167" s="471">
        <v>3300</v>
      </c>
      <c r="B167" s="474" t="s">
        <v>565</v>
      </c>
      <c r="C167" s="451">
        <f>C168+C170+C172+C175+C177+C182+C184</f>
        <v>15544134.88463385</v>
      </c>
      <c r="D167" s="451">
        <f>D168+D170+D172+D175+D177+D182+D184</f>
        <v>-21524.03</v>
      </c>
      <c r="E167" s="451">
        <f>+C167+D167</f>
        <v>15522610.854633851</v>
      </c>
      <c r="F167" s="451">
        <v>1466909.23</v>
      </c>
      <c r="G167" s="451">
        <v>768985.51</v>
      </c>
      <c r="H167" s="451">
        <f>+E167-F167</f>
        <v>14055701.624633851</v>
      </c>
      <c r="I167" s="450">
        <f>+F167/E167</f>
        <v>9.4501449771389093E-2</v>
      </c>
    </row>
    <row r="168" spans="1:9" ht="22.5" x14ac:dyDescent="0.25">
      <c r="A168" s="470">
        <v>331</v>
      </c>
      <c r="B168" s="474" t="s">
        <v>564</v>
      </c>
      <c r="C168" s="451">
        <f>C169</f>
        <v>9403867.5919109844</v>
      </c>
      <c r="D168" s="451">
        <f>D169</f>
        <v>-486147</v>
      </c>
      <c r="E168" s="451">
        <f>+C168+D168</f>
        <v>8917720.5919109844</v>
      </c>
      <c r="F168" s="451">
        <v>598802.35</v>
      </c>
      <c r="G168" s="451">
        <v>189219.44</v>
      </c>
      <c r="H168" s="451">
        <f>+E168-F168</f>
        <v>8318918.2419109847</v>
      </c>
      <c r="I168" s="450">
        <f>+F168/E168</f>
        <v>6.7147467094131302E-2</v>
      </c>
    </row>
    <row r="169" spans="1:9" x14ac:dyDescent="0.25">
      <c r="A169" s="467">
        <v>33101</v>
      </c>
      <c r="B169" s="466" t="s">
        <v>564</v>
      </c>
      <c r="C169" s="452">
        <v>9403867.5919109844</v>
      </c>
      <c r="D169" s="452">
        <v>-486147</v>
      </c>
      <c r="E169" s="451">
        <f>+C169+D169</f>
        <v>8917720.5919109844</v>
      </c>
      <c r="F169" s="452">
        <v>598802.35</v>
      </c>
      <c r="G169" s="452">
        <v>189219.44</v>
      </c>
      <c r="H169" s="451">
        <f>+E169-F169</f>
        <v>8318918.2419109847</v>
      </c>
      <c r="I169" s="450">
        <f>+F169/E169</f>
        <v>6.7147467094131302E-2</v>
      </c>
    </row>
    <row r="170" spans="1:9" ht="22.5" x14ac:dyDescent="0.25">
      <c r="A170" s="470">
        <v>332</v>
      </c>
      <c r="B170" s="474" t="s">
        <v>563</v>
      </c>
      <c r="C170" s="451">
        <f>C171</f>
        <v>836161.71267733793</v>
      </c>
      <c r="D170" s="451">
        <f>D171</f>
        <v>20000</v>
      </c>
      <c r="E170" s="451">
        <f>+C170+D170</f>
        <v>856161.71267733793</v>
      </c>
      <c r="F170" s="451">
        <v>155364</v>
      </c>
      <c r="G170" s="451">
        <v>94597.54</v>
      </c>
      <c r="H170" s="451">
        <f>+E170-F170</f>
        <v>700797.71267733793</v>
      </c>
      <c r="I170" s="450">
        <f>+F170/E170</f>
        <v>0.18146571809916021</v>
      </c>
    </row>
    <row r="171" spans="1:9" ht="22.5" x14ac:dyDescent="0.25">
      <c r="A171" s="467">
        <v>33201</v>
      </c>
      <c r="B171" s="466" t="s">
        <v>563</v>
      </c>
      <c r="C171" s="452">
        <v>836161.71267733793</v>
      </c>
      <c r="D171" s="452">
        <v>20000</v>
      </c>
      <c r="E171" s="451">
        <f>+C171+D171</f>
        <v>856161.71267733793</v>
      </c>
      <c r="F171" s="452">
        <v>155364</v>
      </c>
      <c r="G171" s="452">
        <v>94597.54</v>
      </c>
      <c r="H171" s="451">
        <f>+E171-F171</f>
        <v>700797.71267733793</v>
      </c>
      <c r="I171" s="450">
        <f>+F171/E171</f>
        <v>0.18146571809916021</v>
      </c>
    </row>
    <row r="172" spans="1:9" ht="22.5" x14ac:dyDescent="0.25">
      <c r="A172" s="470">
        <v>333</v>
      </c>
      <c r="B172" s="474" t="s">
        <v>562</v>
      </c>
      <c r="C172" s="451">
        <f>C173+C174</f>
        <v>745197.26600925426</v>
      </c>
      <c r="D172" s="451">
        <f>D173+D174</f>
        <v>295822.8</v>
      </c>
      <c r="E172" s="451">
        <f>+C172+D172</f>
        <v>1041020.0660092542</v>
      </c>
      <c r="F172" s="451">
        <v>105141.73000000001</v>
      </c>
      <c r="G172" s="451">
        <v>67777.73</v>
      </c>
      <c r="H172" s="451">
        <f>+E172-F172</f>
        <v>935878.33600925421</v>
      </c>
      <c r="I172" s="450">
        <f>+F172/E172</f>
        <v>0.10099875442656966</v>
      </c>
    </row>
    <row r="173" spans="1:9" x14ac:dyDescent="0.25">
      <c r="A173" s="467">
        <v>33301</v>
      </c>
      <c r="B173" s="466" t="s">
        <v>561</v>
      </c>
      <c r="C173" s="452">
        <v>525197.26600925426</v>
      </c>
      <c r="D173" s="452">
        <v>295822.8</v>
      </c>
      <c r="E173" s="451">
        <f>+C173+D173</f>
        <v>821020.06600925419</v>
      </c>
      <c r="F173" s="452">
        <v>105141.73000000001</v>
      </c>
      <c r="G173" s="452">
        <v>67777.73</v>
      </c>
      <c r="H173" s="451">
        <f>+E173-F173</f>
        <v>715878.33600925421</v>
      </c>
      <c r="I173" s="450">
        <f>+F173/E173</f>
        <v>0.12806231461682069</v>
      </c>
    </row>
    <row r="174" spans="1:9" x14ac:dyDescent="0.25">
      <c r="A174" s="467">
        <v>33302</v>
      </c>
      <c r="B174" s="466" t="s">
        <v>560</v>
      </c>
      <c r="C174" s="452">
        <v>220000</v>
      </c>
      <c r="D174" s="452">
        <v>0</v>
      </c>
      <c r="E174" s="451">
        <f>+C174+D174</f>
        <v>220000</v>
      </c>
      <c r="F174" s="452">
        <v>0</v>
      </c>
      <c r="G174" s="452">
        <v>0</v>
      </c>
      <c r="H174" s="451">
        <f>+E174-F174</f>
        <v>220000</v>
      </c>
      <c r="I174" s="450">
        <f>+F174/E174</f>
        <v>0</v>
      </c>
    </row>
    <row r="175" spans="1:9" x14ac:dyDescent="0.25">
      <c r="A175" s="470">
        <v>334</v>
      </c>
      <c r="B175" s="474" t="s">
        <v>559</v>
      </c>
      <c r="C175" s="451">
        <f>C176</f>
        <v>265881.04072757409</v>
      </c>
      <c r="D175" s="451">
        <f>D176</f>
        <v>0</v>
      </c>
      <c r="E175" s="451">
        <f>+C175+D175</f>
        <v>265881.04072757409</v>
      </c>
      <c r="F175" s="451">
        <v>0</v>
      </c>
      <c r="G175" s="451">
        <v>0</v>
      </c>
      <c r="H175" s="451">
        <f>+E175-F175</f>
        <v>265881.04072757409</v>
      </c>
      <c r="I175" s="450">
        <f>+F175/E175</f>
        <v>0</v>
      </c>
    </row>
    <row r="176" spans="1:9" x14ac:dyDescent="0.25">
      <c r="A176" s="467">
        <v>33401</v>
      </c>
      <c r="B176" s="466" t="s">
        <v>559</v>
      </c>
      <c r="C176" s="452">
        <v>265881.04072757409</v>
      </c>
      <c r="D176" s="452">
        <v>0</v>
      </c>
      <c r="E176" s="451">
        <f>+C176+D176</f>
        <v>265881.04072757409</v>
      </c>
      <c r="F176" s="452">
        <v>0</v>
      </c>
      <c r="G176" s="452">
        <v>0</v>
      </c>
      <c r="H176" s="451">
        <f>+E176-F176</f>
        <v>265881.04072757409</v>
      </c>
      <c r="I176" s="450">
        <f>+F176/E176</f>
        <v>0</v>
      </c>
    </row>
    <row r="177" spans="1:9" ht="22.5" x14ac:dyDescent="0.25">
      <c r="A177" s="470">
        <v>336</v>
      </c>
      <c r="B177" s="474" t="s">
        <v>558</v>
      </c>
      <c r="C177" s="451">
        <f>C178+C179+C180+C181</f>
        <v>1747566.4327522446</v>
      </c>
      <c r="D177" s="451">
        <f>D178+D179+D180+D181</f>
        <v>0</v>
      </c>
      <c r="E177" s="451">
        <f>+C177+D177</f>
        <v>1747566.4327522446</v>
      </c>
      <c r="F177" s="451">
        <v>268595.64999999997</v>
      </c>
      <c r="G177" s="451">
        <v>136120.40000000002</v>
      </c>
      <c r="H177" s="451">
        <f>+E177-F177</f>
        <v>1478970.7827522447</v>
      </c>
      <c r="I177" s="450">
        <f>+F177/E177</f>
        <v>0.1536969610803226</v>
      </c>
    </row>
    <row r="178" spans="1:9" x14ac:dyDescent="0.25">
      <c r="A178" s="467">
        <v>33601</v>
      </c>
      <c r="B178" s="466" t="s">
        <v>557</v>
      </c>
      <c r="C178" s="452">
        <v>0</v>
      </c>
      <c r="D178" s="452">
        <v>0</v>
      </c>
      <c r="E178" s="451">
        <f>+C178+D178</f>
        <v>0</v>
      </c>
      <c r="F178" s="452">
        <v>0</v>
      </c>
      <c r="G178" s="452">
        <v>0</v>
      </c>
      <c r="H178" s="451">
        <f>+E178-F178</f>
        <v>0</v>
      </c>
      <c r="I178" s="450"/>
    </row>
    <row r="179" spans="1:9" x14ac:dyDescent="0.25">
      <c r="A179" s="467">
        <v>33603</v>
      </c>
      <c r="B179" s="466" t="s">
        <v>556</v>
      </c>
      <c r="C179" s="452">
        <v>1240362.7027522447</v>
      </c>
      <c r="D179" s="452">
        <v>0</v>
      </c>
      <c r="E179" s="451">
        <f>+C179+D179</f>
        <v>1240362.7027522447</v>
      </c>
      <c r="F179" s="452">
        <v>184246.46</v>
      </c>
      <c r="G179" s="452">
        <v>102965.26</v>
      </c>
      <c r="H179" s="451">
        <f>+E179-F179</f>
        <v>1056116.2427522447</v>
      </c>
      <c r="I179" s="450">
        <f>+F179/E179</f>
        <v>0.14854240585529938</v>
      </c>
    </row>
    <row r="180" spans="1:9" x14ac:dyDescent="0.25">
      <c r="A180" s="467">
        <v>33605</v>
      </c>
      <c r="B180" s="466" t="s">
        <v>555</v>
      </c>
      <c r="C180" s="452">
        <v>397203.73</v>
      </c>
      <c r="D180" s="452">
        <v>0</v>
      </c>
      <c r="E180" s="451">
        <f>+C180+D180</f>
        <v>397203.73</v>
      </c>
      <c r="F180" s="452">
        <v>58515.76</v>
      </c>
      <c r="G180" s="452">
        <v>23500</v>
      </c>
      <c r="H180" s="451">
        <f>+E180-F180</f>
        <v>338687.97</v>
      </c>
      <c r="I180" s="450">
        <f>+F180/E180</f>
        <v>0.1473192610754184</v>
      </c>
    </row>
    <row r="181" spans="1:9" ht="22.5" x14ac:dyDescent="0.25">
      <c r="A181" s="467">
        <v>33608</v>
      </c>
      <c r="B181" s="466" t="s">
        <v>554</v>
      </c>
      <c r="C181" s="452">
        <v>110000</v>
      </c>
      <c r="D181" s="452"/>
      <c r="E181" s="451">
        <f>+C181+D181</f>
        <v>110000</v>
      </c>
      <c r="F181" s="452">
        <v>25833.43</v>
      </c>
      <c r="G181" s="452">
        <v>9655.14</v>
      </c>
      <c r="H181" s="451">
        <f>+E181-F181</f>
        <v>84166.57</v>
      </c>
      <c r="I181" s="450"/>
    </row>
    <row r="182" spans="1:9" x14ac:dyDescent="0.25">
      <c r="A182" s="470">
        <v>338</v>
      </c>
      <c r="B182" s="474" t="s">
        <v>553</v>
      </c>
      <c r="C182" s="451">
        <f>C183</f>
        <v>1320380.8405564548</v>
      </c>
      <c r="D182" s="451">
        <f>D183</f>
        <v>148800.17000000001</v>
      </c>
      <c r="E182" s="451">
        <f>+C182+D182</f>
        <v>1469181.0105564548</v>
      </c>
      <c r="F182" s="451">
        <v>9790.4</v>
      </c>
      <c r="G182" s="451">
        <v>6310.4</v>
      </c>
      <c r="H182" s="451">
        <f>+E182-F182</f>
        <v>1459390.6105564549</v>
      </c>
      <c r="I182" s="450">
        <f>+F182/E182</f>
        <v>6.663848722283627E-3</v>
      </c>
    </row>
    <row r="183" spans="1:9" x14ac:dyDescent="0.25">
      <c r="A183" s="467">
        <v>33801</v>
      </c>
      <c r="B183" s="466" t="s">
        <v>553</v>
      </c>
      <c r="C183" s="452">
        <v>1320380.8405564548</v>
      </c>
      <c r="D183" s="452">
        <v>148800.17000000001</v>
      </c>
      <c r="E183" s="451">
        <f>+C183+D183</f>
        <v>1469181.0105564548</v>
      </c>
      <c r="F183" s="452">
        <v>9790.4</v>
      </c>
      <c r="G183" s="452">
        <v>6310.4</v>
      </c>
      <c r="H183" s="451">
        <f>+E183-F183</f>
        <v>1459390.6105564549</v>
      </c>
      <c r="I183" s="450">
        <f>+F183/E183</f>
        <v>6.663848722283627E-3</v>
      </c>
    </row>
    <row r="184" spans="1:9" ht="22.5" x14ac:dyDescent="0.25">
      <c r="A184" s="470">
        <v>339</v>
      </c>
      <c r="B184" s="474" t="s">
        <v>552</v>
      </c>
      <c r="C184" s="451">
        <f>C185</f>
        <v>1225080</v>
      </c>
      <c r="D184" s="451">
        <f>D185</f>
        <v>0</v>
      </c>
      <c r="E184" s="451">
        <f>+C184+D184</f>
        <v>1225080</v>
      </c>
      <c r="F184" s="451">
        <v>329215.09999999998</v>
      </c>
      <c r="G184" s="451">
        <v>274960</v>
      </c>
      <c r="H184" s="451">
        <f>+E184-F184</f>
        <v>895864.9</v>
      </c>
      <c r="I184" s="450">
        <f>+F184/E184</f>
        <v>0.26872947072844222</v>
      </c>
    </row>
    <row r="185" spans="1:9" x14ac:dyDescent="0.25">
      <c r="A185" s="467">
        <v>33901</v>
      </c>
      <c r="B185" s="466" t="s">
        <v>551</v>
      </c>
      <c r="C185" s="452">
        <v>1225080</v>
      </c>
      <c r="D185" s="452">
        <v>0</v>
      </c>
      <c r="E185" s="451">
        <f>+C185+D185</f>
        <v>1225080</v>
      </c>
      <c r="F185" s="452">
        <v>329215.09999999998</v>
      </c>
      <c r="G185" s="452">
        <v>274960</v>
      </c>
      <c r="H185" s="451">
        <f>+E185-F185</f>
        <v>895864.9</v>
      </c>
      <c r="I185" s="450">
        <f>+F185/E185</f>
        <v>0.26872947072844222</v>
      </c>
    </row>
    <row r="186" spans="1:9" x14ac:dyDescent="0.25">
      <c r="A186" s="471">
        <v>3400</v>
      </c>
      <c r="B186" s="474" t="s">
        <v>550</v>
      </c>
      <c r="C186" s="451">
        <f>C187+C189+C191+C193</f>
        <v>17119181.076834731</v>
      </c>
      <c r="D186" s="451">
        <f>D187+D189+D191+D193</f>
        <v>1969740.83</v>
      </c>
      <c r="E186" s="451">
        <f>+C186+D186</f>
        <v>19088921.906834729</v>
      </c>
      <c r="F186" s="451">
        <v>2582443.1500000004</v>
      </c>
      <c r="G186" s="451">
        <v>1445671.7399999998</v>
      </c>
      <c r="H186" s="451">
        <f>+E186-F186</f>
        <v>16506478.756834729</v>
      </c>
      <c r="I186" s="450">
        <f>+F186/E186</f>
        <v>0.13528491355372796</v>
      </c>
    </row>
    <row r="187" spans="1:9" x14ac:dyDescent="0.25">
      <c r="A187" s="470">
        <v>341</v>
      </c>
      <c r="B187" s="474" t="s">
        <v>549</v>
      </c>
      <c r="C187" s="451">
        <f>C188</f>
        <v>464642.94520270464</v>
      </c>
      <c r="D187" s="451">
        <f>D188</f>
        <v>0</v>
      </c>
      <c r="E187" s="451">
        <f>+C187+D187</f>
        <v>464642.94520270464</v>
      </c>
      <c r="F187" s="451">
        <v>168428.44999999998</v>
      </c>
      <c r="G187" s="451">
        <v>164848.51999999999</v>
      </c>
      <c r="H187" s="451">
        <f>+E187-F187</f>
        <v>296214.49520270468</v>
      </c>
      <c r="I187" s="450">
        <f>+F187/E187</f>
        <v>0.36249006196902778</v>
      </c>
    </row>
    <row r="188" spans="1:9" x14ac:dyDescent="0.25">
      <c r="A188" s="467">
        <v>34101</v>
      </c>
      <c r="B188" s="466" t="s">
        <v>549</v>
      </c>
      <c r="C188" s="452">
        <v>464642.94520270464</v>
      </c>
      <c r="D188" s="452">
        <v>0</v>
      </c>
      <c r="E188" s="451">
        <f>+C188+D188</f>
        <v>464642.94520270464</v>
      </c>
      <c r="F188" s="452">
        <v>168428.44999999998</v>
      </c>
      <c r="G188" s="452">
        <v>164848.51999999999</v>
      </c>
      <c r="H188" s="451">
        <f>+E188-F188</f>
        <v>296214.49520270468</v>
      </c>
      <c r="I188" s="450">
        <f>+F188/E188</f>
        <v>0.36249006196902778</v>
      </c>
    </row>
    <row r="189" spans="1:9" ht="22.5" x14ac:dyDescent="0.25">
      <c r="A189" s="470">
        <v>343</v>
      </c>
      <c r="B189" s="474" t="s">
        <v>548</v>
      </c>
      <c r="C189" s="451">
        <f>C190</f>
        <v>14737774.376984211</v>
      </c>
      <c r="D189" s="451">
        <f>D190</f>
        <v>1969740.83</v>
      </c>
      <c r="E189" s="451">
        <f>+C189+D189</f>
        <v>16707515.206984211</v>
      </c>
      <c r="F189" s="451">
        <v>1954419.77</v>
      </c>
      <c r="G189" s="451">
        <v>1159013.52</v>
      </c>
      <c r="H189" s="451">
        <f>+E189-F189</f>
        <v>14753095.436984211</v>
      </c>
      <c r="I189" s="450">
        <f>+F189/E189</f>
        <v>0.11697848218525024</v>
      </c>
    </row>
    <row r="190" spans="1:9" x14ac:dyDescent="0.25">
      <c r="A190" s="467">
        <v>34301</v>
      </c>
      <c r="B190" s="466" t="s">
        <v>548</v>
      </c>
      <c r="C190" s="452">
        <v>14737774.376984211</v>
      </c>
      <c r="D190" s="452">
        <v>1969740.83</v>
      </c>
      <c r="E190" s="451">
        <f>+C190+D190</f>
        <v>16707515.206984211</v>
      </c>
      <c r="F190" s="452">
        <v>1954419.77</v>
      </c>
      <c r="G190" s="452">
        <v>1159013.52</v>
      </c>
      <c r="H190" s="451">
        <f>+E190-F190</f>
        <v>14753095.436984211</v>
      </c>
      <c r="I190" s="450">
        <f>+F190/E190</f>
        <v>0.11697848218525024</v>
      </c>
    </row>
    <row r="191" spans="1:9" x14ac:dyDescent="0.25">
      <c r="A191" s="470">
        <v>344</v>
      </c>
      <c r="B191" s="474" t="s">
        <v>547</v>
      </c>
      <c r="C191" s="451">
        <f>C192</f>
        <v>1870029.4739672802</v>
      </c>
      <c r="D191" s="451">
        <f>D192</f>
        <v>0</v>
      </c>
      <c r="E191" s="451">
        <f>+C191+D191</f>
        <v>1870029.4739672802</v>
      </c>
      <c r="F191" s="451">
        <v>459361.92999999993</v>
      </c>
      <c r="G191" s="451">
        <v>121576.7</v>
      </c>
      <c r="H191" s="451">
        <f>+E191-F191</f>
        <v>1410667.5439672803</v>
      </c>
      <c r="I191" s="450">
        <f>+F191/E191</f>
        <v>0.24564421919268495</v>
      </c>
    </row>
    <row r="192" spans="1:9" x14ac:dyDescent="0.25">
      <c r="A192" s="467">
        <v>34401</v>
      </c>
      <c r="B192" s="466" t="s">
        <v>547</v>
      </c>
      <c r="C192" s="452">
        <v>1870029.4739672802</v>
      </c>
      <c r="D192" s="452">
        <v>0</v>
      </c>
      <c r="E192" s="451">
        <f>+C192+D192</f>
        <v>1870029.4739672802</v>
      </c>
      <c r="F192" s="452">
        <v>459361.92999999993</v>
      </c>
      <c r="G192" s="452">
        <v>121576.7</v>
      </c>
      <c r="H192" s="451">
        <f>+E192-F192</f>
        <v>1410667.5439672803</v>
      </c>
      <c r="I192" s="450">
        <f>+F192/E192</f>
        <v>0.24564421919268495</v>
      </c>
    </row>
    <row r="193" spans="1:9" x14ac:dyDescent="0.25">
      <c r="A193" s="470">
        <v>347</v>
      </c>
      <c r="B193" s="474" t="s">
        <v>546</v>
      </c>
      <c r="C193" s="451">
        <f>C194</f>
        <v>46734.280680538155</v>
      </c>
      <c r="D193" s="451">
        <f>D194</f>
        <v>0</v>
      </c>
      <c r="E193" s="451">
        <f>+C193+D193</f>
        <v>46734.280680538155</v>
      </c>
      <c r="F193" s="451">
        <v>233</v>
      </c>
      <c r="G193" s="451">
        <v>233</v>
      </c>
      <c r="H193" s="451">
        <f>+E193-F193</f>
        <v>46501.280680538155</v>
      </c>
      <c r="I193" s="450">
        <f>+F193/E193</f>
        <v>4.9856335992998308E-3</v>
      </c>
    </row>
    <row r="194" spans="1:9" x14ac:dyDescent="0.25">
      <c r="A194" s="467">
        <v>34701</v>
      </c>
      <c r="B194" s="466" t="s">
        <v>546</v>
      </c>
      <c r="C194" s="452">
        <v>46734.280680538155</v>
      </c>
      <c r="D194" s="452">
        <v>0</v>
      </c>
      <c r="E194" s="451">
        <f>+C194+D194</f>
        <v>46734.280680538155</v>
      </c>
      <c r="F194" s="452">
        <v>233</v>
      </c>
      <c r="G194" s="452">
        <v>233</v>
      </c>
      <c r="H194" s="451">
        <f>+E194-F194</f>
        <v>46501.280680538155</v>
      </c>
      <c r="I194" s="450">
        <f>+F194/E194</f>
        <v>4.9856335992998308E-3</v>
      </c>
    </row>
    <row r="195" spans="1:9" ht="22.5" x14ac:dyDescent="0.25">
      <c r="A195" s="471">
        <v>3500</v>
      </c>
      <c r="B195" s="474" t="s">
        <v>545</v>
      </c>
      <c r="C195" s="451">
        <f>C196+C198+C200+C203+C205+C208+C210</f>
        <v>8212615.9761829665</v>
      </c>
      <c r="D195" s="451">
        <f>D196+D198+D200+D203+D205+D208+D210</f>
        <v>1604230</v>
      </c>
      <c r="E195" s="451">
        <f>+C195+D195</f>
        <v>9816845.9761829674</v>
      </c>
      <c r="F195" s="451">
        <v>1599980.4299999997</v>
      </c>
      <c r="G195" s="451">
        <v>1014510.8</v>
      </c>
      <c r="H195" s="451">
        <f>+E195-F195</f>
        <v>8216865.5461829677</v>
      </c>
      <c r="I195" s="450">
        <f>+F195/E195</f>
        <v>0.16298314487991097</v>
      </c>
    </row>
    <row r="196" spans="1:9" x14ac:dyDescent="0.25">
      <c r="A196" s="470">
        <v>351</v>
      </c>
      <c r="B196" s="474" t="s">
        <v>544</v>
      </c>
      <c r="C196" s="451">
        <f>C197</f>
        <v>710043.3511171923</v>
      </c>
      <c r="D196" s="451">
        <f>D197</f>
        <v>0</v>
      </c>
      <c r="E196" s="451">
        <f>+C196+D196</f>
        <v>710043.3511171923</v>
      </c>
      <c r="F196" s="451">
        <v>7957.03</v>
      </c>
      <c r="G196" s="451">
        <v>7957.03</v>
      </c>
      <c r="H196" s="451">
        <f>+E196-F196</f>
        <v>702086.32111719227</v>
      </c>
      <c r="I196" s="450">
        <f>+F196/E196</f>
        <v>1.1206400267646046E-2</v>
      </c>
    </row>
    <row r="197" spans="1:9" x14ac:dyDescent="0.25">
      <c r="A197" s="467">
        <v>35101</v>
      </c>
      <c r="B197" s="466" t="s">
        <v>543</v>
      </c>
      <c r="C197" s="452">
        <v>710043.3511171923</v>
      </c>
      <c r="D197" s="452">
        <v>0</v>
      </c>
      <c r="E197" s="451">
        <f>+C197+D197</f>
        <v>710043.3511171923</v>
      </c>
      <c r="F197" s="452">
        <v>7957.03</v>
      </c>
      <c r="G197" s="452">
        <v>7957.03</v>
      </c>
      <c r="H197" s="451">
        <f>+E197-F197</f>
        <v>702086.32111719227</v>
      </c>
      <c r="I197" s="450">
        <f>+F197/E197</f>
        <v>1.1206400267646046E-2</v>
      </c>
    </row>
    <row r="198" spans="1:9" ht="22.5" x14ac:dyDescent="0.25">
      <c r="A198" s="470">
        <v>352</v>
      </c>
      <c r="B198" s="474" t="s">
        <v>542</v>
      </c>
      <c r="C198" s="451">
        <f>C199</f>
        <v>135157.74024212468</v>
      </c>
      <c r="D198" s="451">
        <f>D199</f>
        <v>0</v>
      </c>
      <c r="E198" s="451">
        <f>+C198+D198</f>
        <v>135157.74024212468</v>
      </c>
      <c r="F198" s="451">
        <v>928</v>
      </c>
      <c r="G198" s="451">
        <v>928</v>
      </c>
      <c r="H198" s="451">
        <f>+E198-F198</f>
        <v>134229.74024212468</v>
      </c>
      <c r="I198" s="450">
        <f>+F198/E198</f>
        <v>6.8660514620735701E-3</v>
      </c>
    </row>
    <row r="199" spans="1:9" x14ac:dyDescent="0.25">
      <c r="A199" s="467">
        <v>35201</v>
      </c>
      <c r="B199" s="466" t="s">
        <v>541</v>
      </c>
      <c r="C199" s="452">
        <v>135157.74024212468</v>
      </c>
      <c r="D199" s="452">
        <v>0</v>
      </c>
      <c r="E199" s="451">
        <f>+C199+D199</f>
        <v>135157.74024212468</v>
      </c>
      <c r="F199" s="452">
        <v>928</v>
      </c>
      <c r="G199" s="452">
        <v>928</v>
      </c>
      <c r="H199" s="451">
        <f>+E199-F199</f>
        <v>134229.74024212468</v>
      </c>
      <c r="I199" s="450">
        <f>+F199/E199</f>
        <v>6.8660514620735701E-3</v>
      </c>
    </row>
    <row r="200" spans="1:9" ht="22.5" x14ac:dyDescent="0.25">
      <c r="A200" s="470">
        <v>353</v>
      </c>
      <c r="B200" s="474" t="s">
        <v>540</v>
      </c>
      <c r="C200" s="451">
        <f>C201+C202</f>
        <v>25932.08532136105</v>
      </c>
      <c r="D200" s="451">
        <f>D201+D202</f>
        <v>0</v>
      </c>
      <c r="E200" s="451">
        <f>+C200+D200</f>
        <v>25932.08532136105</v>
      </c>
      <c r="F200" s="451">
        <v>664</v>
      </c>
      <c r="G200" s="451">
        <v>664</v>
      </c>
      <c r="H200" s="451">
        <f>+E200-F200</f>
        <v>25268.08532136105</v>
      </c>
      <c r="I200" s="450">
        <f>+F200/E200</f>
        <v>2.5605345338465431E-2</v>
      </c>
    </row>
    <row r="201" spans="1:9" x14ac:dyDescent="0.25">
      <c r="A201" s="467">
        <v>35301</v>
      </c>
      <c r="B201" s="466" t="s">
        <v>539</v>
      </c>
      <c r="C201" s="452">
        <v>0</v>
      </c>
      <c r="D201" s="452">
        <v>0</v>
      </c>
      <c r="E201" s="451">
        <f>+C201+D201</f>
        <v>0</v>
      </c>
      <c r="F201" s="452">
        <v>0</v>
      </c>
      <c r="G201" s="452">
        <v>0</v>
      </c>
      <c r="H201" s="451">
        <f>+E201-F201</f>
        <v>0</v>
      </c>
      <c r="I201" s="450"/>
    </row>
    <row r="202" spans="1:9" x14ac:dyDescent="0.25">
      <c r="A202" s="467">
        <v>35302</v>
      </c>
      <c r="B202" s="466" t="s">
        <v>538</v>
      </c>
      <c r="C202" s="452">
        <v>25932.08532136105</v>
      </c>
      <c r="D202" s="452">
        <v>0</v>
      </c>
      <c r="E202" s="451">
        <f>+C202+D202</f>
        <v>25932.08532136105</v>
      </c>
      <c r="F202" s="452">
        <v>664</v>
      </c>
      <c r="G202" s="452">
        <v>664</v>
      </c>
      <c r="H202" s="451">
        <f>+E202-F202</f>
        <v>25268.08532136105</v>
      </c>
      <c r="I202" s="450">
        <f>+F202/E202</f>
        <v>2.5605345338465431E-2</v>
      </c>
    </row>
    <row r="203" spans="1:9" x14ac:dyDescent="0.25">
      <c r="A203" s="470">
        <v>355</v>
      </c>
      <c r="B203" s="474" t="s">
        <v>537</v>
      </c>
      <c r="C203" s="451">
        <f>C204</f>
        <v>1692326.2405160463</v>
      </c>
      <c r="D203" s="451">
        <f>D204</f>
        <v>83000</v>
      </c>
      <c r="E203" s="451">
        <f>+C203+D203</f>
        <v>1775326.2405160463</v>
      </c>
      <c r="F203" s="451">
        <v>254251.28999999998</v>
      </c>
      <c r="G203" s="451">
        <v>144363.63999999998</v>
      </c>
      <c r="H203" s="451">
        <f>+E203-F203</f>
        <v>1521074.9505160463</v>
      </c>
      <c r="I203" s="450">
        <f>+F203/E203</f>
        <v>0.14321384103808155</v>
      </c>
    </row>
    <row r="204" spans="1:9" x14ac:dyDescent="0.25">
      <c r="A204" s="467">
        <v>35501</v>
      </c>
      <c r="B204" s="466" t="s">
        <v>536</v>
      </c>
      <c r="C204" s="452">
        <v>1692326.2405160463</v>
      </c>
      <c r="D204" s="452">
        <v>83000</v>
      </c>
      <c r="E204" s="451">
        <f>+C204+D204</f>
        <v>1775326.2405160463</v>
      </c>
      <c r="F204" s="452">
        <v>254251.28999999998</v>
      </c>
      <c r="G204" s="452">
        <v>144363.63999999998</v>
      </c>
      <c r="H204" s="451">
        <f>+E204-F204</f>
        <v>1521074.9505160463</v>
      </c>
      <c r="I204" s="450">
        <f>+F204/E204</f>
        <v>0.14321384103808155</v>
      </c>
    </row>
    <row r="205" spans="1:9" ht="22.5" x14ac:dyDescent="0.25">
      <c r="A205" s="470">
        <v>357</v>
      </c>
      <c r="B205" s="474" t="s">
        <v>535</v>
      </c>
      <c r="C205" s="451">
        <f>C206+C207</f>
        <v>5269468.1940494394</v>
      </c>
      <c r="D205" s="451">
        <f>D206+D207</f>
        <v>1521230</v>
      </c>
      <c r="E205" s="451">
        <f>+C205+D205</f>
        <v>6790698.1940494394</v>
      </c>
      <c r="F205" s="451">
        <v>1239917.83</v>
      </c>
      <c r="G205" s="451">
        <v>646323.51</v>
      </c>
      <c r="H205" s="451">
        <f>+E205-F205</f>
        <v>5550780.3640494393</v>
      </c>
      <c r="I205" s="450">
        <f>+F205/E205</f>
        <v>0.18259062537730164</v>
      </c>
    </row>
    <row r="206" spans="1:9" x14ac:dyDescent="0.25">
      <c r="A206" s="467">
        <v>35701</v>
      </c>
      <c r="B206" s="466" t="s">
        <v>534</v>
      </c>
      <c r="C206" s="452">
        <v>5269468.1940494394</v>
      </c>
      <c r="D206" s="452">
        <f>2221230-700000</f>
        <v>1521230</v>
      </c>
      <c r="E206" s="451">
        <f>+C206+D206</f>
        <v>6790698.1940494394</v>
      </c>
      <c r="F206" s="452">
        <v>1239917.83</v>
      </c>
      <c r="G206" s="452">
        <v>646323.51</v>
      </c>
      <c r="H206" s="451">
        <f>+E206-F206</f>
        <v>5550780.3640494393</v>
      </c>
      <c r="I206" s="450">
        <f>+F206/E206</f>
        <v>0.18259062537730164</v>
      </c>
    </row>
    <row r="207" spans="1:9" ht="22.5" x14ac:dyDescent="0.25">
      <c r="A207" s="467">
        <v>35702</v>
      </c>
      <c r="B207" s="466" t="s">
        <v>533</v>
      </c>
      <c r="C207" s="452">
        <v>0</v>
      </c>
      <c r="D207" s="452">
        <v>0</v>
      </c>
      <c r="E207" s="451">
        <f>+C207+D207</f>
        <v>0</v>
      </c>
      <c r="F207" s="452">
        <v>0</v>
      </c>
      <c r="G207" s="452">
        <v>0</v>
      </c>
      <c r="H207" s="451">
        <f>+E207-F207</f>
        <v>0</v>
      </c>
      <c r="I207" s="450"/>
    </row>
    <row r="208" spans="1:9" x14ac:dyDescent="0.25">
      <c r="A208" s="470">
        <v>358</v>
      </c>
      <c r="B208" s="474" t="s">
        <v>532</v>
      </c>
      <c r="C208" s="451">
        <f>C209</f>
        <v>229552.02061253379</v>
      </c>
      <c r="D208" s="451">
        <f>D209</f>
        <v>0</v>
      </c>
      <c r="E208" s="451">
        <f>+C208+D208</f>
        <v>229552.02061253379</v>
      </c>
      <c r="F208" s="451">
        <v>37420.119999999995</v>
      </c>
      <c r="G208" s="451">
        <v>29419.919999999998</v>
      </c>
      <c r="H208" s="451">
        <f>+E208-F208</f>
        <v>192131.90061253379</v>
      </c>
      <c r="I208" s="450">
        <f>+F208/E208</f>
        <v>0.163013681605366</v>
      </c>
    </row>
    <row r="209" spans="1:9" x14ac:dyDescent="0.25">
      <c r="A209" s="467">
        <v>35801</v>
      </c>
      <c r="B209" s="466" t="s">
        <v>532</v>
      </c>
      <c r="C209" s="452">
        <v>229552.02061253379</v>
      </c>
      <c r="D209" s="452">
        <v>0</v>
      </c>
      <c r="E209" s="451">
        <f>+C209+D209</f>
        <v>229552.02061253379</v>
      </c>
      <c r="F209" s="452">
        <v>37420.119999999995</v>
      </c>
      <c r="G209" s="452">
        <v>29419.919999999998</v>
      </c>
      <c r="H209" s="451">
        <f>+E209-F209</f>
        <v>192131.90061253379</v>
      </c>
      <c r="I209" s="450">
        <f>+F209/E209</f>
        <v>0.163013681605366</v>
      </c>
    </row>
    <row r="210" spans="1:9" x14ac:dyDescent="0.25">
      <c r="A210" s="470">
        <v>359</v>
      </c>
      <c r="B210" s="474" t="s">
        <v>531</v>
      </c>
      <c r="C210" s="451">
        <f>C211</f>
        <v>150136.34432426884</v>
      </c>
      <c r="D210" s="451">
        <f>D211</f>
        <v>0</v>
      </c>
      <c r="E210" s="451">
        <f>+C210+D210</f>
        <v>150136.34432426884</v>
      </c>
      <c r="F210" s="451">
        <v>58842.16</v>
      </c>
      <c r="G210" s="451">
        <v>184854.7</v>
      </c>
      <c r="H210" s="451">
        <f>+E210-F210</f>
        <v>91294.184324268834</v>
      </c>
      <c r="I210" s="450">
        <f>+F210/E210</f>
        <v>0.39192482183335298</v>
      </c>
    </row>
    <row r="211" spans="1:9" x14ac:dyDescent="0.25">
      <c r="A211" s="467">
        <v>35901</v>
      </c>
      <c r="B211" s="466" t="s">
        <v>531</v>
      </c>
      <c r="C211" s="452">
        <v>150136.34432426884</v>
      </c>
      <c r="D211" s="452">
        <v>0</v>
      </c>
      <c r="E211" s="451">
        <f>+C211+D211</f>
        <v>150136.34432426884</v>
      </c>
      <c r="F211" s="452">
        <v>58842.16</v>
      </c>
      <c r="G211" s="452">
        <v>184854.7</v>
      </c>
      <c r="H211" s="451">
        <f>+E211-F211</f>
        <v>91294.184324268834</v>
      </c>
      <c r="I211" s="450">
        <f>+F211/E211</f>
        <v>0.39192482183335298</v>
      </c>
    </row>
    <row r="212" spans="1:9" x14ac:dyDescent="0.25">
      <c r="A212" s="471">
        <v>3600</v>
      </c>
      <c r="B212" s="474" t="s">
        <v>530</v>
      </c>
      <c r="C212" s="451">
        <f>C213+C215+C217+C219</f>
        <v>1384669.3778340495</v>
      </c>
      <c r="D212" s="451">
        <f>D213+D215+D217+D219</f>
        <v>134800</v>
      </c>
      <c r="E212" s="451">
        <f>+C212+D212</f>
        <v>1519469.3778340495</v>
      </c>
      <c r="F212" s="451">
        <v>206480</v>
      </c>
      <c r="G212" s="451">
        <v>58000</v>
      </c>
      <c r="H212" s="451">
        <f>+E212-F212</f>
        <v>1312989.3778340495</v>
      </c>
      <c r="I212" s="450">
        <f>+F212/E212</f>
        <v>0.13588954342359305</v>
      </c>
    </row>
    <row r="213" spans="1:9" ht="33.75" x14ac:dyDescent="0.25">
      <c r="A213" s="470">
        <v>361</v>
      </c>
      <c r="B213" s="474" t="s">
        <v>529</v>
      </c>
      <c r="C213" s="451">
        <f>C214</f>
        <v>1143972.3808239913</v>
      </c>
      <c r="D213" s="451">
        <f>D214</f>
        <v>120000</v>
      </c>
      <c r="E213" s="451">
        <f>+C213+D213</f>
        <v>1263972.3808239913</v>
      </c>
      <c r="F213" s="451">
        <v>171680</v>
      </c>
      <c r="G213" s="451">
        <v>23200</v>
      </c>
      <c r="H213" s="451">
        <f>+E213-F213</f>
        <v>1092292.3808239913</v>
      </c>
      <c r="I213" s="450">
        <f>+F213/E213</f>
        <v>0.13582575268621042</v>
      </c>
    </row>
    <row r="214" spans="1:9" ht="22.5" x14ac:dyDescent="0.25">
      <c r="A214" s="467">
        <v>36101</v>
      </c>
      <c r="B214" s="466" t="s">
        <v>529</v>
      </c>
      <c r="C214" s="452">
        <v>1143972.3808239913</v>
      </c>
      <c r="D214" s="452">
        <v>120000</v>
      </c>
      <c r="E214" s="451">
        <f>+C214+D214</f>
        <v>1263972.3808239913</v>
      </c>
      <c r="F214" s="452">
        <v>171680</v>
      </c>
      <c r="G214" s="452">
        <v>23200</v>
      </c>
      <c r="H214" s="451">
        <f>+E214-F214</f>
        <v>1092292.3808239913</v>
      </c>
      <c r="I214" s="450">
        <f>+F214/E214</f>
        <v>0.13582575268621042</v>
      </c>
    </row>
    <row r="215" spans="1:9" x14ac:dyDescent="0.25">
      <c r="A215" s="470">
        <v>364</v>
      </c>
      <c r="B215" s="474" t="s">
        <v>528</v>
      </c>
      <c r="C215" s="451">
        <f>C216</f>
        <v>387.80982328732495</v>
      </c>
      <c r="D215" s="451">
        <f>D216</f>
        <v>0</v>
      </c>
      <c r="E215" s="451">
        <f>+C215+D215</f>
        <v>387.80982328732495</v>
      </c>
      <c r="F215" s="451">
        <v>0</v>
      </c>
      <c r="G215" s="451">
        <v>0</v>
      </c>
      <c r="H215" s="451">
        <f>+E215-F215</f>
        <v>387.80982328732495</v>
      </c>
      <c r="I215" s="450">
        <f>+F215/E215</f>
        <v>0</v>
      </c>
    </row>
    <row r="216" spans="1:9" x14ac:dyDescent="0.25">
      <c r="A216" s="467">
        <v>36401</v>
      </c>
      <c r="B216" s="466" t="s">
        <v>528</v>
      </c>
      <c r="C216" s="452">
        <v>387.80982328732495</v>
      </c>
      <c r="D216" s="452">
        <v>0</v>
      </c>
      <c r="E216" s="451">
        <f>+C216+D216</f>
        <v>387.80982328732495</v>
      </c>
      <c r="F216" s="452">
        <v>0</v>
      </c>
      <c r="G216" s="452">
        <v>0</v>
      </c>
      <c r="H216" s="451">
        <f>+E216-F216</f>
        <v>387.80982328732495</v>
      </c>
      <c r="I216" s="450">
        <f>+F216/E216</f>
        <v>0</v>
      </c>
    </row>
    <row r="217" spans="1:9" x14ac:dyDescent="0.25">
      <c r="A217" s="470">
        <v>365</v>
      </c>
      <c r="B217" s="474" t="s">
        <v>527</v>
      </c>
      <c r="C217" s="451">
        <f>C218</f>
        <v>80000</v>
      </c>
      <c r="D217" s="451">
        <f>D218</f>
        <v>14800</v>
      </c>
      <c r="E217" s="451">
        <f>+C217+D217</f>
        <v>94800</v>
      </c>
      <c r="F217" s="452">
        <v>34800</v>
      </c>
      <c r="G217" s="452">
        <v>34800</v>
      </c>
      <c r="H217" s="451">
        <f>+E217-F217</f>
        <v>60000</v>
      </c>
      <c r="I217" s="450">
        <f>+F217/E217</f>
        <v>0.36708860759493672</v>
      </c>
    </row>
    <row r="218" spans="1:9" x14ac:dyDescent="0.25">
      <c r="A218" s="467">
        <v>36501</v>
      </c>
      <c r="B218" s="466" t="s">
        <v>527</v>
      </c>
      <c r="C218" s="452">
        <v>80000</v>
      </c>
      <c r="D218" s="452">
        <v>14800</v>
      </c>
      <c r="E218" s="451">
        <f>+C218+D218</f>
        <v>94800</v>
      </c>
      <c r="F218" s="452">
        <v>34800</v>
      </c>
      <c r="G218" s="452">
        <v>34800</v>
      </c>
      <c r="H218" s="451">
        <f>+E218-F218</f>
        <v>60000</v>
      </c>
      <c r="I218" s="450">
        <f>+F218/E218</f>
        <v>0.36708860759493672</v>
      </c>
    </row>
    <row r="219" spans="1:9" x14ac:dyDescent="0.25">
      <c r="A219" s="470">
        <v>369</v>
      </c>
      <c r="B219" s="474" t="s">
        <v>526</v>
      </c>
      <c r="C219" s="451">
        <f>C220</f>
        <v>160309.18718677078</v>
      </c>
      <c r="D219" s="451">
        <f>D220</f>
        <v>0</v>
      </c>
      <c r="E219" s="451">
        <f>+C219+D219</f>
        <v>160309.18718677078</v>
      </c>
      <c r="F219" s="451">
        <v>0</v>
      </c>
      <c r="G219" s="451">
        <v>0</v>
      </c>
      <c r="H219" s="451">
        <f>+E219-F219</f>
        <v>160309.18718677078</v>
      </c>
      <c r="I219" s="450">
        <f>+F219/E219</f>
        <v>0</v>
      </c>
    </row>
    <row r="220" spans="1:9" x14ac:dyDescent="0.25">
      <c r="A220" s="467">
        <v>36901</v>
      </c>
      <c r="B220" s="466" t="s">
        <v>526</v>
      </c>
      <c r="C220" s="452">
        <v>160309.18718677078</v>
      </c>
      <c r="D220" s="452">
        <v>0</v>
      </c>
      <c r="E220" s="451">
        <f>+C220+D220</f>
        <v>160309.18718677078</v>
      </c>
      <c r="F220" s="452">
        <v>0</v>
      </c>
      <c r="G220" s="452">
        <v>0</v>
      </c>
      <c r="H220" s="451">
        <f>+E220-F220</f>
        <v>160309.18718677078</v>
      </c>
      <c r="I220" s="450">
        <f>+F220/E220</f>
        <v>0</v>
      </c>
    </row>
    <row r="221" spans="1:9" x14ac:dyDescent="0.25">
      <c r="A221" s="471">
        <v>3700</v>
      </c>
      <c r="B221" s="474" t="s">
        <v>525</v>
      </c>
      <c r="C221" s="451">
        <f>C222+C225+C227+C230+C232+C234</f>
        <v>3092396.6332266806</v>
      </c>
      <c r="D221" s="451">
        <f>D222+D225+D227+D230+D232+D234</f>
        <v>40391</v>
      </c>
      <c r="E221" s="451">
        <f>+C221+D221</f>
        <v>3132787.6332266806</v>
      </c>
      <c r="F221" s="451">
        <v>626371.98</v>
      </c>
      <c r="G221" s="451">
        <v>527272.54999999993</v>
      </c>
      <c r="H221" s="451">
        <f>+E221-F221</f>
        <v>2506415.6532266806</v>
      </c>
      <c r="I221" s="450">
        <f>+F221/E221</f>
        <v>0.19994077267052252</v>
      </c>
    </row>
    <row r="222" spans="1:9" x14ac:dyDescent="0.25">
      <c r="A222" s="470">
        <v>371</v>
      </c>
      <c r="B222" s="474" t="s">
        <v>524</v>
      </c>
      <c r="C222" s="451">
        <f>C223+C224</f>
        <v>726220.09522999078</v>
      </c>
      <c r="D222" s="451">
        <f>D223+D224</f>
        <v>0</v>
      </c>
      <c r="E222" s="451">
        <f>+C222+D222</f>
        <v>726220.09522999078</v>
      </c>
      <c r="F222" s="451">
        <v>99099.43</v>
      </c>
      <c r="G222" s="451">
        <v>0</v>
      </c>
      <c r="H222" s="451">
        <f>+E222-F222</f>
        <v>627120.66522999085</v>
      </c>
      <c r="I222" s="450">
        <f>+F222/E222</f>
        <v>0.13645922310730829</v>
      </c>
    </row>
    <row r="223" spans="1:9" x14ac:dyDescent="0.25">
      <c r="A223" s="467">
        <v>37101</v>
      </c>
      <c r="B223" s="466" t="s">
        <v>523</v>
      </c>
      <c r="C223" s="452">
        <v>726220.09522999078</v>
      </c>
      <c r="D223" s="452">
        <v>0</v>
      </c>
      <c r="E223" s="451">
        <f>+C223+D223</f>
        <v>726220.09522999078</v>
      </c>
      <c r="F223" s="452">
        <v>99099.43</v>
      </c>
      <c r="G223" s="452">
        <v>0</v>
      </c>
      <c r="H223" s="451">
        <f>+E223-F223</f>
        <v>627120.66522999085</v>
      </c>
      <c r="I223" s="450">
        <f>+F223/E223</f>
        <v>0.13645922310730829</v>
      </c>
    </row>
    <row r="224" spans="1:9" x14ac:dyDescent="0.25">
      <c r="A224" s="467">
        <v>37104</v>
      </c>
      <c r="B224" s="466" t="s">
        <v>522</v>
      </c>
      <c r="C224" s="452">
        <v>0</v>
      </c>
      <c r="D224" s="452">
        <v>0</v>
      </c>
      <c r="E224" s="451">
        <f>+C224+D224</f>
        <v>0</v>
      </c>
      <c r="F224" s="452">
        <v>0</v>
      </c>
      <c r="G224" s="452">
        <v>0</v>
      </c>
      <c r="H224" s="451">
        <f>+E224-F224</f>
        <v>0</v>
      </c>
      <c r="I224" s="450"/>
    </row>
    <row r="225" spans="1:9" x14ac:dyDescent="0.25">
      <c r="A225" s="470">
        <v>372</v>
      </c>
      <c r="B225" s="474" t="s">
        <v>521</v>
      </c>
      <c r="C225" s="451">
        <f>C226</f>
        <v>70186.502399999998</v>
      </c>
      <c r="D225" s="451">
        <f>D226</f>
        <v>0</v>
      </c>
      <c r="E225" s="451">
        <f>+C225+D225</f>
        <v>70186.502399999998</v>
      </c>
      <c r="F225" s="451">
        <v>8461.7900000000009</v>
      </c>
      <c r="G225" s="451">
        <v>8461.7900000000009</v>
      </c>
      <c r="H225" s="451">
        <f>+E225-F225</f>
        <v>61724.712399999997</v>
      </c>
      <c r="I225" s="450">
        <f>+F225/E225</f>
        <v>0.12056149987037965</v>
      </c>
    </row>
    <row r="226" spans="1:9" x14ac:dyDescent="0.25">
      <c r="A226" s="467">
        <v>37201</v>
      </c>
      <c r="B226" s="466" t="s">
        <v>521</v>
      </c>
      <c r="C226" s="452">
        <v>70186.502399999998</v>
      </c>
      <c r="D226" s="452">
        <v>0</v>
      </c>
      <c r="E226" s="451">
        <f>+C226+D226</f>
        <v>70186.502399999998</v>
      </c>
      <c r="F226" s="452">
        <v>8461.7900000000009</v>
      </c>
      <c r="G226" s="452">
        <v>8461.7900000000009</v>
      </c>
      <c r="H226" s="451">
        <f>+E226-F226</f>
        <v>61724.712399999997</v>
      </c>
      <c r="I226" s="450">
        <f>+F226/E226</f>
        <v>0.12056149987037965</v>
      </c>
    </row>
    <row r="227" spans="1:9" x14ac:dyDescent="0.25">
      <c r="A227" s="470">
        <v>375</v>
      </c>
      <c r="B227" s="474" t="s">
        <v>520</v>
      </c>
      <c r="C227" s="451">
        <f>C228+C229</f>
        <v>2083335.4873966896</v>
      </c>
      <c r="D227" s="451">
        <f>D228+D229</f>
        <v>40391</v>
      </c>
      <c r="E227" s="451">
        <f>+C227+D227</f>
        <v>2123726.4873966896</v>
      </c>
      <c r="F227" s="451">
        <v>507611.76</v>
      </c>
      <c r="G227" s="451">
        <v>507611.76</v>
      </c>
      <c r="H227" s="451">
        <f>+E227-F227</f>
        <v>1616114.7273966896</v>
      </c>
      <c r="I227" s="450">
        <f>+F227/E227</f>
        <v>0.23901936667100743</v>
      </c>
    </row>
    <row r="228" spans="1:9" x14ac:dyDescent="0.25">
      <c r="A228" s="467">
        <v>37501</v>
      </c>
      <c r="B228" s="466" t="s">
        <v>520</v>
      </c>
      <c r="C228" s="452">
        <v>1358479.8643430811</v>
      </c>
      <c r="D228" s="452">
        <v>40391</v>
      </c>
      <c r="E228" s="451">
        <f>+C228+D228</f>
        <v>1398870.8643430811</v>
      </c>
      <c r="F228" s="452">
        <v>357011.76</v>
      </c>
      <c r="G228" s="452">
        <v>357011.76</v>
      </c>
      <c r="H228" s="451">
        <f>+E228-F228</f>
        <v>1041859.1043430811</v>
      </c>
      <c r="I228" s="450">
        <f>+F228/E228</f>
        <v>0.25521423678207428</v>
      </c>
    </row>
    <row r="229" spans="1:9" x14ac:dyDescent="0.25">
      <c r="A229" s="467">
        <v>37502</v>
      </c>
      <c r="B229" s="466" t="s">
        <v>519</v>
      </c>
      <c r="C229" s="452">
        <v>724855.62305360846</v>
      </c>
      <c r="D229" s="452">
        <v>0</v>
      </c>
      <c r="E229" s="451">
        <f>+C229+D229</f>
        <v>724855.62305360846</v>
      </c>
      <c r="F229" s="452">
        <v>150600</v>
      </c>
      <c r="G229" s="452">
        <v>150600</v>
      </c>
      <c r="H229" s="451">
        <f>+E229-F229</f>
        <v>574255.62305360846</v>
      </c>
      <c r="I229" s="450">
        <f>+F229/E229</f>
        <v>0.20776551248311417</v>
      </c>
    </row>
    <row r="230" spans="1:9" x14ac:dyDescent="0.25">
      <c r="A230" s="470">
        <v>376</v>
      </c>
      <c r="B230" s="474" t="s">
        <v>518</v>
      </c>
      <c r="C230" s="451">
        <f>C231</f>
        <v>150303.92800000001</v>
      </c>
      <c r="D230" s="451">
        <f>D231</f>
        <v>0</v>
      </c>
      <c r="E230" s="451">
        <f>+C230+D230</f>
        <v>150303.92800000001</v>
      </c>
      <c r="F230" s="451">
        <v>3816</v>
      </c>
      <c r="G230" s="451">
        <v>3816</v>
      </c>
      <c r="H230" s="451">
        <f>+E230-F230</f>
        <v>146487.92800000001</v>
      </c>
      <c r="I230" s="450">
        <f>+F230/E230</f>
        <v>2.5388558042208981E-2</v>
      </c>
    </row>
    <row r="231" spans="1:9" x14ac:dyDescent="0.25">
      <c r="A231" s="467">
        <v>37601</v>
      </c>
      <c r="B231" s="466" t="s">
        <v>518</v>
      </c>
      <c r="C231" s="452">
        <v>150303.92800000001</v>
      </c>
      <c r="D231" s="452">
        <v>0</v>
      </c>
      <c r="E231" s="451">
        <f>+C231+D231</f>
        <v>150303.92800000001</v>
      </c>
      <c r="F231" s="452">
        <v>3816</v>
      </c>
      <c r="G231" s="452">
        <v>3816</v>
      </c>
      <c r="H231" s="451">
        <f>+E231-F231</f>
        <v>146487.92800000001</v>
      </c>
      <c r="I231" s="450">
        <f>+F231/E231</f>
        <v>2.5388558042208981E-2</v>
      </c>
    </row>
    <row r="232" spans="1:9" x14ac:dyDescent="0.25">
      <c r="A232" s="470">
        <v>378</v>
      </c>
      <c r="B232" s="474" t="s">
        <v>517</v>
      </c>
      <c r="C232" s="451">
        <f>C233</f>
        <v>13500</v>
      </c>
      <c r="D232" s="451">
        <f>D233</f>
        <v>0</v>
      </c>
      <c r="E232" s="451">
        <f>+C232+D232</f>
        <v>13500</v>
      </c>
      <c r="F232" s="451">
        <v>4693</v>
      </c>
      <c r="G232" s="451">
        <v>4693</v>
      </c>
      <c r="H232" s="451">
        <f>+E232-F232</f>
        <v>8807</v>
      </c>
      <c r="I232" s="450">
        <f>+F232/E232</f>
        <v>0.34762962962962962</v>
      </c>
    </row>
    <row r="233" spans="1:9" x14ac:dyDescent="0.25">
      <c r="A233" s="467">
        <v>37801</v>
      </c>
      <c r="B233" s="466" t="s">
        <v>517</v>
      </c>
      <c r="C233" s="452">
        <v>13500</v>
      </c>
      <c r="D233" s="452">
        <v>0</v>
      </c>
      <c r="E233" s="451">
        <f>+C233+D233</f>
        <v>13500</v>
      </c>
      <c r="F233" s="452">
        <v>4693</v>
      </c>
      <c r="G233" s="452">
        <v>4693</v>
      </c>
      <c r="H233" s="451">
        <f>+E233-F233</f>
        <v>8807</v>
      </c>
      <c r="I233" s="450">
        <f>+F233/E233</f>
        <v>0.34762962962962962</v>
      </c>
    </row>
    <row r="234" spans="1:9" x14ac:dyDescent="0.25">
      <c r="A234" s="470">
        <v>379</v>
      </c>
      <c r="B234" s="474" t="s">
        <v>516</v>
      </c>
      <c r="C234" s="451">
        <f>C235</f>
        <v>48850.620200000005</v>
      </c>
      <c r="D234" s="451">
        <f>D235</f>
        <v>0</v>
      </c>
      <c r="E234" s="451">
        <f>+C234+D234</f>
        <v>48850.620200000005</v>
      </c>
      <c r="F234" s="451">
        <v>2690</v>
      </c>
      <c r="G234" s="451">
        <v>2690</v>
      </c>
      <c r="H234" s="451">
        <f>+E234-F234</f>
        <v>46160.620200000005</v>
      </c>
      <c r="I234" s="450">
        <f>+F234/E234</f>
        <v>5.5065831078230605E-2</v>
      </c>
    </row>
    <row r="235" spans="1:9" x14ac:dyDescent="0.25">
      <c r="A235" s="467">
        <v>37901</v>
      </c>
      <c r="B235" s="466" t="s">
        <v>515</v>
      </c>
      <c r="C235" s="452">
        <v>48850.620200000005</v>
      </c>
      <c r="D235" s="452">
        <v>0</v>
      </c>
      <c r="E235" s="451">
        <f>+C235+D235</f>
        <v>48850.620200000005</v>
      </c>
      <c r="F235" s="452">
        <v>2690</v>
      </c>
      <c r="G235" s="452">
        <v>2690</v>
      </c>
      <c r="H235" s="451">
        <f>+E235-F235</f>
        <v>46160.620200000005</v>
      </c>
      <c r="I235" s="450">
        <f>+F235/E235</f>
        <v>5.5065831078230605E-2</v>
      </c>
    </row>
    <row r="236" spans="1:9" x14ac:dyDescent="0.25">
      <c r="A236" s="471">
        <v>3800</v>
      </c>
      <c r="B236" s="474" t="s">
        <v>514</v>
      </c>
      <c r="C236" s="451">
        <f>C237+C239+C241+C243</f>
        <v>182017.4938</v>
      </c>
      <c r="D236" s="451">
        <f>D237+D239+D241+D243</f>
        <v>9860</v>
      </c>
      <c r="E236" s="451">
        <f>+C236+D236</f>
        <v>191877.4938</v>
      </c>
      <c r="F236" s="451">
        <v>9860</v>
      </c>
      <c r="G236" s="451">
        <v>9860</v>
      </c>
      <c r="H236" s="451">
        <f>+E236-F236</f>
        <v>182017.4938</v>
      </c>
      <c r="I236" s="450">
        <f>+F236/E236</f>
        <v>5.1386954273425059E-2</v>
      </c>
    </row>
    <row r="237" spans="1:9" x14ac:dyDescent="0.25">
      <c r="A237" s="470">
        <v>381</v>
      </c>
      <c r="B237" s="474" t="s">
        <v>513</v>
      </c>
      <c r="C237" s="451">
        <f>C238</f>
        <v>23500</v>
      </c>
      <c r="D237" s="451">
        <f>D238</f>
        <v>9860</v>
      </c>
      <c r="E237" s="451">
        <f>+C237+D237</f>
        <v>33360</v>
      </c>
      <c r="F237" s="451">
        <v>9860</v>
      </c>
      <c r="G237" s="451">
        <v>9860</v>
      </c>
      <c r="H237" s="451">
        <f>+E237-F237</f>
        <v>23500</v>
      </c>
      <c r="I237" s="450">
        <f>+F237/E237</f>
        <v>0.29556354916067146</v>
      </c>
    </row>
    <row r="238" spans="1:9" x14ac:dyDescent="0.25">
      <c r="A238" s="467">
        <v>38101</v>
      </c>
      <c r="B238" s="466" t="s">
        <v>513</v>
      </c>
      <c r="C238" s="452">
        <v>23500</v>
      </c>
      <c r="D238" s="452">
        <v>9860</v>
      </c>
      <c r="E238" s="451">
        <f>+C238+D238</f>
        <v>33360</v>
      </c>
      <c r="F238" s="452">
        <v>9860</v>
      </c>
      <c r="G238" s="452">
        <v>9860</v>
      </c>
      <c r="H238" s="451">
        <f>+E238-F238</f>
        <v>23500</v>
      </c>
      <c r="I238" s="450">
        <f>+F238/E238</f>
        <v>0.29556354916067146</v>
      </c>
    </row>
    <row r="239" spans="1:9" x14ac:dyDescent="0.25">
      <c r="A239" s="470">
        <v>382</v>
      </c>
      <c r="B239" s="474" t="s">
        <v>512</v>
      </c>
      <c r="C239" s="451">
        <f>C240</f>
        <v>0</v>
      </c>
      <c r="D239" s="451">
        <v>0</v>
      </c>
      <c r="E239" s="451">
        <f>+C239+D239</f>
        <v>0</v>
      </c>
      <c r="F239" s="451">
        <v>0</v>
      </c>
      <c r="G239" s="451">
        <v>0</v>
      </c>
      <c r="H239" s="451">
        <f>+E239-F239</f>
        <v>0</v>
      </c>
      <c r="I239" s="450"/>
    </row>
    <row r="240" spans="1:9" x14ac:dyDescent="0.25">
      <c r="A240" s="467">
        <v>38201</v>
      </c>
      <c r="B240" s="466" t="s">
        <v>512</v>
      </c>
      <c r="C240" s="452">
        <v>0</v>
      </c>
      <c r="D240" s="452">
        <v>0</v>
      </c>
      <c r="E240" s="451">
        <f>+C240+D240</f>
        <v>0</v>
      </c>
      <c r="F240" s="452">
        <v>0</v>
      </c>
      <c r="G240" s="452">
        <v>0</v>
      </c>
      <c r="H240" s="451">
        <f>+E240-F240</f>
        <v>0</v>
      </c>
      <c r="I240" s="450"/>
    </row>
    <row r="241" spans="1:9" x14ac:dyDescent="0.25">
      <c r="A241" s="470">
        <v>383</v>
      </c>
      <c r="B241" s="474" t="s">
        <v>511</v>
      </c>
      <c r="C241" s="451">
        <f>C242</f>
        <v>158517.4938</v>
      </c>
      <c r="D241" s="451">
        <f>D242</f>
        <v>0</v>
      </c>
      <c r="E241" s="451">
        <f>+C241+D241</f>
        <v>158517.4938</v>
      </c>
      <c r="F241" s="451">
        <v>0</v>
      </c>
      <c r="G241" s="451">
        <v>0</v>
      </c>
      <c r="H241" s="451">
        <f>+E241-F241</f>
        <v>158517.4938</v>
      </c>
      <c r="I241" s="450">
        <f>+F241/E241</f>
        <v>0</v>
      </c>
    </row>
    <row r="242" spans="1:9" x14ac:dyDescent="0.25">
      <c r="A242" s="467">
        <v>38301</v>
      </c>
      <c r="B242" s="466" t="s">
        <v>511</v>
      </c>
      <c r="C242" s="452">
        <v>158517.4938</v>
      </c>
      <c r="D242" s="452">
        <v>0</v>
      </c>
      <c r="E242" s="451">
        <f>+C242+D242</f>
        <v>158517.4938</v>
      </c>
      <c r="F242" s="452">
        <v>0</v>
      </c>
      <c r="G242" s="452">
        <v>0</v>
      </c>
      <c r="H242" s="451">
        <f>+E242-F242</f>
        <v>158517.4938</v>
      </c>
      <c r="I242" s="450">
        <f>+F242/E242</f>
        <v>0</v>
      </c>
    </row>
    <row r="243" spans="1:9" x14ac:dyDescent="0.25">
      <c r="A243" s="470">
        <v>385</v>
      </c>
      <c r="B243" s="474" t="s">
        <v>510</v>
      </c>
      <c r="C243" s="451">
        <f>C244</f>
        <v>0</v>
      </c>
      <c r="D243" s="451">
        <v>0</v>
      </c>
      <c r="E243" s="451">
        <f>+C243+D243</f>
        <v>0</v>
      </c>
      <c r="F243" s="451">
        <v>0</v>
      </c>
      <c r="G243" s="451">
        <v>0</v>
      </c>
      <c r="H243" s="451">
        <f>+E243-F243</f>
        <v>0</v>
      </c>
      <c r="I243" s="450"/>
    </row>
    <row r="244" spans="1:9" x14ac:dyDescent="0.25">
      <c r="A244" s="467">
        <v>38501</v>
      </c>
      <c r="B244" s="466" t="s">
        <v>509</v>
      </c>
      <c r="C244" s="452">
        <v>0</v>
      </c>
      <c r="D244" s="452">
        <v>0</v>
      </c>
      <c r="E244" s="451">
        <f>+C244+D244</f>
        <v>0</v>
      </c>
      <c r="F244" s="452">
        <v>0</v>
      </c>
      <c r="G244" s="452">
        <v>0</v>
      </c>
      <c r="H244" s="451">
        <f>+E244-F244</f>
        <v>0</v>
      </c>
      <c r="I244" s="450"/>
    </row>
    <row r="245" spans="1:9" x14ac:dyDescent="0.25">
      <c r="A245" s="471">
        <v>3900</v>
      </c>
      <c r="B245" s="474" t="s">
        <v>508</v>
      </c>
      <c r="C245" s="451">
        <f>C246+C248+C250+C252</f>
        <v>12172028.189581791</v>
      </c>
      <c r="D245" s="451">
        <f>D246+D248+D250+D252</f>
        <v>11084058.85</v>
      </c>
      <c r="E245" s="451">
        <f>+C245+D245</f>
        <v>23256087.039581791</v>
      </c>
      <c r="F245" s="451">
        <v>16505784.32</v>
      </c>
      <c r="G245" s="451">
        <v>12855811.850000001</v>
      </c>
      <c r="H245" s="451">
        <f>+E245-F245</f>
        <v>6750302.7195817903</v>
      </c>
      <c r="I245" s="450">
        <f>+F245/E245</f>
        <v>0.70974039149007329</v>
      </c>
    </row>
    <row r="246" spans="1:9" x14ac:dyDescent="0.25">
      <c r="A246" s="470">
        <v>392</v>
      </c>
      <c r="B246" s="474" t="s">
        <v>507</v>
      </c>
      <c r="C246" s="451">
        <f>C247</f>
        <v>9212516.1936479136</v>
      </c>
      <c r="D246" s="451">
        <f>D247</f>
        <v>-371793.63</v>
      </c>
      <c r="E246" s="451">
        <f>+C246+D246</f>
        <v>8840722.5636479128</v>
      </c>
      <c r="F246" s="451">
        <v>3178616.1</v>
      </c>
      <c r="G246" s="451">
        <v>68091.39</v>
      </c>
      <c r="H246" s="451">
        <f>+E246-F246</f>
        <v>5662106.4636479132</v>
      </c>
      <c r="I246" s="450">
        <f>+F246/E246</f>
        <v>0.35954256873415785</v>
      </c>
    </row>
    <row r="247" spans="1:9" x14ac:dyDescent="0.25">
      <c r="A247" s="467">
        <v>39201</v>
      </c>
      <c r="B247" s="466" t="s">
        <v>507</v>
      </c>
      <c r="C247" s="452">
        <v>9212516.1936479136</v>
      </c>
      <c r="D247" s="452">
        <v>-371793.63</v>
      </c>
      <c r="E247" s="451">
        <f>+C247+D247</f>
        <v>8840722.5636479128</v>
      </c>
      <c r="F247" s="452">
        <v>3178616.1</v>
      </c>
      <c r="G247" s="452">
        <v>68091.39</v>
      </c>
      <c r="H247" s="451">
        <f>+E247-F247</f>
        <v>5662106.4636479132</v>
      </c>
      <c r="I247" s="450">
        <f>+F247/E247</f>
        <v>0.35954256873415785</v>
      </c>
    </row>
    <row r="248" spans="1:9" x14ac:dyDescent="0.25">
      <c r="A248" s="470">
        <v>395</v>
      </c>
      <c r="B248" s="474" t="s">
        <v>506</v>
      </c>
      <c r="C248" s="451">
        <f>C249</f>
        <v>1095290.4708353805</v>
      </c>
      <c r="D248" s="451">
        <f>D249</f>
        <v>11455852.48</v>
      </c>
      <c r="E248" s="451">
        <f>+C248+D248</f>
        <v>12551142.950835381</v>
      </c>
      <c r="F248" s="451">
        <v>12548125.18</v>
      </c>
      <c r="G248" s="451">
        <v>12417238.98</v>
      </c>
      <c r="H248" s="451">
        <f>+E248-F248</f>
        <v>3017.7708353810012</v>
      </c>
      <c r="I248" s="450">
        <f>+F248/E248</f>
        <v>0.99975956206958982</v>
      </c>
    </row>
    <row r="249" spans="1:9" x14ac:dyDescent="0.25">
      <c r="A249" s="467">
        <v>39501</v>
      </c>
      <c r="B249" s="466" t="s">
        <v>506</v>
      </c>
      <c r="C249" s="452">
        <v>1095290.4708353805</v>
      </c>
      <c r="D249" s="452">
        <f>10755852.48+700000</f>
        <v>11455852.48</v>
      </c>
      <c r="E249" s="451">
        <f>+C249+D249</f>
        <v>12551142.950835381</v>
      </c>
      <c r="F249" s="452">
        <v>12548125.18</v>
      </c>
      <c r="G249" s="452">
        <v>12417238.98</v>
      </c>
      <c r="H249" s="451">
        <f>+E249-F249</f>
        <v>3017.7708353810012</v>
      </c>
      <c r="I249" s="450">
        <f>+F249/E249</f>
        <v>0.99975956206958982</v>
      </c>
    </row>
    <row r="250" spans="1:9" x14ac:dyDescent="0.25">
      <c r="A250" s="470">
        <v>396</v>
      </c>
      <c r="B250" s="474" t="s">
        <v>505</v>
      </c>
      <c r="C250" s="451">
        <f>C251</f>
        <v>8599.8850984971123</v>
      </c>
      <c r="D250" s="451">
        <f>D251</f>
        <v>0</v>
      </c>
      <c r="E250" s="451">
        <f>+C250+D250</f>
        <v>8599.8850984971123</v>
      </c>
      <c r="F250" s="451">
        <v>0</v>
      </c>
      <c r="G250" s="451">
        <v>0</v>
      </c>
      <c r="H250" s="451">
        <f>+E250-F250</f>
        <v>8599.8850984971123</v>
      </c>
      <c r="I250" s="450">
        <f>+F250/E250</f>
        <v>0</v>
      </c>
    </row>
    <row r="251" spans="1:9" x14ac:dyDescent="0.25">
      <c r="A251" s="467">
        <v>39601</v>
      </c>
      <c r="B251" s="466" t="s">
        <v>504</v>
      </c>
      <c r="C251" s="452">
        <v>8599.8850984971123</v>
      </c>
      <c r="D251" s="452">
        <v>0</v>
      </c>
      <c r="E251" s="451">
        <f>+C251+D251</f>
        <v>8599.8850984971123</v>
      </c>
      <c r="F251" s="452">
        <v>0</v>
      </c>
      <c r="G251" s="452">
        <v>0</v>
      </c>
      <c r="H251" s="451">
        <f>+E251-F251</f>
        <v>8599.8850984971123</v>
      </c>
      <c r="I251" s="450">
        <f>+F251/E251</f>
        <v>0</v>
      </c>
    </row>
    <row r="252" spans="1:9" ht="22.5" x14ac:dyDescent="0.25">
      <c r="A252" s="470">
        <v>398</v>
      </c>
      <c r="B252" s="474" t="s">
        <v>503</v>
      </c>
      <c r="C252" s="451">
        <f>C253</f>
        <v>1855621.6400000001</v>
      </c>
      <c r="D252" s="451">
        <f>D253</f>
        <v>0</v>
      </c>
      <c r="E252" s="451">
        <f>+C252+D252</f>
        <v>1855621.6400000001</v>
      </c>
      <c r="F252" s="451">
        <v>779043.04</v>
      </c>
      <c r="G252" s="451">
        <v>370481.48</v>
      </c>
      <c r="H252" s="451">
        <f>+E252-F252</f>
        <v>1076578.6000000001</v>
      </c>
      <c r="I252" s="450">
        <f>+F252/E252</f>
        <v>0.41982860255930188</v>
      </c>
    </row>
    <row r="253" spans="1:9" x14ac:dyDescent="0.25">
      <c r="A253" s="467">
        <v>39801</v>
      </c>
      <c r="B253" s="466" t="s">
        <v>502</v>
      </c>
      <c r="C253" s="452">
        <v>1855621.6400000001</v>
      </c>
      <c r="D253" s="452"/>
      <c r="E253" s="451">
        <f>+C253+D253</f>
        <v>1855621.6400000001</v>
      </c>
      <c r="F253" s="452">
        <v>779043.04</v>
      </c>
      <c r="G253" s="452">
        <v>370481.48</v>
      </c>
      <c r="H253" s="451">
        <f>+E253-F253</f>
        <v>1076578.6000000001</v>
      </c>
      <c r="I253" s="450">
        <f>+F253/E253</f>
        <v>0.41982860255930188</v>
      </c>
    </row>
    <row r="254" spans="1:9" x14ac:dyDescent="0.25">
      <c r="A254" s="467"/>
      <c r="B254" s="466"/>
      <c r="C254" s="452"/>
      <c r="D254" s="452">
        <v>0</v>
      </c>
      <c r="E254" s="451"/>
      <c r="F254" s="452">
        <v>0</v>
      </c>
      <c r="G254" s="452">
        <v>0</v>
      </c>
      <c r="H254" s="451">
        <f>+E254-F254</f>
        <v>0</v>
      </c>
      <c r="I254" s="450"/>
    </row>
    <row r="255" spans="1:9" ht="22.5" x14ac:dyDescent="0.25">
      <c r="A255" s="463">
        <v>4000</v>
      </c>
      <c r="B255" s="474" t="s">
        <v>501</v>
      </c>
      <c r="C255" s="451">
        <f>C256+C261+C264+C266+C269</f>
        <v>0</v>
      </c>
      <c r="D255" s="451">
        <f>D256+D261+D264+D266+D269</f>
        <v>2100000</v>
      </c>
      <c r="E255" s="451">
        <f>+C255+D255</f>
        <v>2100000</v>
      </c>
      <c r="F255" s="451">
        <v>2100000</v>
      </c>
      <c r="G255" s="451">
        <v>2100000</v>
      </c>
      <c r="H255" s="451">
        <f>+E255-F255</f>
        <v>0</v>
      </c>
      <c r="I255" s="450">
        <f>+F255/E255</f>
        <v>1</v>
      </c>
    </row>
    <row r="256" spans="1:9" ht="22.5" x14ac:dyDescent="0.25">
      <c r="A256" s="471">
        <v>4100</v>
      </c>
      <c r="B256" s="474" t="s">
        <v>500</v>
      </c>
      <c r="C256" s="451">
        <f>C257+C259</f>
        <v>0</v>
      </c>
      <c r="D256" s="451">
        <f>D257+D259</f>
        <v>0</v>
      </c>
      <c r="E256" s="451">
        <f>+C256+D256</f>
        <v>0</v>
      </c>
      <c r="F256" s="451">
        <v>0</v>
      </c>
      <c r="G256" s="451">
        <v>0</v>
      </c>
      <c r="H256" s="451">
        <f>+E256-F256</f>
        <v>0</v>
      </c>
      <c r="I256" s="450"/>
    </row>
    <row r="257" spans="1:9" x14ac:dyDescent="0.25">
      <c r="A257" s="470">
        <v>411</v>
      </c>
      <c r="B257" s="474" t="s">
        <v>499</v>
      </c>
      <c r="C257" s="451">
        <f>C258</f>
        <v>0</v>
      </c>
      <c r="D257" s="451">
        <f>D258</f>
        <v>0</v>
      </c>
      <c r="E257" s="451">
        <f>+C257+D257</f>
        <v>0</v>
      </c>
      <c r="F257" s="451">
        <v>0</v>
      </c>
      <c r="G257" s="451">
        <v>0</v>
      </c>
      <c r="H257" s="451">
        <f>+E257-F257</f>
        <v>0</v>
      </c>
      <c r="I257" s="450"/>
    </row>
    <row r="258" spans="1:9" x14ac:dyDescent="0.25">
      <c r="A258" s="467">
        <v>41104</v>
      </c>
      <c r="B258" s="474" t="s">
        <v>498</v>
      </c>
      <c r="C258" s="451">
        <v>0</v>
      </c>
      <c r="D258" s="451">
        <v>0</v>
      </c>
      <c r="E258" s="451">
        <f>+C258+D258</f>
        <v>0</v>
      </c>
      <c r="F258" s="451">
        <v>0</v>
      </c>
      <c r="G258" s="451">
        <v>0</v>
      </c>
      <c r="H258" s="451">
        <f>+E258-F258</f>
        <v>0</v>
      </c>
      <c r="I258" s="450"/>
    </row>
    <row r="259" spans="1:9" ht="22.5" x14ac:dyDescent="0.25">
      <c r="A259" s="470">
        <v>415</v>
      </c>
      <c r="B259" s="474" t="s">
        <v>497</v>
      </c>
      <c r="C259" s="451">
        <f>C260</f>
        <v>0</v>
      </c>
      <c r="D259" s="451">
        <f>D260</f>
        <v>0</v>
      </c>
      <c r="E259" s="451">
        <f>+C259+D259</f>
        <v>0</v>
      </c>
      <c r="F259" s="451">
        <v>0</v>
      </c>
      <c r="G259" s="451">
        <v>0</v>
      </c>
      <c r="H259" s="451">
        <f>+E259-F259</f>
        <v>0</v>
      </c>
      <c r="I259" s="450"/>
    </row>
    <row r="260" spans="1:9" x14ac:dyDescent="0.25">
      <c r="A260" s="467">
        <v>41502</v>
      </c>
      <c r="B260" s="466" t="s">
        <v>496</v>
      </c>
      <c r="C260" s="451">
        <v>0</v>
      </c>
      <c r="D260" s="451">
        <v>0</v>
      </c>
      <c r="E260" s="451">
        <f>+C260+D260</f>
        <v>0</v>
      </c>
      <c r="F260" s="451">
        <v>0</v>
      </c>
      <c r="G260" s="451">
        <v>0</v>
      </c>
      <c r="H260" s="451">
        <f>+E260-F260</f>
        <v>0</v>
      </c>
      <c r="I260" s="450"/>
    </row>
    <row r="261" spans="1:9" x14ac:dyDescent="0.25">
      <c r="A261" s="471">
        <v>4200</v>
      </c>
      <c r="B261" s="474" t="s">
        <v>495</v>
      </c>
      <c r="C261" s="451">
        <f>C262</f>
        <v>0</v>
      </c>
      <c r="D261" s="451">
        <f>D262</f>
        <v>2100000</v>
      </c>
      <c r="E261" s="451">
        <f>+C261+D261</f>
        <v>2100000</v>
      </c>
      <c r="F261" s="451">
        <v>2100000</v>
      </c>
      <c r="G261" s="451">
        <v>2100000</v>
      </c>
      <c r="H261" s="451">
        <f>+E261-F261</f>
        <v>0</v>
      </c>
      <c r="I261" s="450">
        <f>+F261/E261</f>
        <v>1</v>
      </c>
    </row>
    <row r="262" spans="1:9" ht="22.5" x14ac:dyDescent="0.25">
      <c r="A262" s="470">
        <v>424</v>
      </c>
      <c r="B262" s="474" t="s">
        <v>494</v>
      </c>
      <c r="C262" s="451">
        <f>C263</f>
        <v>0</v>
      </c>
      <c r="D262" s="451">
        <f>D263</f>
        <v>2100000</v>
      </c>
      <c r="E262" s="451">
        <f>+C262+D262</f>
        <v>2100000</v>
      </c>
      <c r="F262" s="451">
        <v>2100000</v>
      </c>
      <c r="G262" s="451">
        <v>2100000</v>
      </c>
      <c r="H262" s="451">
        <f>+E262-F262</f>
        <v>0</v>
      </c>
      <c r="I262" s="450">
        <f>+F262/E262</f>
        <v>1</v>
      </c>
    </row>
    <row r="263" spans="1:9" ht="22.5" x14ac:dyDescent="0.25">
      <c r="A263" s="467">
        <v>42401</v>
      </c>
      <c r="B263" s="466" t="s">
        <v>494</v>
      </c>
      <c r="C263" s="452">
        <v>0</v>
      </c>
      <c r="D263" s="452">
        <v>2100000</v>
      </c>
      <c r="E263" s="451">
        <f>+C263+D263</f>
        <v>2100000</v>
      </c>
      <c r="F263" s="452">
        <v>2100000</v>
      </c>
      <c r="G263" s="452">
        <v>2100000</v>
      </c>
      <c r="H263" s="451">
        <f>+E263-F263</f>
        <v>0</v>
      </c>
      <c r="I263" s="450">
        <f>+F263/E263</f>
        <v>1</v>
      </c>
    </row>
    <row r="264" spans="1:9" x14ac:dyDescent="0.25">
      <c r="A264" s="471">
        <v>4300</v>
      </c>
      <c r="B264" s="474" t="s">
        <v>493</v>
      </c>
      <c r="C264" s="451">
        <f>C265</f>
        <v>0</v>
      </c>
      <c r="D264" s="451">
        <v>0</v>
      </c>
      <c r="E264" s="451">
        <f>+C264+D264</f>
        <v>0</v>
      </c>
      <c r="F264" s="451">
        <v>0</v>
      </c>
      <c r="G264" s="451">
        <v>0</v>
      </c>
      <c r="H264" s="451">
        <f>+E264-F264</f>
        <v>0</v>
      </c>
      <c r="I264" s="450"/>
    </row>
    <row r="265" spans="1:9" x14ac:dyDescent="0.25">
      <c r="A265" s="467">
        <v>43401</v>
      </c>
      <c r="B265" s="466" t="s">
        <v>493</v>
      </c>
      <c r="C265" s="452">
        <v>0</v>
      </c>
      <c r="D265" s="452">
        <v>0</v>
      </c>
      <c r="E265" s="451">
        <f>+C265+D265</f>
        <v>0</v>
      </c>
      <c r="F265" s="452">
        <v>0</v>
      </c>
      <c r="G265" s="452">
        <v>0</v>
      </c>
      <c r="H265" s="451">
        <f>+E265-F265</f>
        <v>0</v>
      </c>
      <c r="I265" s="450"/>
    </row>
    <row r="266" spans="1:9" x14ac:dyDescent="0.25">
      <c r="A266" s="471">
        <v>4400</v>
      </c>
      <c r="B266" s="474" t="s">
        <v>492</v>
      </c>
      <c r="C266" s="451">
        <f>C267</f>
        <v>0</v>
      </c>
      <c r="D266" s="451">
        <v>0</v>
      </c>
      <c r="E266" s="451">
        <f>+C266+D266</f>
        <v>0</v>
      </c>
      <c r="F266" s="451">
        <v>0</v>
      </c>
      <c r="G266" s="451">
        <v>0</v>
      </c>
      <c r="H266" s="451">
        <f>+E266-F266</f>
        <v>0</v>
      </c>
      <c r="I266" s="450"/>
    </row>
    <row r="267" spans="1:9" x14ac:dyDescent="0.25">
      <c r="A267" s="470">
        <v>442</v>
      </c>
      <c r="B267" s="474" t="s">
        <v>491</v>
      </c>
      <c r="C267" s="451">
        <f>C268</f>
        <v>0</v>
      </c>
      <c r="D267" s="451">
        <v>0</v>
      </c>
      <c r="E267" s="451">
        <f>+C267+D267</f>
        <v>0</v>
      </c>
      <c r="F267" s="451">
        <v>0</v>
      </c>
      <c r="G267" s="451">
        <v>0</v>
      </c>
      <c r="H267" s="451">
        <f>+E267-F267</f>
        <v>0</v>
      </c>
      <c r="I267" s="450"/>
    </row>
    <row r="268" spans="1:9" x14ac:dyDescent="0.25">
      <c r="A268" s="467">
        <v>44204</v>
      </c>
      <c r="B268" s="466" t="s">
        <v>490</v>
      </c>
      <c r="C268" s="451">
        <v>0</v>
      </c>
      <c r="D268" s="451">
        <v>0</v>
      </c>
      <c r="E268" s="451">
        <f>+C268+D268</f>
        <v>0</v>
      </c>
      <c r="F268" s="451">
        <v>0</v>
      </c>
      <c r="G268" s="451">
        <v>0</v>
      </c>
      <c r="H268" s="451">
        <f>+E268-F268</f>
        <v>0</v>
      </c>
      <c r="I268" s="450"/>
    </row>
    <row r="269" spans="1:9" x14ac:dyDescent="0.25">
      <c r="A269" s="471">
        <v>4800</v>
      </c>
      <c r="B269" s="474" t="s">
        <v>489</v>
      </c>
      <c r="C269" s="451">
        <f>C270</f>
        <v>0</v>
      </c>
      <c r="D269" s="451">
        <v>0</v>
      </c>
      <c r="E269" s="451">
        <f>+C269+D269</f>
        <v>0</v>
      </c>
      <c r="F269" s="451">
        <v>0</v>
      </c>
      <c r="G269" s="451">
        <v>0</v>
      </c>
      <c r="H269" s="451">
        <f>+E269-F269</f>
        <v>0</v>
      </c>
      <c r="I269" s="450"/>
    </row>
    <row r="270" spans="1:9" x14ac:dyDescent="0.25">
      <c r="A270" s="470">
        <v>481</v>
      </c>
      <c r="B270" s="474" t="s">
        <v>488</v>
      </c>
      <c r="C270" s="451">
        <f>C271</f>
        <v>0</v>
      </c>
      <c r="D270" s="451">
        <v>0</v>
      </c>
      <c r="E270" s="451">
        <f>+C270+D270</f>
        <v>0</v>
      </c>
      <c r="F270" s="451">
        <v>0</v>
      </c>
      <c r="G270" s="451">
        <v>0</v>
      </c>
      <c r="H270" s="451">
        <f>+E270-F270</f>
        <v>0</v>
      </c>
      <c r="I270" s="450"/>
    </row>
    <row r="271" spans="1:9" x14ac:dyDescent="0.25">
      <c r="A271" s="467">
        <v>48101</v>
      </c>
      <c r="B271" s="466" t="s">
        <v>488</v>
      </c>
      <c r="C271" s="452">
        <v>0</v>
      </c>
      <c r="D271" s="452">
        <v>0</v>
      </c>
      <c r="E271" s="451">
        <f>+C271+D271</f>
        <v>0</v>
      </c>
      <c r="F271" s="452">
        <v>0</v>
      </c>
      <c r="G271" s="452">
        <v>0</v>
      </c>
      <c r="H271" s="451">
        <f>+E271-F271</f>
        <v>0</v>
      </c>
      <c r="I271" s="450"/>
    </row>
    <row r="272" spans="1:9" x14ac:dyDescent="0.25">
      <c r="A272" s="467"/>
      <c r="B272" s="466"/>
      <c r="C272" s="452">
        <v>0</v>
      </c>
      <c r="D272" s="452">
        <v>0</v>
      </c>
      <c r="E272" s="451">
        <f>+C272+D272</f>
        <v>0</v>
      </c>
      <c r="F272" s="452">
        <v>0</v>
      </c>
      <c r="G272" s="452">
        <v>0</v>
      </c>
      <c r="H272" s="451">
        <f>+E272-F272</f>
        <v>0</v>
      </c>
      <c r="I272" s="450"/>
    </row>
    <row r="273" spans="1:9" x14ac:dyDescent="0.25">
      <c r="A273" s="463">
        <v>5000</v>
      </c>
      <c r="B273" s="474" t="s">
        <v>487</v>
      </c>
      <c r="C273" s="451">
        <f>C274+C283+C288+C291+C296+C310+C313</f>
        <v>0</v>
      </c>
      <c r="D273" s="451">
        <f>D274+D283+D288+D291+D296+D310+D313</f>
        <v>465257.28</v>
      </c>
      <c r="E273" s="451">
        <f>+C273+D273</f>
        <v>465257.28</v>
      </c>
      <c r="F273" s="451">
        <v>192869.49</v>
      </c>
      <c r="G273" s="451">
        <v>60000</v>
      </c>
      <c r="H273" s="451">
        <f>+E273-F273</f>
        <v>272387.79000000004</v>
      </c>
      <c r="I273" s="450">
        <f>+F273/E273</f>
        <v>0.41454373373802983</v>
      </c>
    </row>
    <row r="274" spans="1:9" x14ac:dyDescent="0.25">
      <c r="A274" s="471">
        <v>5100</v>
      </c>
      <c r="B274" s="474" t="s">
        <v>486</v>
      </c>
      <c r="C274" s="451">
        <f>C275+C277+C279+C281</f>
        <v>0</v>
      </c>
      <c r="D274" s="451">
        <f>D275+D277+D279+D281</f>
        <v>0</v>
      </c>
      <c r="E274" s="451">
        <f>+C274+D274</f>
        <v>0</v>
      </c>
      <c r="F274" s="451">
        <v>0</v>
      </c>
      <c r="G274" s="451">
        <v>0</v>
      </c>
      <c r="H274" s="451">
        <f>+E274-F274</f>
        <v>0</v>
      </c>
      <c r="I274" s="450"/>
    </row>
    <row r="275" spans="1:9" x14ac:dyDescent="0.25">
      <c r="A275" s="470">
        <v>511</v>
      </c>
      <c r="B275" s="474" t="s">
        <v>485</v>
      </c>
      <c r="C275" s="451">
        <f>C276</f>
        <v>0</v>
      </c>
      <c r="D275" s="451">
        <f>D276</f>
        <v>0</v>
      </c>
      <c r="E275" s="451">
        <f>+C275+D275</f>
        <v>0</v>
      </c>
      <c r="F275" s="451">
        <v>0</v>
      </c>
      <c r="G275" s="451">
        <v>0</v>
      </c>
      <c r="H275" s="451">
        <f>+E275-F275</f>
        <v>0</v>
      </c>
      <c r="I275" s="450"/>
    </row>
    <row r="276" spans="1:9" x14ac:dyDescent="0.25">
      <c r="A276" s="467">
        <v>51101</v>
      </c>
      <c r="B276" s="466" t="s">
        <v>484</v>
      </c>
      <c r="C276" s="452"/>
      <c r="D276" s="452">
        <v>0</v>
      </c>
      <c r="E276" s="451">
        <f>+C276+D276</f>
        <v>0</v>
      </c>
      <c r="F276" s="452">
        <v>0</v>
      </c>
      <c r="G276" s="452">
        <v>0</v>
      </c>
      <c r="H276" s="451">
        <f>+E276-F276</f>
        <v>0</v>
      </c>
      <c r="I276" s="450"/>
    </row>
    <row r="277" spans="1:9" x14ac:dyDescent="0.25">
      <c r="A277" s="470">
        <v>512</v>
      </c>
      <c r="B277" s="474" t="s">
        <v>483</v>
      </c>
      <c r="C277" s="451">
        <f>C278</f>
        <v>0</v>
      </c>
      <c r="D277" s="451">
        <v>0</v>
      </c>
      <c r="E277" s="451">
        <f>+C277+D277</f>
        <v>0</v>
      </c>
      <c r="F277" s="451">
        <v>0</v>
      </c>
      <c r="G277" s="451">
        <v>0</v>
      </c>
      <c r="H277" s="451">
        <f>+E277-F277</f>
        <v>0</v>
      </c>
      <c r="I277" s="450"/>
    </row>
    <row r="278" spans="1:9" x14ac:dyDescent="0.25">
      <c r="A278" s="467">
        <v>51201</v>
      </c>
      <c r="B278" s="466" t="s">
        <v>483</v>
      </c>
      <c r="C278" s="452"/>
      <c r="D278" s="452">
        <v>0</v>
      </c>
      <c r="E278" s="451">
        <f>+C278+D278</f>
        <v>0</v>
      </c>
      <c r="F278" s="452">
        <v>0</v>
      </c>
      <c r="G278" s="452">
        <v>0</v>
      </c>
      <c r="H278" s="451">
        <f>+E278-F278</f>
        <v>0</v>
      </c>
      <c r="I278" s="450"/>
    </row>
    <row r="279" spans="1:9" x14ac:dyDescent="0.25">
      <c r="A279" s="470">
        <v>515</v>
      </c>
      <c r="B279" s="474" t="s">
        <v>482</v>
      </c>
      <c r="C279" s="451">
        <f>C280</f>
        <v>0</v>
      </c>
      <c r="D279" s="451">
        <v>0</v>
      </c>
      <c r="E279" s="451">
        <f>+C279+D279</f>
        <v>0</v>
      </c>
      <c r="F279" s="451">
        <v>0</v>
      </c>
      <c r="G279" s="451">
        <v>0</v>
      </c>
      <c r="H279" s="451">
        <f>+E279-F279</f>
        <v>0</v>
      </c>
      <c r="I279" s="450"/>
    </row>
    <row r="280" spans="1:9" x14ac:dyDescent="0.25">
      <c r="A280" s="467">
        <v>51501</v>
      </c>
      <c r="B280" s="466" t="s">
        <v>481</v>
      </c>
      <c r="C280" s="452"/>
      <c r="D280" s="452">
        <v>0</v>
      </c>
      <c r="E280" s="451">
        <f>+C280+D280</f>
        <v>0</v>
      </c>
      <c r="F280" s="452">
        <v>0</v>
      </c>
      <c r="G280" s="452">
        <v>0</v>
      </c>
      <c r="H280" s="451">
        <f>+E280-F280</f>
        <v>0</v>
      </c>
      <c r="I280" s="450"/>
    </row>
    <row r="281" spans="1:9" x14ac:dyDescent="0.25">
      <c r="A281" s="470">
        <v>519</v>
      </c>
      <c r="B281" s="474" t="s">
        <v>480</v>
      </c>
      <c r="C281" s="451">
        <f>C282</f>
        <v>0</v>
      </c>
      <c r="D281" s="451">
        <v>0</v>
      </c>
      <c r="E281" s="451">
        <f>+C281+D281</f>
        <v>0</v>
      </c>
      <c r="F281" s="451">
        <v>0</v>
      </c>
      <c r="G281" s="451">
        <v>0</v>
      </c>
      <c r="H281" s="451">
        <f>+E281-F281</f>
        <v>0</v>
      </c>
      <c r="I281" s="450"/>
    </row>
    <row r="282" spans="1:9" x14ac:dyDescent="0.25">
      <c r="A282" s="467">
        <v>51901</v>
      </c>
      <c r="B282" s="466" t="s">
        <v>479</v>
      </c>
      <c r="C282" s="452"/>
      <c r="D282" s="452">
        <v>0</v>
      </c>
      <c r="E282" s="451">
        <f>+C282+D282</f>
        <v>0</v>
      </c>
      <c r="F282" s="452">
        <v>0</v>
      </c>
      <c r="G282" s="452">
        <v>0</v>
      </c>
      <c r="H282" s="451">
        <f>+E282-F282</f>
        <v>0</v>
      </c>
      <c r="I282" s="450"/>
    </row>
    <row r="283" spans="1:9" x14ac:dyDescent="0.25">
      <c r="A283" s="471">
        <v>5200</v>
      </c>
      <c r="B283" s="474" t="s">
        <v>478</v>
      </c>
      <c r="C283" s="451">
        <f>C284+C286</f>
        <v>0</v>
      </c>
      <c r="D283" s="451">
        <v>0</v>
      </c>
      <c r="E283" s="451">
        <f>+C283+D283</f>
        <v>0</v>
      </c>
      <c r="F283" s="451">
        <v>0</v>
      </c>
      <c r="G283" s="451">
        <v>0</v>
      </c>
      <c r="H283" s="451">
        <f>+E283-F283</f>
        <v>0</v>
      </c>
      <c r="I283" s="450"/>
    </row>
    <row r="284" spans="1:9" x14ac:dyDescent="0.25">
      <c r="A284" s="470">
        <v>521</v>
      </c>
      <c r="B284" s="474" t="s">
        <v>477</v>
      </c>
      <c r="C284" s="451">
        <f>C285</f>
        <v>0</v>
      </c>
      <c r="D284" s="451">
        <v>0</v>
      </c>
      <c r="E284" s="451">
        <f>+C284+D284</f>
        <v>0</v>
      </c>
      <c r="F284" s="451">
        <v>0</v>
      </c>
      <c r="G284" s="451">
        <v>0</v>
      </c>
      <c r="H284" s="451">
        <f>+E284-F284</f>
        <v>0</v>
      </c>
      <c r="I284" s="450"/>
    </row>
    <row r="285" spans="1:9" x14ac:dyDescent="0.25">
      <c r="A285" s="467">
        <v>52101</v>
      </c>
      <c r="B285" s="466" t="s">
        <v>477</v>
      </c>
      <c r="C285" s="452"/>
      <c r="D285" s="452">
        <v>0</v>
      </c>
      <c r="E285" s="451">
        <f>+C285+D285</f>
        <v>0</v>
      </c>
      <c r="F285" s="452">
        <v>0</v>
      </c>
      <c r="G285" s="452">
        <v>0</v>
      </c>
      <c r="H285" s="451">
        <f>+E285-F285</f>
        <v>0</v>
      </c>
      <c r="I285" s="450"/>
    </row>
    <row r="286" spans="1:9" x14ac:dyDescent="0.25">
      <c r="A286" s="470">
        <v>523</v>
      </c>
      <c r="B286" s="474" t="s">
        <v>476</v>
      </c>
      <c r="C286" s="451">
        <f>C287</f>
        <v>0</v>
      </c>
      <c r="D286" s="451">
        <v>0</v>
      </c>
      <c r="E286" s="451">
        <f>+C286+D286</f>
        <v>0</v>
      </c>
      <c r="F286" s="451">
        <v>0</v>
      </c>
      <c r="G286" s="451">
        <v>0</v>
      </c>
      <c r="H286" s="451">
        <f>+E286-F286</f>
        <v>0</v>
      </c>
      <c r="I286" s="450"/>
    </row>
    <row r="287" spans="1:9" x14ac:dyDescent="0.25">
      <c r="A287" s="467">
        <v>52301</v>
      </c>
      <c r="B287" s="466" t="s">
        <v>476</v>
      </c>
      <c r="C287" s="452"/>
      <c r="D287" s="452">
        <v>0</v>
      </c>
      <c r="E287" s="451">
        <f>+C287+D287</f>
        <v>0</v>
      </c>
      <c r="F287" s="452">
        <v>0</v>
      </c>
      <c r="G287" s="452">
        <v>0</v>
      </c>
      <c r="H287" s="451">
        <f>+E287-F287</f>
        <v>0</v>
      </c>
      <c r="I287" s="450"/>
    </row>
    <row r="288" spans="1:9" x14ac:dyDescent="0.25">
      <c r="A288" s="471">
        <v>5300</v>
      </c>
      <c r="B288" s="474" t="s">
        <v>475</v>
      </c>
      <c r="C288" s="452">
        <f>C289</f>
        <v>0</v>
      </c>
      <c r="D288" s="452">
        <v>0</v>
      </c>
      <c r="E288" s="451">
        <f>+C288+D288</f>
        <v>0</v>
      </c>
      <c r="F288" s="452">
        <v>0</v>
      </c>
      <c r="G288" s="452">
        <v>0</v>
      </c>
      <c r="H288" s="451">
        <f>+E288-F288</f>
        <v>0</v>
      </c>
      <c r="I288" s="450"/>
    </row>
    <row r="289" spans="1:9" x14ac:dyDescent="0.25">
      <c r="A289" s="470">
        <v>532</v>
      </c>
      <c r="B289" s="474" t="s">
        <v>474</v>
      </c>
      <c r="C289" s="452">
        <f>C290</f>
        <v>0</v>
      </c>
      <c r="D289" s="452">
        <v>0</v>
      </c>
      <c r="E289" s="451">
        <f>+C289+D289</f>
        <v>0</v>
      </c>
      <c r="F289" s="452">
        <v>0</v>
      </c>
      <c r="G289" s="452">
        <v>0</v>
      </c>
      <c r="H289" s="451">
        <f>+E289-F289</f>
        <v>0</v>
      </c>
      <c r="I289" s="450"/>
    </row>
    <row r="290" spans="1:9" x14ac:dyDescent="0.25">
      <c r="A290" s="467">
        <v>53201</v>
      </c>
      <c r="B290" s="466" t="s">
        <v>474</v>
      </c>
      <c r="C290" s="452"/>
      <c r="D290" s="452">
        <v>0</v>
      </c>
      <c r="E290" s="451">
        <f>+C290+D290</f>
        <v>0</v>
      </c>
      <c r="F290" s="452">
        <v>0</v>
      </c>
      <c r="G290" s="452">
        <v>0</v>
      </c>
      <c r="H290" s="451">
        <f>+E290-F290</f>
        <v>0</v>
      </c>
      <c r="I290" s="450"/>
    </row>
    <row r="291" spans="1:9" x14ac:dyDescent="0.25">
      <c r="A291" s="471">
        <v>5400</v>
      </c>
      <c r="B291" s="474" t="s">
        <v>473</v>
      </c>
      <c r="C291" s="451">
        <f>C292+C294</f>
        <v>0</v>
      </c>
      <c r="D291" s="451">
        <f>D292+D294</f>
        <v>272133.68</v>
      </c>
      <c r="E291" s="451">
        <f>+C291+D291</f>
        <v>272133.68</v>
      </c>
      <c r="F291" s="451">
        <v>0</v>
      </c>
      <c r="G291" s="451">
        <v>0</v>
      </c>
      <c r="H291" s="451">
        <f>+E291-F291</f>
        <v>272133.68</v>
      </c>
      <c r="I291" s="450">
        <f>+F291/E291</f>
        <v>0</v>
      </c>
    </row>
    <row r="292" spans="1:9" x14ac:dyDescent="0.25">
      <c r="A292" s="470">
        <v>541</v>
      </c>
      <c r="B292" s="474" t="s">
        <v>473</v>
      </c>
      <c r="C292" s="451">
        <f>C293</f>
        <v>0</v>
      </c>
      <c r="D292" s="451">
        <f>D293</f>
        <v>272133.68</v>
      </c>
      <c r="E292" s="451">
        <f>+C292+D292</f>
        <v>272133.68</v>
      </c>
      <c r="F292" s="451">
        <v>0</v>
      </c>
      <c r="G292" s="451">
        <v>0</v>
      </c>
      <c r="H292" s="451">
        <f>+E292-F292</f>
        <v>272133.68</v>
      </c>
      <c r="I292" s="450">
        <f>+F292/E292</f>
        <v>0</v>
      </c>
    </row>
    <row r="293" spans="1:9" x14ac:dyDescent="0.25">
      <c r="A293" s="467">
        <v>54101</v>
      </c>
      <c r="B293" s="466" t="s">
        <v>472</v>
      </c>
      <c r="C293" s="452"/>
      <c r="D293" s="452">
        <v>272133.68</v>
      </c>
      <c r="E293" s="451">
        <f>+C293+D293</f>
        <v>272133.68</v>
      </c>
      <c r="F293" s="452">
        <v>0</v>
      </c>
      <c r="G293" s="452">
        <v>0</v>
      </c>
      <c r="H293" s="451">
        <f>+E293-F293</f>
        <v>272133.68</v>
      </c>
      <c r="I293" s="450">
        <f>+F293/E293</f>
        <v>0</v>
      </c>
    </row>
    <row r="294" spans="1:9" x14ac:dyDescent="0.25">
      <c r="A294" s="470">
        <v>549</v>
      </c>
      <c r="B294" s="474" t="s">
        <v>471</v>
      </c>
      <c r="C294" s="451">
        <f>C295</f>
        <v>0</v>
      </c>
      <c r="D294" s="451">
        <v>0</v>
      </c>
      <c r="E294" s="451">
        <f>+C294+D294</f>
        <v>0</v>
      </c>
      <c r="F294" s="451">
        <v>0</v>
      </c>
      <c r="G294" s="451">
        <v>0</v>
      </c>
      <c r="H294" s="451">
        <f>+E294-F294</f>
        <v>0</v>
      </c>
      <c r="I294" s="450"/>
    </row>
    <row r="295" spans="1:9" x14ac:dyDescent="0.25">
      <c r="A295" s="467">
        <v>54901</v>
      </c>
      <c r="B295" s="466" t="s">
        <v>471</v>
      </c>
      <c r="C295" s="452"/>
      <c r="D295" s="452">
        <v>0</v>
      </c>
      <c r="E295" s="451">
        <f>+C295+D295</f>
        <v>0</v>
      </c>
      <c r="F295" s="452">
        <v>0</v>
      </c>
      <c r="G295" s="452">
        <v>0</v>
      </c>
      <c r="H295" s="451">
        <f>+E295-F295</f>
        <v>0</v>
      </c>
      <c r="I295" s="450"/>
    </row>
    <row r="296" spans="1:9" x14ac:dyDescent="0.25">
      <c r="A296" s="471">
        <v>5600</v>
      </c>
      <c r="B296" s="474" t="s">
        <v>470</v>
      </c>
      <c r="C296" s="451">
        <f>C297+C299+C301+C303+C305+C307</f>
        <v>0</v>
      </c>
      <c r="D296" s="451">
        <f>D297+D299+D301+D303+D305+D307</f>
        <v>193123.6</v>
      </c>
      <c r="E296" s="451">
        <f>+C296+D296</f>
        <v>193123.6</v>
      </c>
      <c r="F296" s="451">
        <v>192869.49</v>
      </c>
      <c r="G296" s="451">
        <v>60000</v>
      </c>
      <c r="H296" s="451">
        <f>+E296-F296</f>
        <v>254.11000000001513</v>
      </c>
      <c r="I296" s="450">
        <f>+F296/E296</f>
        <v>0.99868421052631573</v>
      </c>
    </row>
    <row r="297" spans="1:9" x14ac:dyDescent="0.25">
      <c r="A297" s="470">
        <v>562</v>
      </c>
      <c r="B297" s="474" t="s">
        <v>469</v>
      </c>
      <c r="C297" s="451">
        <f>C298</f>
        <v>0</v>
      </c>
      <c r="D297" s="451">
        <f>D298</f>
        <v>193123.6</v>
      </c>
      <c r="E297" s="451">
        <f>+C297+D297</f>
        <v>193123.6</v>
      </c>
      <c r="F297" s="451">
        <v>192869.49</v>
      </c>
      <c r="G297" s="451">
        <v>60000</v>
      </c>
      <c r="H297" s="451">
        <f>+E297-F297</f>
        <v>254.11000000001513</v>
      </c>
      <c r="I297" s="450">
        <f>+F297/E297</f>
        <v>0.99868421052631573</v>
      </c>
    </row>
    <row r="298" spans="1:9" x14ac:dyDescent="0.25">
      <c r="A298" s="467">
        <v>56201</v>
      </c>
      <c r="B298" s="466" t="s">
        <v>469</v>
      </c>
      <c r="C298" s="452"/>
      <c r="D298" s="452">
        <v>193123.6</v>
      </c>
      <c r="E298" s="451">
        <f>+C298+D298</f>
        <v>193123.6</v>
      </c>
      <c r="F298" s="452">
        <v>192869.49</v>
      </c>
      <c r="G298" s="452">
        <v>60000</v>
      </c>
      <c r="H298" s="451">
        <f>+E298-F298</f>
        <v>254.11000000001513</v>
      </c>
      <c r="I298" s="450">
        <f>+F298/E298</f>
        <v>0.99868421052631573</v>
      </c>
    </row>
    <row r="299" spans="1:9" ht="22.5" x14ac:dyDescent="0.25">
      <c r="A299" s="470">
        <v>564</v>
      </c>
      <c r="B299" s="474" t="s">
        <v>468</v>
      </c>
      <c r="C299" s="451">
        <f>C300</f>
        <v>0</v>
      </c>
      <c r="D299" s="451">
        <v>0</v>
      </c>
      <c r="E299" s="451">
        <f>+C299+D299</f>
        <v>0</v>
      </c>
      <c r="F299" s="451">
        <v>0</v>
      </c>
      <c r="G299" s="451">
        <v>0</v>
      </c>
      <c r="H299" s="451">
        <f>+E299-F299</f>
        <v>0</v>
      </c>
      <c r="I299" s="450"/>
    </row>
    <row r="300" spans="1:9" ht="22.5" x14ac:dyDescent="0.25">
      <c r="A300" s="467">
        <v>56401</v>
      </c>
      <c r="B300" s="466" t="s">
        <v>468</v>
      </c>
      <c r="C300" s="452"/>
      <c r="D300" s="452">
        <v>0</v>
      </c>
      <c r="E300" s="451">
        <f>+C300+D300</f>
        <v>0</v>
      </c>
      <c r="F300" s="452">
        <v>0</v>
      </c>
      <c r="G300" s="452">
        <v>0</v>
      </c>
      <c r="H300" s="451">
        <f>+E300-F300</f>
        <v>0</v>
      </c>
      <c r="I300" s="450"/>
    </row>
    <row r="301" spans="1:9" x14ac:dyDescent="0.25">
      <c r="A301" s="473">
        <v>565</v>
      </c>
      <c r="B301" s="469" t="s">
        <v>467</v>
      </c>
      <c r="C301" s="451">
        <f>C302</f>
        <v>0</v>
      </c>
      <c r="D301" s="451">
        <v>0</v>
      </c>
      <c r="E301" s="451">
        <f>+C301+D301</f>
        <v>0</v>
      </c>
      <c r="F301" s="451">
        <v>0</v>
      </c>
      <c r="G301" s="451">
        <v>0</v>
      </c>
      <c r="H301" s="451">
        <f>+E301-F301</f>
        <v>0</v>
      </c>
      <c r="I301" s="450"/>
    </row>
    <row r="302" spans="1:9" x14ac:dyDescent="0.25">
      <c r="A302" s="472">
        <v>56501</v>
      </c>
      <c r="B302" s="468" t="s">
        <v>467</v>
      </c>
      <c r="C302" s="452"/>
      <c r="D302" s="452">
        <v>0</v>
      </c>
      <c r="E302" s="451">
        <f>+C302+D302</f>
        <v>0</v>
      </c>
      <c r="F302" s="452">
        <v>0</v>
      </c>
      <c r="G302" s="452">
        <v>0</v>
      </c>
      <c r="H302" s="451">
        <f>+E302-F302</f>
        <v>0</v>
      </c>
      <c r="I302" s="450"/>
    </row>
    <row r="303" spans="1:9" ht="22.5" x14ac:dyDescent="0.25">
      <c r="A303" s="473">
        <v>566</v>
      </c>
      <c r="B303" s="469" t="s">
        <v>466</v>
      </c>
      <c r="C303" s="451">
        <f>C304</f>
        <v>0</v>
      </c>
      <c r="D303" s="451">
        <v>0</v>
      </c>
      <c r="E303" s="451">
        <f>+C303+D303</f>
        <v>0</v>
      </c>
      <c r="F303" s="451">
        <v>0</v>
      </c>
      <c r="G303" s="451">
        <v>0</v>
      </c>
      <c r="H303" s="451">
        <f>+E303-F303</f>
        <v>0</v>
      </c>
      <c r="I303" s="450"/>
    </row>
    <row r="304" spans="1:9" x14ac:dyDescent="0.25">
      <c r="A304" s="472">
        <v>56601</v>
      </c>
      <c r="B304" s="468" t="s">
        <v>465</v>
      </c>
      <c r="C304" s="452"/>
      <c r="D304" s="452">
        <v>0</v>
      </c>
      <c r="E304" s="451">
        <f>+C304+D304</f>
        <v>0</v>
      </c>
      <c r="F304" s="452">
        <v>0</v>
      </c>
      <c r="G304" s="452">
        <v>0</v>
      </c>
      <c r="H304" s="451">
        <f>+E304-F304</f>
        <v>0</v>
      </c>
      <c r="I304" s="450"/>
    </row>
    <row r="305" spans="1:9" x14ac:dyDescent="0.25">
      <c r="A305" s="473">
        <v>567</v>
      </c>
      <c r="B305" s="469" t="s">
        <v>464</v>
      </c>
      <c r="C305" s="451">
        <f>C306</f>
        <v>0</v>
      </c>
      <c r="D305" s="451">
        <v>0</v>
      </c>
      <c r="E305" s="451">
        <f>+C305+D305</f>
        <v>0</v>
      </c>
      <c r="F305" s="451">
        <v>0</v>
      </c>
      <c r="G305" s="451">
        <v>0</v>
      </c>
      <c r="H305" s="451">
        <f>+E305-F305</f>
        <v>0</v>
      </c>
      <c r="I305" s="450"/>
    </row>
    <row r="306" spans="1:9" x14ac:dyDescent="0.25">
      <c r="A306" s="472">
        <v>56701</v>
      </c>
      <c r="B306" s="468" t="s">
        <v>463</v>
      </c>
      <c r="C306" s="452"/>
      <c r="D306" s="452">
        <v>0</v>
      </c>
      <c r="E306" s="451">
        <f>+C306+D306</f>
        <v>0</v>
      </c>
      <c r="F306" s="452">
        <v>0</v>
      </c>
      <c r="G306" s="452">
        <v>0</v>
      </c>
      <c r="H306" s="451">
        <f>+E306-F306</f>
        <v>0</v>
      </c>
      <c r="I306" s="450"/>
    </row>
    <row r="307" spans="1:9" x14ac:dyDescent="0.25">
      <c r="A307" s="473">
        <v>569</v>
      </c>
      <c r="B307" s="469" t="s">
        <v>462</v>
      </c>
      <c r="C307" s="451">
        <f>C308+C309</f>
        <v>0</v>
      </c>
      <c r="D307" s="451">
        <v>0</v>
      </c>
      <c r="E307" s="451">
        <f>+C307+D307</f>
        <v>0</v>
      </c>
      <c r="F307" s="451">
        <v>0</v>
      </c>
      <c r="G307" s="451">
        <v>0</v>
      </c>
      <c r="H307" s="451">
        <f>+E307-F307</f>
        <v>0</v>
      </c>
      <c r="I307" s="450"/>
    </row>
    <row r="308" spans="1:9" x14ac:dyDescent="0.25">
      <c r="A308" s="472">
        <v>56901</v>
      </c>
      <c r="B308" s="468" t="s">
        <v>461</v>
      </c>
      <c r="C308" s="452"/>
      <c r="D308" s="452">
        <v>0</v>
      </c>
      <c r="E308" s="451">
        <f>+C308+D308</f>
        <v>0</v>
      </c>
      <c r="F308" s="452">
        <v>0</v>
      </c>
      <c r="G308" s="452">
        <v>0</v>
      </c>
      <c r="H308" s="451">
        <f>+E308-F308</f>
        <v>0</v>
      </c>
      <c r="I308" s="450"/>
    </row>
    <row r="309" spans="1:9" x14ac:dyDescent="0.25">
      <c r="A309" s="472">
        <v>56902</v>
      </c>
      <c r="B309" s="468" t="s">
        <v>460</v>
      </c>
      <c r="C309" s="452"/>
      <c r="D309" s="452">
        <v>0</v>
      </c>
      <c r="E309" s="451">
        <f>+C309+D309</f>
        <v>0</v>
      </c>
      <c r="F309" s="452">
        <v>0</v>
      </c>
      <c r="G309" s="452">
        <v>0</v>
      </c>
      <c r="H309" s="451">
        <f>+E309-F309</f>
        <v>0</v>
      </c>
      <c r="I309" s="450"/>
    </row>
    <row r="310" spans="1:9" x14ac:dyDescent="0.25">
      <c r="A310" s="471">
        <v>5800</v>
      </c>
      <c r="B310" s="469" t="s">
        <v>156</v>
      </c>
      <c r="C310" s="452">
        <f>C311</f>
        <v>0</v>
      </c>
      <c r="D310" s="452">
        <v>0</v>
      </c>
      <c r="E310" s="451">
        <f>+C310+D310</f>
        <v>0</v>
      </c>
      <c r="F310" s="452">
        <v>0</v>
      </c>
      <c r="G310" s="452">
        <v>0</v>
      </c>
      <c r="H310" s="451">
        <f>+E310-F310</f>
        <v>0</v>
      </c>
      <c r="I310" s="450"/>
    </row>
    <row r="311" spans="1:9" x14ac:dyDescent="0.25">
      <c r="A311" s="470">
        <v>581</v>
      </c>
      <c r="B311" s="469" t="s">
        <v>459</v>
      </c>
      <c r="C311" s="452">
        <f>C312</f>
        <v>0</v>
      </c>
      <c r="D311" s="452">
        <v>0</v>
      </c>
      <c r="E311" s="451">
        <f>+C311+D311</f>
        <v>0</v>
      </c>
      <c r="F311" s="452">
        <v>0</v>
      </c>
      <c r="G311" s="452">
        <v>0</v>
      </c>
      <c r="H311" s="451">
        <f>+E311-F311</f>
        <v>0</v>
      </c>
      <c r="I311" s="450"/>
    </row>
    <row r="312" spans="1:9" x14ac:dyDescent="0.25">
      <c r="A312" s="467">
        <v>58101</v>
      </c>
      <c r="B312" s="468" t="s">
        <v>459</v>
      </c>
      <c r="C312" s="452"/>
      <c r="D312" s="452">
        <v>0</v>
      </c>
      <c r="E312" s="451">
        <f>+C312+D312</f>
        <v>0</v>
      </c>
      <c r="F312" s="452">
        <v>0</v>
      </c>
      <c r="G312" s="452">
        <v>0</v>
      </c>
      <c r="H312" s="451">
        <f>+E312-F312</f>
        <v>0</v>
      </c>
      <c r="I312" s="450"/>
    </row>
    <row r="313" spans="1:9" x14ac:dyDescent="0.25">
      <c r="A313" s="471">
        <v>5900</v>
      </c>
      <c r="B313" s="469" t="s">
        <v>458</v>
      </c>
      <c r="C313" s="451">
        <f>C314</f>
        <v>0</v>
      </c>
      <c r="D313" s="451">
        <v>0</v>
      </c>
      <c r="E313" s="451">
        <f>+C313+D313</f>
        <v>0</v>
      </c>
      <c r="F313" s="451">
        <v>0</v>
      </c>
      <c r="G313" s="451">
        <v>0</v>
      </c>
      <c r="H313" s="451">
        <f>+E313-F313</f>
        <v>0</v>
      </c>
      <c r="I313" s="450"/>
    </row>
    <row r="314" spans="1:9" x14ac:dyDescent="0.25">
      <c r="A314" s="470">
        <v>591</v>
      </c>
      <c r="B314" s="469" t="s">
        <v>457</v>
      </c>
      <c r="C314" s="451">
        <f>C315</f>
        <v>0</v>
      </c>
      <c r="D314" s="451">
        <v>0</v>
      </c>
      <c r="E314" s="451">
        <f>+C314+D314</f>
        <v>0</v>
      </c>
      <c r="F314" s="451">
        <v>0</v>
      </c>
      <c r="G314" s="451">
        <v>0</v>
      </c>
      <c r="H314" s="451">
        <f>+E314-F314</f>
        <v>0</v>
      </c>
      <c r="I314" s="450"/>
    </row>
    <row r="315" spans="1:9" x14ac:dyDescent="0.25">
      <c r="A315" s="467">
        <v>59101</v>
      </c>
      <c r="B315" s="468" t="s">
        <v>457</v>
      </c>
      <c r="C315" s="452">
        <v>0</v>
      </c>
      <c r="D315" s="452">
        <v>0</v>
      </c>
      <c r="E315" s="451">
        <f>+C315+D315</f>
        <v>0</v>
      </c>
      <c r="F315" s="452">
        <v>0</v>
      </c>
      <c r="G315" s="452">
        <v>0</v>
      </c>
      <c r="H315" s="451">
        <f>+E315-F315</f>
        <v>0</v>
      </c>
      <c r="I315" s="450"/>
    </row>
    <row r="316" spans="1:9" x14ac:dyDescent="0.25">
      <c r="A316" s="467"/>
      <c r="B316" s="466"/>
      <c r="C316" s="452">
        <v>0</v>
      </c>
      <c r="D316" s="452">
        <v>0</v>
      </c>
      <c r="E316" s="451">
        <f>+C316+D316</f>
        <v>0</v>
      </c>
      <c r="F316" s="452">
        <v>0</v>
      </c>
      <c r="G316" s="452">
        <v>0</v>
      </c>
      <c r="H316" s="451">
        <f>+E316-F316</f>
        <v>0</v>
      </c>
      <c r="I316" s="450"/>
    </row>
    <row r="317" spans="1:9" x14ac:dyDescent="0.25">
      <c r="A317" s="457">
        <v>6000</v>
      </c>
      <c r="B317" s="463" t="s">
        <v>154</v>
      </c>
      <c r="C317" s="451">
        <f>C318+C339</f>
        <v>166755176</v>
      </c>
      <c r="D317" s="451">
        <f>D318+D339</f>
        <v>43640495.189999998</v>
      </c>
      <c r="E317" s="451">
        <f>+C317+D317</f>
        <v>210395671.19</v>
      </c>
      <c r="F317" s="451">
        <v>6260918.9299999997</v>
      </c>
      <c r="G317" s="451">
        <v>6260918.9299999997</v>
      </c>
      <c r="H317" s="451">
        <f>+E317-F317</f>
        <v>204134752.25999999</v>
      </c>
      <c r="I317" s="450">
        <f>+F317/E317</f>
        <v>2.975783149238851E-2</v>
      </c>
    </row>
    <row r="318" spans="1:9" x14ac:dyDescent="0.25">
      <c r="A318" s="461"/>
      <c r="B318" s="463" t="s">
        <v>456</v>
      </c>
      <c r="C318" s="451">
        <f>C319+C334</f>
        <v>78479942</v>
      </c>
      <c r="D318" s="451">
        <f>D319+D334</f>
        <v>0</v>
      </c>
      <c r="E318" s="451">
        <f>+C318+D318</f>
        <v>78479942</v>
      </c>
      <c r="F318" s="451">
        <v>0</v>
      </c>
      <c r="G318" s="451">
        <v>0</v>
      </c>
      <c r="H318" s="451">
        <f>+E318-F318</f>
        <v>78479942</v>
      </c>
      <c r="I318" s="450">
        <f>+F318/E318</f>
        <v>0</v>
      </c>
    </row>
    <row r="319" spans="1:9" x14ac:dyDescent="0.25">
      <c r="A319" s="457">
        <v>6100</v>
      </c>
      <c r="B319" s="463" t="s">
        <v>449</v>
      </c>
      <c r="C319" s="451">
        <f>C320+C325</f>
        <v>78479942</v>
      </c>
      <c r="D319" s="451">
        <f>D320+D325</f>
        <v>0</v>
      </c>
      <c r="E319" s="451">
        <f>+C319+D319</f>
        <v>78479942</v>
      </c>
      <c r="F319" s="451">
        <v>0</v>
      </c>
      <c r="G319" s="451">
        <v>0</v>
      </c>
      <c r="H319" s="451">
        <f>+E319-F319</f>
        <v>78479942</v>
      </c>
      <c r="I319" s="450">
        <f>+F319/E319</f>
        <v>0</v>
      </c>
    </row>
    <row r="320" spans="1:9" ht="22.5" x14ac:dyDescent="0.25">
      <c r="A320" s="461">
        <v>613</v>
      </c>
      <c r="B320" s="463" t="s">
        <v>448</v>
      </c>
      <c r="C320" s="451">
        <f>SUM(C321:C324)</f>
        <v>0</v>
      </c>
      <c r="D320" s="451">
        <v>0</v>
      </c>
      <c r="E320" s="451">
        <f>+C320+D320</f>
        <v>0</v>
      </c>
      <c r="F320" s="451">
        <v>0</v>
      </c>
      <c r="G320" s="451">
        <v>0</v>
      </c>
      <c r="H320" s="451">
        <f>+E320-F320</f>
        <v>0</v>
      </c>
      <c r="I320" s="450"/>
    </row>
    <row r="321" spans="1:9" ht="22.5" x14ac:dyDescent="0.25">
      <c r="A321" s="458">
        <v>61305</v>
      </c>
      <c r="B321" s="462" t="s">
        <v>447</v>
      </c>
      <c r="C321" s="452"/>
      <c r="D321" s="452">
        <v>0</v>
      </c>
      <c r="E321" s="451">
        <f>+C321+D321</f>
        <v>0</v>
      </c>
      <c r="F321" s="452">
        <v>0</v>
      </c>
      <c r="G321" s="452">
        <v>0</v>
      </c>
      <c r="H321" s="451">
        <f>+E321-F321</f>
        <v>0</v>
      </c>
      <c r="I321" s="450"/>
    </row>
    <row r="322" spans="1:9" ht="22.5" x14ac:dyDescent="0.25">
      <c r="A322" s="458">
        <v>61309</v>
      </c>
      <c r="B322" s="462" t="s">
        <v>455</v>
      </c>
      <c r="C322" s="452"/>
      <c r="D322" s="452">
        <v>0</v>
      </c>
      <c r="E322" s="451">
        <f>+C322+D322</f>
        <v>0</v>
      </c>
      <c r="F322" s="452">
        <v>0</v>
      </c>
      <c r="G322" s="452">
        <v>0</v>
      </c>
      <c r="H322" s="451">
        <f>+E322-F322</f>
        <v>0</v>
      </c>
      <c r="I322" s="450"/>
    </row>
    <row r="323" spans="1:9" x14ac:dyDescent="0.25">
      <c r="A323" s="458">
        <v>61310</v>
      </c>
      <c r="B323" s="462" t="s">
        <v>446</v>
      </c>
      <c r="C323" s="452"/>
      <c r="D323" s="452">
        <v>0</v>
      </c>
      <c r="E323" s="451">
        <f>+C323+D323</f>
        <v>0</v>
      </c>
      <c r="F323" s="452">
        <v>0</v>
      </c>
      <c r="G323" s="452">
        <v>0</v>
      </c>
      <c r="H323" s="451">
        <f>+E323-F323</f>
        <v>0</v>
      </c>
      <c r="I323" s="450"/>
    </row>
    <row r="324" spans="1:9" x14ac:dyDescent="0.25">
      <c r="A324" s="458">
        <v>61315</v>
      </c>
      <c r="B324" s="462" t="s">
        <v>440</v>
      </c>
      <c r="C324" s="452"/>
      <c r="D324" s="452">
        <v>0</v>
      </c>
      <c r="E324" s="451">
        <f>+C324+D324</f>
        <v>0</v>
      </c>
      <c r="F324" s="452">
        <v>0</v>
      </c>
      <c r="G324" s="452">
        <v>0</v>
      </c>
      <c r="H324" s="451">
        <f>+E324-F324</f>
        <v>0</v>
      </c>
      <c r="I324" s="450"/>
    </row>
    <row r="325" spans="1:9" ht="22.5" x14ac:dyDescent="0.25">
      <c r="A325" s="461">
        <v>614</v>
      </c>
      <c r="B325" s="463" t="s">
        <v>444</v>
      </c>
      <c r="C325" s="451">
        <f>SUM(C326:C333)</f>
        <v>78479942</v>
      </c>
      <c r="D325" s="451">
        <f>SUM(D326:D333)</f>
        <v>0</v>
      </c>
      <c r="E325" s="451">
        <f>+C325+D325</f>
        <v>78479942</v>
      </c>
      <c r="F325" s="451">
        <v>0</v>
      </c>
      <c r="G325" s="451">
        <v>0</v>
      </c>
      <c r="H325" s="451">
        <f>+E325-F325</f>
        <v>78479942</v>
      </c>
      <c r="I325" s="450">
        <f>+F325/E325</f>
        <v>0</v>
      </c>
    </row>
    <row r="326" spans="1:9" x14ac:dyDescent="0.25">
      <c r="A326" s="458">
        <v>61404</v>
      </c>
      <c r="B326" s="462" t="s">
        <v>452</v>
      </c>
      <c r="C326" s="452"/>
      <c r="D326" s="452">
        <v>0</v>
      </c>
      <c r="E326" s="451">
        <f>+C326+D326</f>
        <v>0</v>
      </c>
      <c r="F326" s="452">
        <v>0</v>
      </c>
      <c r="G326" s="452">
        <v>0</v>
      </c>
      <c r="H326" s="451">
        <f>+E326-F326</f>
        <v>0</v>
      </c>
      <c r="I326" s="450"/>
    </row>
    <row r="327" spans="1:9" x14ac:dyDescent="0.25">
      <c r="A327" s="458">
        <v>61405</v>
      </c>
      <c r="B327" s="462" t="s">
        <v>454</v>
      </c>
      <c r="C327" s="452"/>
      <c r="D327" s="452">
        <v>0</v>
      </c>
      <c r="E327" s="451">
        <f>+C327+D327</f>
        <v>0</v>
      </c>
      <c r="F327" s="452">
        <v>0</v>
      </c>
      <c r="G327" s="452">
        <v>0</v>
      </c>
      <c r="H327" s="451">
        <f>+E327-F327</f>
        <v>0</v>
      </c>
      <c r="I327" s="450"/>
    </row>
    <row r="328" spans="1:9" x14ac:dyDescent="0.25">
      <c r="A328" s="458">
        <v>61406</v>
      </c>
      <c r="B328" s="462" t="s">
        <v>443</v>
      </c>
      <c r="C328" s="452"/>
      <c r="D328" s="452">
        <v>0</v>
      </c>
      <c r="E328" s="451">
        <f>+C328+D328</f>
        <v>0</v>
      </c>
      <c r="F328" s="452">
        <v>0</v>
      </c>
      <c r="G328" s="452">
        <v>0</v>
      </c>
      <c r="H328" s="451">
        <f>+E328-F328</f>
        <v>0</v>
      </c>
      <c r="I328" s="450"/>
    </row>
    <row r="329" spans="1:9" x14ac:dyDescent="0.25">
      <c r="A329" s="458">
        <v>61408</v>
      </c>
      <c r="B329" s="462" t="s">
        <v>442</v>
      </c>
      <c r="C329" s="452">
        <v>78479942</v>
      </c>
      <c r="D329" s="452">
        <v>0</v>
      </c>
      <c r="E329" s="451">
        <f>+C329+D329</f>
        <v>78479942</v>
      </c>
      <c r="F329" s="452">
        <v>0</v>
      </c>
      <c r="G329" s="452">
        <v>0</v>
      </c>
      <c r="H329" s="451">
        <f>+E329-F329</f>
        <v>78479942</v>
      </c>
      <c r="I329" s="450">
        <f>+F329/E329</f>
        <v>0</v>
      </c>
    </row>
    <row r="330" spans="1:9" x14ac:dyDescent="0.25">
      <c r="A330" s="458">
        <v>61409</v>
      </c>
      <c r="B330" s="462" t="s">
        <v>441</v>
      </c>
      <c r="C330" s="452"/>
      <c r="D330" s="452">
        <v>0</v>
      </c>
      <c r="E330" s="451">
        <f>+C330+D330</f>
        <v>0</v>
      </c>
      <c r="F330" s="452">
        <v>0</v>
      </c>
      <c r="G330" s="452">
        <v>0</v>
      </c>
      <c r="H330" s="451">
        <f>+E330-F330</f>
        <v>0</v>
      </c>
      <c r="I330" s="450"/>
    </row>
    <row r="331" spans="1:9" x14ac:dyDescent="0.25">
      <c r="A331" s="458">
        <v>61415</v>
      </c>
      <c r="B331" s="462" t="s">
        <v>440</v>
      </c>
      <c r="C331" s="452"/>
      <c r="D331" s="452">
        <v>0</v>
      </c>
      <c r="E331" s="451">
        <f>+C331+D331</f>
        <v>0</v>
      </c>
      <c r="F331" s="452">
        <v>0</v>
      </c>
      <c r="G331" s="452">
        <v>0</v>
      </c>
      <c r="H331" s="451">
        <f>+E331-F331</f>
        <v>0</v>
      </c>
      <c r="I331" s="450"/>
    </row>
    <row r="332" spans="1:9" ht="22.5" x14ac:dyDescent="0.25">
      <c r="A332" s="454">
        <v>61424</v>
      </c>
      <c r="B332" s="453" t="s">
        <v>439</v>
      </c>
      <c r="C332" s="452"/>
      <c r="D332" s="452">
        <v>0</v>
      </c>
      <c r="E332" s="451">
        <f>+C332+D332</f>
        <v>0</v>
      </c>
      <c r="F332" s="452">
        <v>0</v>
      </c>
      <c r="G332" s="452">
        <v>0</v>
      </c>
      <c r="H332" s="451">
        <f>+E332-F332</f>
        <v>0</v>
      </c>
      <c r="I332" s="450"/>
    </row>
    <row r="333" spans="1:9" x14ac:dyDescent="0.25">
      <c r="A333" s="454">
        <v>61425</v>
      </c>
      <c r="B333" s="453" t="s">
        <v>438</v>
      </c>
      <c r="C333" s="452"/>
      <c r="D333" s="452">
        <v>0</v>
      </c>
      <c r="E333" s="451">
        <f>+C333+D333</f>
        <v>0</v>
      </c>
      <c r="F333" s="452">
        <v>0</v>
      </c>
      <c r="G333" s="452">
        <v>0</v>
      </c>
      <c r="H333" s="451">
        <f>+E333-F333</f>
        <v>0</v>
      </c>
      <c r="I333" s="450"/>
    </row>
    <row r="334" spans="1:9" x14ac:dyDescent="0.25">
      <c r="A334" s="465">
        <v>6200</v>
      </c>
      <c r="B334" s="455" t="s">
        <v>453</v>
      </c>
      <c r="C334" s="451">
        <f>C335</f>
        <v>0</v>
      </c>
      <c r="D334" s="451">
        <v>0</v>
      </c>
      <c r="E334" s="451">
        <f>+C334+D334</f>
        <v>0</v>
      </c>
      <c r="F334" s="451">
        <v>0</v>
      </c>
      <c r="G334" s="451">
        <v>0</v>
      </c>
      <c r="H334" s="451">
        <f>+E334-F334</f>
        <v>0</v>
      </c>
      <c r="I334" s="450"/>
    </row>
    <row r="335" spans="1:9" ht="22.5" x14ac:dyDescent="0.25">
      <c r="A335" s="461">
        <v>624</v>
      </c>
      <c r="B335" s="455" t="s">
        <v>444</v>
      </c>
      <c r="C335" s="451">
        <f>C336+C337</f>
        <v>0</v>
      </c>
      <c r="D335" s="451">
        <v>0</v>
      </c>
      <c r="E335" s="451">
        <f>+C335+D335</f>
        <v>0</v>
      </c>
      <c r="F335" s="451">
        <v>0</v>
      </c>
      <c r="G335" s="451">
        <v>0</v>
      </c>
      <c r="H335" s="451">
        <f>+E335-F335</f>
        <v>0</v>
      </c>
      <c r="I335" s="450"/>
    </row>
    <row r="336" spans="1:9" x14ac:dyDescent="0.25">
      <c r="A336" s="454">
        <v>62404</v>
      </c>
      <c r="B336" s="453" t="s">
        <v>452</v>
      </c>
      <c r="C336" s="452"/>
      <c r="D336" s="452">
        <v>0</v>
      </c>
      <c r="E336" s="451">
        <f>+C336+D336</f>
        <v>0</v>
      </c>
      <c r="F336" s="452">
        <v>0</v>
      </c>
      <c r="G336" s="452">
        <v>0</v>
      </c>
      <c r="H336" s="451">
        <f>+E336-F336</f>
        <v>0</v>
      </c>
      <c r="I336" s="450"/>
    </row>
    <row r="337" spans="1:9" x14ac:dyDescent="0.25">
      <c r="A337" s="454">
        <v>61406</v>
      </c>
      <c r="B337" s="453" t="s">
        <v>451</v>
      </c>
      <c r="C337" s="452"/>
      <c r="D337" s="452">
        <v>0</v>
      </c>
      <c r="E337" s="451">
        <f>+C337+D337</f>
        <v>0</v>
      </c>
      <c r="F337" s="452">
        <v>0</v>
      </c>
      <c r="G337" s="452">
        <v>0</v>
      </c>
      <c r="H337" s="451">
        <f>+E337-F337</f>
        <v>0</v>
      </c>
      <c r="I337" s="450"/>
    </row>
    <row r="338" spans="1:9" x14ac:dyDescent="0.25">
      <c r="A338" s="454"/>
      <c r="B338" s="453"/>
      <c r="C338" s="452"/>
      <c r="D338" s="452">
        <v>0</v>
      </c>
      <c r="E338" s="451">
        <f>+C338+D338</f>
        <v>0</v>
      </c>
      <c r="F338" s="452">
        <v>0</v>
      </c>
      <c r="G338" s="452">
        <v>0</v>
      </c>
      <c r="H338" s="451">
        <f>+E338-F338</f>
        <v>0</v>
      </c>
      <c r="I338" s="450"/>
    </row>
    <row r="339" spans="1:9" x14ac:dyDescent="0.25">
      <c r="A339" s="464"/>
      <c r="B339" s="465" t="s">
        <v>450</v>
      </c>
      <c r="C339" s="451">
        <f>C340</f>
        <v>88275234</v>
      </c>
      <c r="D339" s="451">
        <f>D340</f>
        <v>43640495.189999998</v>
      </c>
      <c r="E339" s="451">
        <f>+C339+D339</f>
        <v>131915729.19</v>
      </c>
      <c r="F339" s="451">
        <v>6260918.9299999997</v>
      </c>
      <c r="G339" s="451">
        <v>6260918.9299999997</v>
      </c>
      <c r="H339" s="451">
        <f>+E339-F339</f>
        <v>125654810.25999999</v>
      </c>
      <c r="I339" s="450">
        <f>+F339/E339</f>
        <v>4.7461504162117876E-2</v>
      </c>
    </row>
    <row r="340" spans="1:9" x14ac:dyDescent="0.25">
      <c r="A340" s="465">
        <v>6100</v>
      </c>
      <c r="B340" s="455" t="s">
        <v>449</v>
      </c>
      <c r="C340" s="451">
        <f>C341+C346</f>
        <v>88275234</v>
      </c>
      <c r="D340" s="451">
        <f>D341+D346</f>
        <v>43640495.189999998</v>
      </c>
      <c r="E340" s="451">
        <f>+C340+D340</f>
        <v>131915729.19</v>
      </c>
      <c r="F340" s="451">
        <v>6260918.9299999997</v>
      </c>
      <c r="G340" s="451">
        <v>6260918.9299999997</v>
      </c>
      <c r="H340" s="451">
        <f>+E340-F340</f>
        <v>125654810.25999999</v>
      </c>
      <c r="I340" s="450">
        <f>+F340/E340</f>
        <v>4.7461504162117876E-2</v>
      </c>
    </row>
    <row r="341" spans="1:9" ht="22.5" x14ac:dyDescent="0.25">
      <c r="A341" s="464">
        <v>613</v>
      </c>
      <c r="B341" s="463" t="s">
        <v>448</v>
      </c>
      <c r="C341" s="451">
        <f>SUM(C342:C345)</f>
        <v>0</v>
      </c>
      <c r="D341" s="451">
        <f>SUM(D342:D345)</f>
        <v>0</v>
      </c>
      <c r="E341" s="451">
        <f>+C341+D341</f>
        <v>0</v>
      </c>
      <c r="F341" s="451">
        <v>0</v>
      </c>
      <c r="G341" s="451">
        <v>0</v>
      </c>
      <c r="H341" s="451">
        <f>+E341-F341</f>
        <v>0</v>
      </c>
      <c r="I341" s="450"/>
    </row>
    <row r="342" spans="1:9" ht="22.5" x14ac:dyDescent="0.25">
      <c r="A342" s="454">
        <v>61305</v>
      </c>
      <c r="B342" s="462" t="s">
        <v>447</v>
      </c>
      <c r="C342" s="452"/>
      <c r="D342" s="452">
        <v>0</v>
      </c>
      <c r="E342" s="451">
        <f>+C342+D342</f>
        <v>0</v>
      </c>
      <c r="F342" s="452">
        <v>0</v>
      </c>
      <c r="G342" s="452">
        <v>0</v>
      </c>
      <c r="H342" s="451">
        <f>+E342-F342</f>
        <v>0</v>
      </c>
      <c r="I342" s="450"/>
    </row>
    <row r="343" spans="1:9" x14ac:dyDescent="0.25">
      <c r="A343" s="454">
        <v>61310</v>
      </c>
      <c r="B343" s="462" t="s">
        <v>446</v>
      </c>
      <c r="C343" s="452"/>
      <c r="D343" s="452">
        <v>0</v>
      </c>
      <c r="E343" s="451">
        <f>+C343+D343</f>
        <v>0</v>
      </c>
      <c r="F343" s="452">
        <v>0</v>
      </c>
      <c r="G343" s="452">
        <v>0</v>
      </c>
      <c r="H343" s="451">
        <f>+E343-F343</f>
        <v>0</v>
      </c>
      <c r="I343" s="450"/>
    </row>
    <row r="344" spans="1:9" ht="22.5" x14ac:dyDescent="0.25">
      <c r="A344" s="454">
        <v>61313</v>
      </c>
      <c r="B344" s="462" t="s">
        <v>445</v>
      </c>
      <c r="C344" s="452"/>
      <c r="D344" s="452">
        <v>0</v>
      </c>
      <c r="E344" s="451">
        <f>+C344+D344</f>
        <v>0</v>
      </c>
      <c r="F344" s="452">
        <v>0</v>
      </c>
      <c r="G344" s="452">
        <v>0</v>
      </c>
      <c r="H344" s="451">
        <f>+E344-F344</f>
        <v>0</v>
      </c>
      <c r="I344" s="450"/>
    </row>
    <row r="345" spans="1:9" x14ac:dyDescent="0.25">
      <c r="A345" s="454">
        <v>61315</v>
      </c>
      <c r="B345" s="462" t="s">
        <v>440</v>
      </c>
      <c r="C345" s="452"/>
      <c r="D345" s="452">
        <v>0</v>
      </c>
      <c r="E345" s="451">
        <f>+C345+D345</f>
        <v>0</v>
      </c>
      <c r="F345" s="452">
        <v>0</v>
      </c>
      <c r="G345" s="452">
        <v>0</v>
      </c>
      <c r="H345" s="451">
        <f>+E345-F345</f>
        <v>0</v>
      </c>
      <c r="I345" s="450"/>
    </row>
    <row r="346" spans="1:9" ht="22.5" x14ac:dyDescent="0.25">
      <c r="A346" s="461">
        <v>614</v>
      </c>
      <c r="B346" s="463" t="s">
        <v>444</v>
      </c>
      <c r="C346" s="451">
        <f>C347+C348+C349+C350+C351+C352</f>
        <v>88275234</v>
      </c>
      <c r="D346" s="451">
        <f>D347+D348+D349+D350+D351+D352</f>
        <v>43640495.189999998</v>
      </c>
      <c r="E346" s="451">
        <f>+C346+D346</f>
        <v>131915729.19</v>
      </c>
      <c r="F346" s="451">
        <v>6260918.9299999997</v>
      </c>
      <c r="G346" s="451">
        <v>6260918.9299999997</v>
      </c>
      <c r="H346" s="451">
        <f>+E346-F346</f>
        <v>125654810.25999999</v>
      </c>
      <c r="I346" s="450">
        <f>+F346/E346</f>
        <v>4.7461504162117876E-2</v>
      </c>
    </row>
    <row r="347" spans="1:9" x14ac:dyDescent="0.25">
      <c r="A347" s="458">
        <v>61406</v>
      </c>
      <c r="B347" s="462" t="s">
        <v>443</v>
      </c>
      <c r="C347" s="451"/>
      <c r="D347" s="452">
        <v>0</v>
      </c>
      <c r="E347" s="451">
        <f>+C347+D347</f>
        <v>0</v>
      </c>
      <c r="F347" s="451">
        <v>0</v>
      </c>
      <c r="G347" s="451">
        <v>0</v>
      </c>
      <c r="H347" s="451">
        <f>+E347-F347</f>
        <v>0</v>
      </c>
      <c r="I347" s="450"/>
    </row>
    <row r="348" spans="1:9" x14ac:dyDescent="0.25">
      <c r="A348" s="458">
        <v>61408</v>
      </c>
      <c r="B348" s="462" t="s">
        <v>442</v>
      </c>
      <c r="C348" s="452">
        <v>88275234</v>
      </c>
      <c r="D348" s="452">
        <v>0</v>
      </c>
      <c r="E348" s="451">
        <f>+C348+D348</f>
        <v>88275234</v>
      </c>
      <c r="F348" s="452">
        <v>0</v>
      </c>
      <c r="G348" s="452">
        <v>0</v>
      </c>
      <c r="H348" s="451">
        <f>+E348-F348</f>
        <v>88275234</v>
      </c>
      <c r="I348" s="450">
        <f>+F348/E348</f>
        <v>0</v>
      </c>
    </row>
    <row r="349" spans="1:9" x14ac:dyDescent="0.25">
      <c r="A349" s="458">
        <v>61409</v>
      </c>
      <c r="B349" s="462" t="s">
        <v>441</v>
      </c>
      <c r="C349" s="452"/>
      <c r="D349" s="452">
        <v>43264284.030000001</v>
      </c>
      <c r="E349" s="451">
        <f>+C349+D349</f>
        <v>43264284.030000001</v>
      </c>
      <c r="F349" s="452">
        <v>6136417.79</v>
      </c>
      <c r="G349" s="452">
        <v>6136417.79</v>
      </c>
      <c r="H349" s="451">
        <f>+E349-F349</f>
        <v>37127866.240000002</v>
      </c>
      <c r="I349" s="450">
        <f>+F349/E349</f>
        <v>0.14183564867836321</v>
      </c>
    </row>
    <row r="350" spans="1:9" x14ac:dyDescent="0.25">
      <c r="A350" s="458">
        <v>61415</v>
      </c>
      <c r="B350" s="462" t="s">
        <v>440</v>
      </c>
      <c r="C350" s="452"/>
      <c r="D350" s="452">
        <v>0</v>
      </c>
      <c r="E350" s="451">
        <f>+C350+D350</f>
        <v>0</v>
      </c>
      <c r="F350" s="452">
        <v>0</v>
      </c>
      <c r="G350" s="452">
        <v>0</v>
      </c>
      <c r="H350" s="451">
        <f>+E350-F350</f>
        <v>0</v>
      </c>
      <c r="I350" s="450"/>
    </row>
    <row r="351" spans="1:9" ht="22.5" x14ac:dyDescent="0.25">
      <c r="A351" s="458">
        <v>61424</v>
      </c>
      <c r="B351" s="462" t="s">
        <v>439</v>
      </c>
      <c r="C351" s="452"/>
      <c r="D351" s="452">
        <v>376211.16000000003</v>
      </c>
      <c r="E351" s="451">
        <f>+C351+D351</f>
        <v>376211.16000000003</v>
      </c>
      <c r="F351" s="452">
        <v>124501.14</v>
      </c>
      <c r="G351" s="452">
        <v>124501.14</v>
      </c>
      <c r="H351" s="451">
        <f>+E351-F351</f>
        <v>251710.02000000002</v>
      </c>
      <c r="I351" s="450">
        <f>+F351/E351</f>
        <v>0.33093420195190376</v>
      </c>
    </row>
    <row r="352" spans="1:9" x14ac:dyDescent="0.25">
      <c r="A352" s="458">
        <v>61425</v>
      </c>
      <c r="B352" s="462" t="s">
        <v>438</v>
      </c>
      <c r="C352" s="452"/>
      <c r="D352" s="452">
        <v>0</v>
      </c>
      <c r="E352" s="451">
        <f>+C352+D352</f>
        <v>0</v>
      </c>
      <c r="F352" s="452">
        <v>0</v>
      </c>
      <c r="G352" s="452">
        <v>0</v>
      </c>
      <c r="H352" s="451">
        <f>+E352-F352</f>
        <v>0</v>
      </c>
      <c r="I352" s="450"/>
    </row>
    <row r="353" spans="1:9" x14ac:dyDescent="0.25">
      <c r="A353" s="458"/>
      <c r="B353" s="462"/>
      <c r="C353" s="452"/>
      <c r="D353" s="452"/>
      <c r="E353" s="451">
        <f>+C353+D353</f>
        <v>0</v>
      </c>
      <c r="F353" s="452">
        <v>0</v>
      </c>
      <c r="G353" s="452">
        <v>0</v>
      </c>
      <c r="H353" s="451">
        <f>+E353-F353</f>
        <v>0</v>
      </c>
      <c r="I353" s="450"/>
    </row>
    <row r="354" spans="1:9" x14ac:dyDescent="0.25">
      <c r="A354" s="457">
        <v>7000</v>
      </c>
      <c r="B354" s="463" t="s">
        <v>437</v>
      </c>
      <c r="C354" s="451">
        <f>C355</f>
        <v>48432617</v>
      </c>
      <c r="D354" s="451">
        <f>D355</f>
        <v>0</v>
      </c>
      <c r="E354" s="451">
        <f>+C354+D354</f>
        <v>48432617</v>
      </c>
      <c r="F354" s="452">
        <v>0</v>
      </c>
      <c r="G354" s="452">
        <v>0</v>
      </c>
      <c r="H354" s="451">
        <f>+E354-F354</f>
        <v>48432617</v>
      </c>
      <c r="I354" s="450">
        <f>+F354/E354</f>
        <v>0</v>
      </c>
    </row>
    <row r="355" spans="1:9" ht="22.5" x14ac:dyDescent="0.25">
      <c r="A355" s="457">
        <v>7900</v>
      </c>
      <c r="B355" s="463" t="s">
        <v>436</v>
      </c>
      <c r="C355" s="451">
        <f>C356</f>
        <v>48432617</v>
      </c>
      <c r="D355" s="451">
        <f>D356</f>
        <v>0</v>
      </c>
      <c r="E355" s="451">
        <f>+C355+D355</f>
        <v>48432617</v>
      </c>
      <c r="F355" s="452">
        <v>0</v>
      </c>
      <c r="G355" s="452">
        <v>0</v>
      </c>
      <c r="H355" s="451">
        <f>+E355-F355</f>
        <v>48432617</v>
      </c>
      <c r="I355" s="450">
        <f>+F355/E355</f>
        <v>0</v>
      </c>
    </row>
    <row r="356" spans="1:9" x14ac:dyDescent="0.25">
      <c r="A356" s="461">
        <v>799</v>
      </c>
      <c r="B356" s="463" t="s">
        <v>435</v>
      </c>
      <c r="C356" s="451">
        <f>C357</f>
        <v>48432617</v>
      </c>
      <c r="D356" s="451">
        <f>D357</f>
        <v>0</v>
      </c>
      <c r="E356" s="451">
        <f>+C356+D356</f>
        <v>48432617</v>
      </c>
      <c r="F356" s="452">
        <v>0</v>
      </c>
      <c r="G356" s="452">
        <v>0</v>
      </c>
      <c r="H356" s="451">
        <f>+E356-F356</f>
        <v>48432617</v>
      </c>
      <c r="I356" s="450">
        <f>+F356/E356</f>
        <v>0</v>
      </c>
    </row>
    <row r="357" spans="1:9" x14ac:dyDescent="0.25">
      <c r="A357" s="458">
        <v>79901</v>
      </c>
      <c r="B357" s="462" t="s">
        <v>435</v>
      </c>
      <c r="C357" s="452">
        <v>48432617</v>
      </c>
      <c r="D357" s="452"/>
      <c r="E357" s="451">
        <f>+C357+D357</f>
        <v>48432617</v>
      </c>
      <c r="F357" s="452">
        <v>0</v>
      </c>
      <c r="G357" s="452">
        <v>0</v>
      </c>
      <c r="H357" s="451">
        <f>+E357-F357</f>
        <v>48432617</v>
      </c>
      <c r="I357" s="450">
        <f>+F357/E357</f>
        <v>0</v>
      </c>
    </row>
    <row r="358" spans="1:9" x14ac:dyDescent="0.25">
      <c r="A358" s="454"/>
      <c r="B358" s="453"/>
      <c r="C358" s="452"/>
      <c r="D358" s="452"/>
      <c r="E358" s="451">
        <f>+C358+D358</f>
        <v>0</v>
      </c>
      <c r="F358" s="452">
        <v>0</v>
      </c>
      <c r="G358" s="452">
        <v>0</v>
      </c>
      <c r="H358" s="451">
        <f>+E358-F358</f>
        <v>0</v>
      </c>
      <c r="I358" s="450"/>
    </row>
    <row r="359" spans="1:9" x14ac:dyDescent="0.25">
      <c r="A359" s="457">
        <v>9000</v>
      </c>
      <c r="B359" s="455" t="s">
        <v>434</v>
      </c>
      <c r="C359" s="451">
        <f>C360+C364+C368</f>
        <v>0</v>
      </c>
      <c r="D359" s="451">
        <f>D360+D364+D368</f>
        <v>45857376</v>
      </c>
      <c r="E359" s="451">
        <f>+C359+D359</f>
        <v>45857376</v>
      </c>
      <c r="F359" s="451">
        <v>45857375.909999996</v>
      </c>
      <c r="G359" s="451">
        <v>45699747.399999991</v>
      </c>
      <c r="H359" s="451">
        <f>+E359-F359</f>
        <v>9.0000003576278687E-2</v>
      </c>
      <c r="I359" s="450">
        <f>+F359/E359</f>
        <v>0.99999999803739303</v>
      </c>
    </row>
    <row r="360" spans="1:9" x14ac:dyDescent="0.25">
      <c r="A360" s="457">
        <v>9100</v>
      </c>
      <c r="B360" s="455" t="s">
        <v>433</v>
      </c>
      <c r="C360" s="451">
        <f>C361</f>
        <v>0</v>
      </c>
      <c r="D360" s="451">
        <f>D361</f>
        <v>4658787.2699999996</v>
      </c>
      <c r="E360" s="451">
        <f>+C360+D360</f>
        <v>4658787.2699999996</v>
      </c>
      <c r="F360" s="451">
        <v>4658787.2600000007</v>
      </c>
      <c r="G360" s="451">
        <v>4658787.2600000007</v>
      </c>
      <c r="H360" s="451">
        <f>+E360-F360</f>
        <v>9.9999988451600075E-3</v>
      </c>
      <c r="I360" s="450">
        <f>+F360/E360</f>
        <v>0.9999999978535189</v>
      </c>
    </row>
    <row r="361" spans="1:9" ht="22.5" x14ac:dyDescent="0.25">
      <c r="A361" s="461">
        <v>911</v>
      </c>
      <c r="B361" s="455" t="s">
        <v>432</v>
      </c>
      <c r="C361" s="451">
        <f>C362+C363</f>
        <v>0</v>
      </c>
      <c r="D361" s="451">
        <f>D362+D363</f>
        <v>4658787.2699999996</v>
      </c>
      <c r="E361" s="451">
        <f>+C361+D361</f>
        <v>4658787.2699999996</v>
      </c>
      <c r="F361" s="451">
        <v>4658787.2600000007</v>
      </c>
      <c r="G361" s="451">
        <v>4658787.2600000007</v>
      </c>
      <c r="H361" s="451">
        <f>+E361-F361</f>
        <v>9.9999988451600075E-3</v>
      </c>
      <c r="I361" s="450">
        <f>+F361/E361</f>
        <v>0.9999999978535189</v>
      </c>
    </row>
    <row r="362" spans="1:9" x14ac:dyDescent="0.25">
      <c r="A362" s="458">
        <v>91101</v>
      </c>
      <c r="B362" s="453" t="s">
        <v>431</v>
      </c>
      <c r="C362" s="452"/>
      <c r="D362" s="452">
        <v>0</v>
      </c>
      <c r="E362" s="451">
        <f>+C362+D362</f>
        <v>0</v>
      </c>
      <c r="F362" s="452">
        <v>0</v>
      </c>
      <c r="G362" s="452">
        <v>0</v>
      </c>
      <c r="H362" s="451">
        <f>+E362-F362</f>
        <v>0</v>
      </c>
      <c r="I362" s="450"/>
    </row>
    <row r="363" spans="1:9" x14ac:dyDescent="0.25">
      <c r="A363" s="458">
        <v>91102</v>
      </c>
      <c r="B363" s="453" t="s">
        <v>430</v>
      </c>
      <c r="C363" s="452"/>
      <c r="D363" s="452">
        <f>4657787.27+1000</f>
        <v>4658787.2699999996</v>
      </c>
      <c r="E363" s="451">
        <f>+C363+D363</f>
        <v>4658787.2699999996</v>
      </c>
      <c r="F363" s="452">
        <v>4658787.2600000007</v>
      </c>
      <c r="G363" s="452">
        <v>4658787.2600000007</v>
      </c>
      <c r="H363" s="451">
        <f>+E363-F363</f>
        <v>9.9999988451600075E-3</v>
      </c>
      <c r="I363" s="450">
        <f>+F363/E363</f>
        <v>0.9999999978535189</v>
      </c>
    </row>
    <row r="364" spans="1:9" x14ac:dyDescent="0.25">
      <c r="A364" s="457">
        <v>9200</v>
      </c>
      <c r="B364" s="455" t="s">
        <v>429</v>
      </c>
      <c r="C364" s="451">
        <f>C365</f>
        <v>0</v>
      </c>
      <c r="D364" s="451">
        <f>D365</f>
        <v>6458481.2199999988</v>
      </c>
      <c r="E364" s="451">
        <f>+C364+D364</f>
        <v>6458481.2199999988</v>
      </c>
      <c r="F364" s="451">
        <v>6458481.2199999988</v>
      </c>
      <c r="G364" s="451">
        <v>6458481.2199999988</v>
      </c>
      <c r="H364" s="451">
        <f>+E364-F364</f>
        <v>0</v>
      </c>
      <c r="I364" s="450">
        <f>+F364/E364</f>
        <v>1</v>
      </c>
    </row>
    <row r="365" spans="1:9" ht="22.5" x14ac:dyDescent="0.25">
      <c r="A365" s="461">
        <v>921</v>
      </c>
      <c r="B365" s="455" t="s">
        <v>428</v>
      </c>
      <c r="C365" s="451">
        <f>C366+C367</f>
        <v>0</v>
      </c>
      <c r="D365" s="451">
        <f>D366+D367</f>
        <v>6458481.2199999988</v>
      </c>
      <c r="E365" s="451">
        <f>+C365+D365</f>
        <v>6458481.2199999988</v>
      </c>
      <c r="F365" s="451">
        <v>6458481.2199999988</v>
      </c>
      <c r="G365" s="451">
        <v>6458481.2199999988</v>
      </c>
      <c r="H365" s="451">
        <f>+E365-F365</f>
        <v>0</v>
      </c>
      <c r="I365" s="450">
        <f>+F365/E365</f>
        <v>1</v>
      </c>
    </row>
    <row r="366" spans="1:9" x14ac:dyDescent="0.25">
      <c r="A366" s="458">
        <v>92101</v>
      </c>
      <c r="B366" s="453" t="s">
        <v>427</v>
      </c>
      <c r="C366" s="452"/>
      <c r="D366" s="460">
        <v>0</v>
      </c>
      <c r="E366" s="451">
        <f>+C366+D366</f>
        <v>0</v>
      </c>
      <c r="F366" s="452">
        <v>0</v>
      </c>
      <c r="G366" s="452">
        <v>0</v>
      </c>
      <c r="H366" s="459">
        <f>+E366-F366</f>
        <v>0</v>
      </c>
      <c r="I366" s="450"/>
    </row>
    <row r="367" spans="1:9" x14ac:dyDescent="0.25">
      <c r="A367" s="458">
        <v>92102</v>
      </c>
      <c r="B367" s="453" t="s">
        <v>426</v>
      </c>
      <c r="C367" s="452"/>
      <c r="D367" s="452">
        <v>6458481.2199999988</v>
      </c>
      <c r="E367" s="451">
        <f>+C367+D367</f>
        <v>6458481.2199999988</v>
      </c>
      <c r="F367" s="452">
        <v>6458481.2199999988</v>
      </c>
      <c r="G367" s="452">
        <v>6458481.2199999988</v>
      </c>
      <c r="H367" s="451">
        <f>+E367-F367</f>
        <v>0</v>
      </c>
      <c r="I367" s="450">
        <f>+F367/E367</f>
        <v>1</v>
      </c>
    </row>
    <row r="368" spans="1:9" x14ac:dyDescent="0.25">
      <c r="A368" s="457">
        <v>9900</v>
      </c>
      <c r="B368" s="455" t="s">
        <v>425</v>
      </c>
      <c r="C368" s="451">
        <f>C369</f>
        <v>0</v>
      </c>
      <c r="D368" s="451">
        <f>D369</f>
        <v>34740107.510000005</v>
      </c>
      <c r="E368" s="451">
        <f>+C368+D368</f>
        <v>34740107.510000005</v>
      </c>
      <c r="F368" s="451">
        <v>34740107.43</v>
      </c>
      <c r="G368" s="451">
        <v>34582478.920000002</v>
      </c>
      <c r="H368" s="451">
        <f>+E368-F368</f>
        <v>8.0000005662441254E-2</v>
      </c>
      <c r="I368" s="450">
        <f>+F368/E368</f>
        <v>0.99999999769718606</v>
      </c>
    </row>
    <row r="369" spans="1:9" x14ac:dyDescent="0.25">
      <c r="A369" s="456">
        <v>991</v>
      </c>
      <c r="B369" s="455" t="s">
        <v>424</v>
      </c>
      <c r="C369" s="451">
        <f>C370+C371+C372</f>
        <v>0</v>
      </c>
      <c r="D369" s="451">
        <f>D370+D371+D372</f>
        <v>34740107.510000005</v>
      </c>
      <c r="E369" s="451">
        <f>+C369+D369</f>
        <v>34740107.510000005</v>
      </c>
      <c r="F369" s="451">
        <v>34740107.43</v>
      </c>
      <c r="G369" s="451">
        <v>34582478.920000002</v>
      </c>
      <c r="H369" s="451">
        <f>+E369-F369</f>
        <v>8.0000005662441254E-2</v>
      </c>
      <c r="I369" s="450">
        <f>+F369/E369</f>
        <v>0.99999999769718606</v>
      </c>
    </row>
    <row r="370" spans="1:9" x14ac:dyDescent="0.25">
      <c r="A370" s="454">
        <v>99101</v>
      </c>
      <c r="B370" s="453" t="s">
        <v>423</v>
      </c>
      <c r="C370" s="452"/>
      <c r="D370" s="452">
        <f>28539399.51+6200708</f>
        <v>34740107.510000005</v>
      </c>
      <c r="E370" s="451">
        <f>+C370+D370</f>
        <v>34740107.510000005</v>
      </c>
      <c r="F370" s="452">
        <v>34740107.43</v>
      </c>
      <c r="G370" s="452">
        <v>34582478.920000002</v>
      </c>
      <c r="H370" s="451">
        <f>+E370-F370</f>
        <v>8.0000005662441254E-2</v>
      </c>
      <c r="I370" s="450">
        <f>+F370/E370</f>
        <v>0.99999999769718606</v>
      </c>
    </row>
    <row r="371" spans="1:9" x14ac:dyDescent="0.25">
      <c r="A371" s="454">
        <v>99101</v>
      </c>
      <c r="B371" s="453" t="s">
        <v>422</v>
      </c>
      <c r="C371" s="452"/>
      <c r="D371" s="452">
        <v>0</v>
      </c>
      <c r="E371" s="451">
        <f>+C371+D371</f>
        <v>0</v>
      </c>
      <c r="F371" s="452">
        <v>0</v>
      </c>
      <c r="G371" s="452"/>
      <c r="H371" s="451">
        <f>+E371-F371</f>
        <v>0</v>
      </c>
      <c r="I371" s="450"/>
    </row>
    <row r="372" spans="1:9" x14ac:dyDescent="0.25">
      <c r="A372" s="454">
        <v>99101</v>
      </c>
      <c r="B372" s="453" t="s">
        <v>421</v>
      </c>
      <c r="C372" s="452">
        <v>0</v>
      </c>
      <c r="D372" s="452">
        <v>0</v>
      </c>
      <c r="E372" s="451">
        <f>+C372+D372</f>
        <v>0</v>
      </c>
      <c r="F372" s="452">
        <v>0</v>
      </c>
      <c r="G372" s="452">
        <v>0</v>
      </c>
      <c r="H372" s="451">
        <f>+E372-F372</f>
        <v>0</v>
      </c>
      <c r="I372" s="450"/>
    </row>
    <row r="373" spans="1:9" x14ac:dyDescent="0.25">
      <c r="C373" s="449">
        <f>+C359+C317+C273+C255+C135+C61+C9+C354</f>
        <v>623389417.66593051</v>
      </c>
      <c r="D373" s="449">
        <f>+D359+D317+D273+D255+D135+D61+D9+D354</f>
        <v>99294260.989999995</v>
      </c>
      <c r="E373" s="449">
        <f>+E359+E317+E273+E255+E135+E61+E9+E354</f>
        <v>722683678.6559304</v>
      </c>
      <c r="F373" s="449">
        <f>+F359+F317+F273+F255+F135+F61+F9+F354</f>
        <v>163394492.12</v>
      </c>
      <c r="G373" s="449">
        <f>+G359+G317+G273+G255+G135+G61+G9+G354</f>
        <v>145583078.78999999</v>
      </c>
      <c r="H373" s="449">
        <f>+H359+H317+H273+H255+H135+H61+H9+H354</f>
        <v>559289186.5359304</v>
      </c>
    </row>
    <row r="374" spans="1:9" x14ac:dyDescent="0.25">
      <c r="H374" s="439"/>
    </row>
    <row r="375" spans="1:9" x14ac:dyDescent="0.25">
      <c r="C375" s="448"/>
      <c r="D375" s="448"/>
      <c r="E375" s="448"/>
      <c r="F375" s="448"/>
      <c r="G375" s="448"/>
      <c r="H375" s="448"/>
      <c r="I375" s="447"/>
    </row>
    <row r="376" spans="1:9" x14ac:dyDescent="0.25">
      <c r="C376" s="438"/>
      <c r="E376" s="447"/>
      <c r="F376" s="447"/>
      <c r="G376" s="447"/>
      <c r="H376" s="447"/>
      <c r="I376" s="447"/>
    </row>
    <row r="377" spans="1:9" ht="16.5" x14ac:dyDescent="0.25">
      <c r="B377" s="442"/>
      <c r="C377" s="442"/>
      <c r="D377" s="443"/>
      <c r="E377" s="442"/>
      <c r="F377" s="442"/>
      <c r="G377" s="442"/>
      <c r="H377" s="442"/>
      <c r="I377" s="441"/>
    </row>
    <row r="378" spans="1:9" ht="16.5" x14ac:dyDescent="0.25">
      <c r="B378" s="445" t="s">
        <v>420</v>
      </c>
      <c r="C378" s="442"/>
      <c r="D378" s="443"/>
      <c r="E378" s="442"/>
      <c r="F378" s="446" t="s">
        <v>419</v>
      </c>
      <c r="G378" s="446"/>
      <c r="H378" s="446"/>
      <c r="I378" s="441"/>
    </row>
    <row r="379" spans="1:9" ht="16.5" x14ac:dyDescent="0.25">
      <c r="B379" s="445" t="s">
        <v>418</v>
      </c>
      <c r="C379" s="442"/>
      <c r="D379" s="442"/>
      <c r="E379" s="442"/>
      <c r="F379" s="445" t="s">
        <v>417</v>
      </c>
      <c r="G379" s="444"/>
      <c r="H379" s="444"/>
      <c r="I379" s="444"/>
    </row>
    <row r="380" spans="1:9" ht="16.5" x14ac:dyDescent="0.25">
      <c r="B380" s="442"/>
      <c r="C380" s="442"/>
      <c r="D380" s="443"/>
      <c r="E380" s="442"/>
      <c r="F380" s="442"/>
      <c r="G380" s="442"/>
      <c r="H380" s="442"/>
      <c r="I380" s="441"/>
    </row>
    <row r="381" spans="1:9" x14ac:dyDescent="0.25">
      <c r="F381" s="440"/>
    </row>
    <row r="387" spans="4:4" x14ac:dyDescent="0.25">
      <c r="D387" s="439" t="s">
        <v>44</v>
      </c>
    </row>
  </sheetData>
  <mergeCells count="16">
    <mergeCell ref="G7:G8"/>
    <mergeCell ref="H7:H8"/>
    <mergeCell ref="I7:I8"/>
    <mergeCell ref="F378:H378"/>
    <mergeCell ref="A7:A8"/>
    <mergeCell ref="B7:B8"/>
    <mergeCell ref="C7:C8"/>
    <mergeCell ref="D7:D8"/>
    <mergeCell ref="E7:E8"/>
    <mergeCell ref="F7:F8"/>
    <mergeCell ref="H6:I6"/>
    <mergeCell ref="A1:I1"/>
    <mergeCell ref="A2:I2"/>
    <mergeCell ref="A3:I3"/>
    <mergeCell ref="A4:I4"/>
    <mergeCell ref="A5:I5"/>
  </mergeCells>
  <pageMargins left="0.25" right="0.25" top="0.75" bottom="0.75" header="0.3" footer="0.3"/>
  <pageSetup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21B0-47AA-42D6-92C2-ECC8BC315AFA}">
  <sheetPr>
    <tabColor theme="0" tint="-0.14999847407452621"/>
  </sheetPr>
  <dimension ref="A1:I32"/>
  <sheetViews>
    <sheetView view="pageBreakPreview" zoomScaleNormal="100" zoomScaleSheetLayoutView="100" workbookViewId="0">
      <selection activeCell="S24" sqref="S24"/>
    </sheetView>
  </sheetViews>
  <sheetFormatPr baseColWidth="10" defaultColWidth="11.42578125" defaultRowHeight="15" x14ac:dyDescent="0.25"/>
  <cols>
    <col min="1" max="1" width="32.140625" customWidth="1"/>
    <col min="3" max="3" width="13" customWidth="1"/>
  </cols>
  <sheetData>
    <row r="1" spans="1:9" ht="15.75" x14ac:dyDescent="0.25">
      <c r="A1" s="172" t="str">
        <f>'[1]ETCA-I-01'!A1:G1</f>
        <v xml:space="preserve">Comision Estatal del Agua  </v>
      </c>
      <c r="B1" s="172"/>
      <c r="C1" s="172"/>
      <c r="D1" s="172"/>
      <c r="E1" s="172"/>
      <c r="F1" s="172"/>
      <c r="G1" s="172"/>
      <c r="H1" s="514"/>
      <c r="I1" s="514"/>
    </row>
    <row r="2" spans="1:9" ht="15.75" customHeight="1" x14ac:dyDescent="0.25">
      <c r="A2" s="171" t="s">
        <v>712</v>
      </c>
      <c r="B2" s="171"/>
      <c r="C2" s="171"/>
      <c r="D2" s="171"/>
      <c r="E2" s="171"/>
      <c r="F2" s="171"/>
      <c r="G2" s="171"/>
      <c r="H2" s="7"/>
      <c r="I2" s="7"/>
    </row>
    <row r="3" spans="1:9" ht="15.75" customHeight="1" x14ac:dyDescent="0.25">
      <c r="A3" s="171" t="s">
        <v>711</v>
      </c>
      <c r="B3" s="171"/>
      <c r="C3" s="171"/>
      <c r="D3" s="171"/>
      <c r="E3" s="171"/>
      <c r="F3" s="171"/>
      <c r="G3" s="171"/>
      <c r="H3" s="7"/>
      <c r="I3" s="7"/>
    </row>
    <row r="4" spans="1:9" ht="15.75" customHeight="1" x14ac:dyDescent="0.25">
      <c r="A4" s="513" t="str">
        <f>'[1]ETCA-I-03'!A3:D3</f>
        <v>Del 01 de Enero al 31 de Marzo de 2020</v>
      </c>
      <c r="B4" s="513"/>
      <c r="C4" s="513"/>
      <c r="D4" s="513"/>
      <c r="E4" s="513"/>
      <c r="F4" s="513"/>
      <c r="G4" s="513"/>
      <c r="H4" s="512"/>
      <c r="I4" s="512"/>
    </row>
    <row r="5" spans="1:9" ht="15.75" customHeight="1" thickBot="1" x14ac:dyDescent="0.3">
      <c r="A5" s="169" t="s">
        <v>297</v>
      </c>
      <c r="B5" s="169"/>
      <c r="C5" s="169"/>
      <c r="D5" s="169"/>
      <c r="E5" s="169"/>
      <c r="F5" s="169"/>
      <c r="G5" s="169"/>
      <c r="H5" s="511"/>
      <c r="I5" s="511"/>
    </row>
    <row r="6" spans="1:9" ht="15.75" thickBot="1" x14ac:dyDescent="0.3">
      <c r="A6" s="510" t="s">
        <v>296</v>
      </c>
      <c r="B6" s="509" t="s">
        <v>295</v>
      </c>
      <c r="C6" s="508"/>
      <c r="D6" s="508"/>
      <c r="E6" s="508"/>
      <c r="F6" s="507"/>
      <c r="G6" s="506" t="s">
        <v>294</v>
      </c>
    </row>
    <row r="7" spans="1:9" ht="20.25" thickBot="1" x14ac:dyDescent="0.3">
      <c r="A7" s="505"/>
      <c r="B7" s="504" t="s">
        <v>293</v>
      </c>
      <c r="C7" s="504" t="s">
        <v>292</v>
      </c>
      <c r="D7" s="504" t="s">
        <v>291</v>
      </c>
      <c r="E7" s="504" t="s">
        <v>29</v>
      </c>
      <c r="F7" s="504" t="s">
        <v>334</v>
      </c>
      <c r="G7" s="503"/>
    </row>
    <row r="8" spans="1:9" ht="19.5" x14ac:dyDescent="0.25">
      <c r="A8" s="497" t="s">
        <v>710</v>
      </c>
      <c r="B8" s="496">
        <f>B9+B10+B11+B12+B13+B14+B15+B18</f>
        <v>204443147.32279521</v>
      </c>
      <c r="C8" s="496">
        <f>C9+C10+C11+C12+C13+C14+C15+C18</f>
        <v>-632242.46</v>
      </c>
      <c r="D8" s="496">
        <f>D9+D10+D11+D12+D13+D14+D15+D18</f>
        <v>203810904.8627952</v>
      </c>
      <c r="E8" s="496">
        <f>E9+E10+E11+E12+E13+E14+E15+E18</f>
        <v>53838907.32</v>
      </c>
      <c r="F8" s="496">
        <f>F9+F10+F11+F12+F13+F14+F15+F18</f>
        <v>48389236.330000006</v>
      </c>
      <c r="G8" s="496">
        <f>G9+G10+G11+G12+G13+G14+G15+G18</f>
        <v>149971997.54279521</v>
      </c>
    </row>
    <row r="9" spans="1:9" ht="19.5" x14ac:dyDescent="0.25">
      <c r="A9" s="501" t="s">
        <v>708</v>
      </c>
      <c r="B9" s="500">
        <v>204443147.32279521</v>
      </c>
      <c r="C9" s="499">
        <v>-632242.46</v>
      </c>
      <c r="D9" s="498">
        <f>B9+C9</f>
        <v>203810904.8627952</v>
      </c>
      <c r="E9" s="499">
        <v>53838907.32</v>
      </c>
      <c r="F9" s="499">
        <v>48389236.330000006</v>
      </c>
      <c r="G9" s="498">
        <f>D9-E9</f>
        <v>149971997.54279521</v>
      </c>
    </row>
    <row r="10" spans="1:9" x14ac:dyDescent="0.25">
      <c r="A10" s="501" t="s">
        <v>707</v>
      </c>
      <c r="B10" s="500"/>
      <c r="C10" s="499"/>
      <c r="D10" s="498">
        <f>B10+C10</f>
        <v>0</v>
      </c>
      <c r="E10" s="499"/>
      <c r="F10" s="499"/>
      <c r="G10" s="498">
        <f>D10-E10</f>
        <v>0</v>
      </c>
    </row>
    <row r="11" spans="1:9" x14ac:dyDescent="0.25">
      <c r="A11" s="501" t="s">
        <v>706</v>
      </c>
      <c r="B11" s="500"/>
      <c r="C11" s="499"/>
      <c r="D11" s="498">
        <f>B11+C11</f>
        <v>0</v>
      </c>
      <c r="E11" s="499"/>
      <c r="F11" s="499"/>
      <c r="G11" s="498">
        <f>D11-E11</f>
        <v>0</v>
      </c>
    </row>
    <row r="12" spans="1:9" x14ac:dyDescent="0.25">
      <c r="A12" s="501" t="s">
        <v>705</v>
      </c>
      <c r="B12" s="500"/>
      <c r="C12" s="499"/>
      <c r="D12" s="498">
        <f>B12+C12</f>
        <v>0</v>
      </c>
      <c r="E12" s="499"/>
      <c r="F12" s="499"/>
      <c r="G12" s="498">
        <f>D12-E12</f>
        <v>0</v>
      </c>
    </row>
    <row r="13" spans="1:9" x14ac:dyDescent="0.25">
      <c r="A13" s="501" t="s">
        <v>704</v>
      </c>
      <c r="B13" s="500"/>
      <c r="C13" s="499"/>
      <c r="D13" s="498">
        <f>B13+C13</f>
        <v>0</v>
      </c>
      <c r="E13" s="499"/>
      <c r="F13" s="499"/>
      <c r="G13" s="498">
        <f>D13-E13</f>
        <v>0</v>
      </c>
    </row>
    <row r="14" spans="1:9" x14ac:dyDescent="0.25">
      <c r="A14" s="501" t="s">
        <v>703</v>
      </c>
      <c r="B14" s="500"/>
      <c r="C14" s="499"/>
      <c r="D14" s="498">
        <f>B14+C14</f>
        <v>0</v>
      </c>
      <c r="E14" s="499"/>
      <c r="F14" s="499"/>
      <c r="G14" s="498">
        <f>D14-E14</f>
        <v>0</v>
      </c>
    </row>
    <row r="15" spans="1:9" ht="29.25" x14ac:dyDescent="0.25">
      <c r="A15" s="501" t="s">
        <v>702</v>
      </c>
      <c r="B15" s="496">
        <f>B16+B17</f>
        <v>0</v>
      </c>
      <c r="C15" s="496">
        <f>C16+C17</f>
        <v>0</v>
      </c>
      <c r="D15" s="496">
        <f>D16+D17</f>
        <v>0</v>
      </c>
      <c r="E15" s="496">
        <f>E16+E17</f>
        <v>0</v>
      </c>
      <c r="F15" s="496">
        <f>F16+F17</f>
        <v>0</v>
      </c>
      <c r="G15" s="496">
        <f>G16+G17</f>
        <v>0</v>
      </c>
    </row>
    <row r="16" spans="1:9" x14ac:dyDescent="0.25">
      <c r="A16" s="502" t="s">
        <v>701</v>
      </c>
      <c r="B16" s="500"/>
      <c r="C16" s="499"/>
      <c r="D16" s="498">
        <f>B16+C16</f>
        <v>0</v>
      </c>
      <c r="E16" s="499"/>
      <c r="F16" s="499"/>
      <c r="G16" s="498">
        <f>D16-E16</f>
        <v>0</v>
      </c>
    </row>
    <row r="17" spans="1:7" x14ac:dyDescent="0.25">
      <c r="A17" s="502" t="s">
        <v>700</v>
      </c>
      <c r="B17" s="500"/>
      <c r="C17" s="499"/>
      <c r="D17" s="498">
        <f>B17+C17</f>
        <v>0</v>
      </c>
      <c r="E17" s="499"/>
      <c r="F17" s="499"/>
      <c r="G17" s="498">
        <f>D17-E17</f>
        <v>0</v>
      </c>
    </row>
    <row r="18" spans="1:7" x14ac:dyDescent="0.25">
      <c r="A18" s="501" t="s">
        <v>699</v>
      </c>
      <c r="B18" s="500"/>
      <c r="C18" s="499"/>
      <c r="D18" s="498">
        <f>B18+C18</f>
        <v>0</v>
      </c>
      <c r="E18" s="499"/>
      <c r="F18" s="499"/>
      <c r="G18" s="498">
        <f>D18-E18</f>
        <v>0</v>
      </c>
    </row>
    <row r="19" spans="1:7" x14ac:dyDescent="0.25">
      <c r="A19" s="501"/>
      <c r="B19" s="496"/>
      <c r="C19" s="498"/>
      <c r="D19" s="498"/>
      <c r="E19" s="498"/>
      <c r="F19" s="498"/>
      <c r="G19" s="498"/>
    </row>
    <row r="20" spans="1:7" ht="19.5" x14ac:dyDescent="0.25">
      <c r="A20" s="497" t="s">
        <v>709</v>
      </c>
      <c r="B20" s="496">
        <f>B21+B22+B23+B24+B25+B26+B27+B30</f>
        <v>0</v>
      </c>
      <c r="C20" s="496">
        <f>C21+C22+C23+C24+C25+C26+C27+C30</f>
        <v>0</v>
      </c>
      <c r="D20" s="496">
        <f>D21+D22+D23+D24+D25+D26+D27+D30</f>
        <v>0</v>
      </c>
      <c r="E20" s="496">
        <f>E21+E22+E23+E24+E25+E26+E27+E30</f>
        <v>0</v>
      </c>
      <c r="F20" s="496">
        <f>F21+F22+F23+F24+F25+F26+F27+F30</f>
        <v>0</v>
      </c>
      <c r="G20" s="496">
        <f>G21+G22+G23+G24+G25+G26+G27+G30</f>
        <v>0</v>
      </c>
    </row>
    <row r="21" spans="1:7" ht="19.5" x14ac:dyDescent="0.25">
      <c r="A21" s="501" t="s">
        <v>708</v>
      </c>
      <c r="B21" s="500"/>
      <c r="C21" s="499"/>
      <c r="D21" s="498">
        <f>B21+C21</f>
        <v>0</v>
      </c>
      <c r="E21" s="499"/>
      <c r="F21" s="499"/>
      <c r="G21" s="498">
        <f>D21-E21</f>
        <v>0</v>
      </c>
    </row>
    <row r="22" spans="1:7" x14ac:dyDescent="0.25">
      <c r="A22" s="501" t="s">
        <v>707</v>
      </c>
      <c r="B22" s="500"/>
      <c r="C22" s="499"/>
      <c r="D22" s="498">
        <f>B22+C22</f>
        <v>0</v>
      </c>
      <c r="E22" s="499"/>
      <c r="F22" s="499"/>
      <c r="G22" s="498">
        <f>D22-E22</f>
        <v>0</v>
      </c>
    </row>
    <row r="23" spans="1:7" x14ac:dyDescent="0.25">
      <c r="A23" s="501" t="s">
        <v>706</v>
      </c>
      <c r="B23" s="500"/>
      <c r="C23" s="499"/>
      <c r="D23" s="498">
        <f>B23+C23</f>
        <v>0</v>
      </c>
      <c r="E23" s="499"/>
      <c r="F23" s="499"/>
      <c r="G23" s="498">
        <f>D23-E23</f>
        <v>0</v>
      </c>
    </row>
    <row r="24" spans="1:7" x14ac:dyDescent="0.25">
      <c r="A24" s="501" t="s">
        <v>705</v>
      </c>
      <c r="B24" s="500"/>
      <c r="C24" s="499"/>
      <c r="D24" s="498">
        <f>B24+C24</f>
        <v>0</v>
      </c>
      <c r="E24" s="499"/>
      <c r="F24" s="499"/>
      <c r="G24" s="498">
        <f>D24-E24</f>
        <v>0</v>
      </c>
    </row>
    <row r="25" spans="1:7" x14ac:dyDescent="0.25">
      <c r="A25" s="501" t="s">
        <v>704</v>
      </c>
      <c r="B25" s="500"/>
      <c r="C25" s="499"/>
      <c r="D25" s="498">
        <f>B25+C25</f>
        <v>0</v>
      </c>
      <c r="E25" s="499"/>
      <c r="F25" s="499"/>
      <c r="G25" s="498">
        <f>D25-E25</f>
        <v>0</v>
      </c>
    </row>
    <row r="26" spans="1:7" x14ac:dyDescent="0.25">
      <c r="A26" s="501" t="s">
        <v>703</v>
      </c>
      <c r="B26" s="500"/>
      <c r="C26" s="499"/>
      <c r="D26" s="498">
        <f>B26+C26</f>
        <v>0</v>
      </c>
      <c r="E26" s="499"/>
      <c r="F26" s="499"/>
      <c r="G26" s="498">
        <f>D26-E26</f>
        <v>0</v>
      </c>
    </row>
    <row r="27" spans="1:7" ht="29.25" x14ac:dyDescent="0.25">
      <c r="A27" s="501" t="s">
        <v>702</v>
      </c>
      <c r="B27" s="496">
        <f>B28+B29</f>
        <v>0</v>
      </c>
      <c r="C27" s="496">
        <f>C28+C29</f>
        <v>0</v>
      </c>
      <c r="D27" s="496">
        <f>D28+D29</f>
        <v>0</v>
      </c>
      <c r="E27" s="496">
        <f>E28+E29</f>
        <v>0</v>
      </c>
      <c r="F27" s="496">
        <f>F28+F29</f>
        <v>0</v>
      </c>
      <c r="G27" s="496">
        <f>G28+G29</f>
        <v>0</v>
      </c>
    </row>
    <row r="28" spans="1:7" x14ac:dyDescent="0.25">
      <c r="A28" s="502" t="s">
        <v>701</v>
      </c>
      <c r="B28" s="500"/>
      <c r="C28" s="499"/>
      <c r="D28" s="498">
        <f>B28+C28</f>
        <v>0</v>
      </c>
      <c r="E28" s="499"/>
      <c r="F28" s="499"/>
      <c r="G28" s="498">
        <f>D28-E28</f>
        <v>0</v>
      </c>
    </row>
    <row r="29" spans="1:7" x14ac:dyDescent="0.25">
      <c r="A29" s="502" t="s">
        <v>700</v>
      </c>
      <c r="B29" s="500"/>
      <c r="C29" s="499"/>
      <c r="D29" s="498">
        <f>B29+C29</f>
        <v>0</v>
      </c>
      <c r="E29" s="499"/>
      <c r="F29" s="499"/>
      <c r="G29" s="498">
        <f>D29-E29</f>
        <v>0</v>
      </c>
    </row>
    <row r="30" spans="1:7" x14ac:dyDescent="0.25">
      <c r="A30" s="501" t="s">
        <v>699</v>
      </c>
      <c r="B30" s="500"/>
      <c r="C30" s="499"/>
      <c r="D30" s="498">
        <f>B30+C30</f>
        <v>0</v>
      </c>
      <c r="E30" s="499"/>
      <c r="F30" s="499"/>
      <c r="G30" s="498">
        <f>D30-E30</f>
        <v>0</v>
      </c>
    </row>
    <row r="31" spans="1:7" ht="19.5" x14ac:dyDescent="0.25">
      <c r="A31" s="497" t="s">
        <v>698</v>
      </c>
      <c r="B31" s="496">
        <f>B8+B20</f>
        <v>204443147.32279521</v>
      </c>
      <c r="C31" s="496">
        <f>C8+C20</f>
        <v>-632242.46</v>
      </c>
      <c r="D31" s="496">
        <f>D8+D20</f>
        <v>203810904.8627952</v>
      </c>
      <c r="E31" s="496">
        <f>E8+E20</f>
        <v>53838907.32</v>
      </c>
      <c r="F31" s="496">
        <f>F8+F20</f>
        <v>48389236.330000006</v>
      </c>
      <c r="G31" s="496">
        <f>G8+G20</f>
        <v>149971997.54279521</v>
      </c>
    </row>
    <row r="32" spans="1:7" ht="15.75" thickBot="1" x14ac:dyDescent="0.3">
      <c r="A32" s="495"/>
      <c r="B32" s="494"/>
      <c r="C32" s="493"/>
      <c r="D32" s="493"/>
      <c r="E32" s="493"/>
      <c r="F32" s="493"/>
      <c r="G32" s="493"/>
    </row>
  </sheetData>
  <sheetProtection password="C195" sheet="1" scenarios="1" insertHyperlinks="0"/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2EFA-B413-408F-8D2A-47A7497B1498}">
  <sheetPr>
    <tabColor theme="0" tint="-0.14999847407452621"/>
    <pageSetUpPr fitToPage="1"/>
  </sheetPr>
  <dimension ref="A1:D48"/>
  <sheetViews>
    <sheetView view="pageBreakPreview" zoomScale="110" zoomScaleNormal="100" zoomScaleSheetLayoutView="110" workbookViewId="0">
      <selection activeCell="S24" sqref="S24"/>
    </sheetView>
  </sheetViews>
  <sheetFormatPr baseColWidth="10" defaultColWidth="11.28515625" defaultRowHeight="16.5" x14ac:dyDescent="0.25"/>
  <cols>
    <col min="1" max="1" width="64.5703125" style="1" customWidth="1"/>
    <col min="2" max="2" width="25.7109375" style="1" customWidth="1"/>
    <col min="3" max="3" width="25.7109375" style="515" customWidth="1"/>
    <col min="4" max="4" width="89.140625" style="1" customWidth="1"/>
    <col min="5" max="16384" width="11.28515625" style="1"/>
  </cols>
  <sheetData>
    <row r="1" spans="1:4" x14ac:dyDescent="0.25">
      <c r="A1" s="104" t="str">
        <f>'[1]ETCA-I-01'!A1:G1</f>
        <v xml:space="preserve">Comision Estatal del Agua  </v>
      </c>
      <c r="B1" s="104"/>
      <c r="C1" s="104"/>
      <c r="D1" s="547"/>
    </row>
    <row r="2" spans="1:4" s="102" customFormat="1" ht="15.75" x14ac:dyDescent="0.25">
      <c r="A2" s="104" t="s">
        <v>730</v>
      </c>
      <c r="B2" s="104"/>
      <c r="C2" s="104"/>
    </row>
    <row r="3" spans="1:4" s="102" customFormat="1" x14ac:dyDescent="0.25">
      <c r="A3" s="103" t="str">
        <f>'[1]ETCA-I-01'!A3:G3</f>
        <v>Al 31 de Marzo de 2020</v>
      </c>
      <c r="B3" s="103"/>
      <c r="C3" s="103"/>
    </row>
    <row r="4" spans="1:4" s="26" customFormat="1" ht="17.25" thickBot="1" x14ac:dyDescent="0.3">
      <c r="A4" s="546"/>
      <c r="B4" s="545"/>
      <c r="C4" s="544"/>
    </row>
    <row r="5" spans="1:4" s="219" customFormat="1" ht="27" customHeight="1" thickBot="1" x14ac:dyDescent="0.3">
      <c r="A5" s="543" t="s">
        <v>729</v>
      </c>
      <c r="B5" s="542"/>
      <c r="C5" s="177">
        <f>'ETCA II-04'!E80</f>
        <v>163394492.12</v>
      </c>
      <c r="D5" s="537" t="str">
        <f>IF((C5-'ETCA II-04'!E80)&gt;0.9,"ERROR!!!!! EL MONTO NO COINCIDE CON LO REPORTADO EN EL FORMATO ETCA-II-04, EN EL TOTAL DE EGRESOS DEVENGADO ANUAL","")</f>
        <v/>
      </c>
    </row>
    <row r="6" spans="1:4" s="219" customFormat="1" ht="9.75" customHeight="1" x14ac:dyDescent="0.25">
      <c r="A6" s="541"/>
      <c r="B6" s="199"/>
      <c r="C6" s="540"/>
      <c r="D6" s="537"/>
    </row>
    <row r="7" spans="1:4" s="219" customFormat="1" ht="17.25" customHeight="1" thickBot="1" x14ac:dyDescent="0.3">
      <c r="A7" s="539"/>
      <c r="B7" s="195"/>
      <c r="C7" s="538"/>
      <c r="D7" s="537"/>
    </row>
    <row r="8" spans="1:4" ht="20.100000000000001" customHeight="1" x14ac:dyDescent="0.25">
      <c r="A8" s="530" t="s">
        <v>728</v>
      </c>
      <c r="B8" s="536"/>
      <c r="C8" s="528">
        <f>SUM(B9:B29)</f>
        <v>50244483.469999999</v>
      </c>
      <c r="D8" s="78"/>
    </row>
    <row r="9" spans="1:4" ht="20.100000000000001" customHeight="1" x14ac:dyDescent="0.25">
      <c r="A9" s="527" t="s">
        <v>727</v>
      </c>
      <c r="B9" s="526"/>
      <c r="C9" s="525"/>
      <c r="D9" s="78"/>
    </row>
    <row r="10" spans="1:4" ht="20.100000000000001" customHeight="1" x14ac:dyDescent="0.25">
      <c r="A10" s="527" t="s">
        <v>726</v>
      </c>
      <c r="B10" s="526"/>
      <c r="C10" s="525"/>
      <c r="D10" s="78"/>
    </row>
    <row r="11" spans="1:4" ht="20.100000000000001" customHeight="1" x14ac:dyDescent="0.25">
      <c r="A11" s="527" t="s">
        <v>163</v>
      </c>
      <c r="B11" s="526"/>
      <c r="C11" s="525"/>
      <c r="D11" s="78"/>
    </row>
    <row r="12" spans="1:4" x14ac:dyDescent="0.25">
      <c r="A12" s="527" t="s">
        <v>162</v>
      </c>
      <c r="B12" s="526"/>
      <c r="C12" s="525"/>
      <c r="D12" s="78"/>
    </row>
    <row r="13" spans="1:4" ht="20.100000000000001" customHeight="1" x14ac:dyDescent="0.25">
      <c r="A13" s="527" t="s">
        <v>161</v>
      </c>
      <c r="B13" s="526"/>
      <c r="C13" s="525"/>
      <c r="D13" s="78"/>
    </row>
    <row r="14" spans="1:4" ht="20.100000000000001" customHeight="1" x14ac:dyDescent="0.25">
      <c r="A14" s="527" t="s">
        <v>160</v>
      </c>
      <c r="B14" s="526"/>
      <c r="C14" s="525"/>
      <c r="D14" s="78"/>
    </row>
    <row r="15" spans="1:4" ht="20.100000000000001" customHeight="1" x14ac:dyDescent="0.25">
      <c r="A15" s="527" t="s">
        <v>159</v>
      </c>
      <c r="B15" s="526"/>
      <c r="C15" s="525"/>
      <c r="D15" s="78"/>
    </row>
    <row r="16" spans="1:4" ht="20.100000000000001" customHeight="1" x14ac:dyDescent="0.25">
      <c r="A16" s="527" t="s">
        <v>158</v>
      </c>
      <c r="B16" s="526">
        <v>192869.49</v>
      </c>
      <c r="C16" s="525"/>
      <c r="D16" s="78"/>
    </row>
    <row r="17" spans="1:4" ht="20.100000000000001" customHeight="1" x14ac:dyDescent="0.25">
      <c r="A17" s="527" t="s">
        <v>725</v>
      </c>
      <c r="B17" s="526"/>
      <c r="C17" s="525"/>
      <c r="D17" s="78"/>
    </row>
    <row r="18" spans="1:4" ht="20.100000000000001" customHeight="1" x14ac:dyDescent="0.25">
      <c r="A18" s="527" t="s">
        <v>156</v>
      </c>
      <c r="B18" s="526"/>
      <c r="C18" s="525"/>
      <c r="D18" s="78"/>
    </row>
    <row r="19" spans="1:4" ht="20.100000000000001" customHeight="1" x14ac:dyDescent="0.25">
      <c r="A19" s="527" t="s">
        <v>155</v>
      </c>
      <c r="B19" s="526"/>
      <c r="C19" s="525"/>
      <c r="D19" s="78"/>
    </row>
    <row r="20" spans="1:4" ht="20.100000000000001" customHeight="1" x14ac:dyDescent="0.25">
      <c r="A20" s="527" t="s">
        <v>153</v>
      </c>
      <c r="B20" s="526">
        <v>6153546.4799999995</v>
      </c>
      <c r="C20" s="525"/>
      <c r="D20" s="78"/>
    </row>
    <row r="21" spans="1:4" ht="20.100000000000001" customHeight="1" x14ac:dyDescent="0.25">
      <c r="A21" s="527" t="s">
        <v>152</v>
      </c>
      <c r="B21" s="526"/>
      <c r="C21" s="525"/>
      <c r="D21" s="78"/>
    </row>
    <row r="22" spans="1:4" ht="20.100000000000001" customHeight="1" x14ac:dyDescent="0.25">
      <c r="A22" s="527" t="s">
        <v>148</v>
      </c>
      <c r="B22" s="526"/>
      <c r="C22" s="525"/>
      <c r="D22" s="78"/>
    </row>
    <row r="23" spans="1:4" ht="20.100000000000001" customHeight="1" x14ac:dyDescent="0.25">
      <c r="A23" s="527" t="s">
        <v>147</v>
      </c>
      <c r="B23" s="526"/>
      <c r="C23" s="525"/>
      <c r="D23" s="78"/>
    </row>
    <row r="24" spans="1:4" ht="20.100000000000001" customHeight="1" x14ac:dyDescent="0.25">
      <c r="A24" s="527" t="s">
        <v>146</v>
      </c>
      <c r="B24" s="526"/>
      <c r="C24" s="525"/>
      <c r="D24" s="78"/>
    </row>
    <row r="25" spans="1:4" ht="20.100000000000001" customHeight="1" x14ac:dyDescent="0.25">
      <c r="A25" s="527" t="s">
        <v>145</v>
      </c>
      <c r="B25" s="526"/>
      <c r="C25" s="525"/>
      <c r="D25" s="78"/>
    </row>
    <row r="26" spans="1:4" ht="20.100000000000001" customHeight="1" x14ac:dyDescent="0.25">
      <c r="A26" s="527" t="s">
        <v>143</v>
      </c>
      <c r="B26" s="526"/>
      <c r="C26" s="525"/>
      <c r="D26" s="78"/>
    </row>
    <row r="27" spans="1:4" ht="20.100000000000001" customHeight="1" x14ac:dyDescent="0.25">
      <c r="A27" s="527" t="s">
        <v>724</v>
      </c>
      <c r="B27" s="526">
        <v>4658787.2600000007</v>
      </c>
      <c r="C27" s="525"/>
      <c r="D27" s="78"/>
    </row>
    <row r="28" spans="1:4" ht="20.100000000000001" customHeight="1" x14ac:dyDescent="0.25">
      <c r="A28" s="527" t="s">
        <v>723</v>
      </c>
      <c r="B28" s="526">
        <v>34740107.43</v>
      </c>
      <c r="C28" s="525"/>
      <c r="D28" s="78"/>
    </row>
    <row r="29" spans="1:4" ht="20.100000000000001" customHeight="1" thickBot="1" x14ac:dyDescent="0.3">
      <c r="A29" s="527" t="s">
        <v>722</v>
      </c>
      <c r="B29" s="535">
        <v>4499172.8099999996</v>
      </c>
      <c r="C29" s="522"/>
      <c r="D29" s="78"/>
    </row>
    <row r="30" spans="1:4" ht="7.5" customHeight="1" x14ac:dyDescent="0.25">
      <c r="A30" s="534"/>
      <c r="B30" s="199"/>
      <c r="C30" s="533"/>
      <c r="D30" s="78"/>
    </row>
    <row r="31" spans="1:4" ht="20.100000000000001" customHeight="1" thickBot="1" x14ac:dyDescent="0.3">
      <c r="A31" s="532"/>
      <c r="B31" s="195"/>
      <c r="C31" s="531"/>
      <c r="D31" s="78"/>
    </row>
    <row r="32" spans="1:4" ht="20.100000000000001" customHeight="1" x14ac:dyDescent="0.25">
      <c r="A32" s="530" t="s">
        <v>721</v>
      </c>
      <c r="B32" s="529"/>
      <c r="C32" s="528">
        <f>SUM(B33:B39)</f>
        <v>11741353.43</v>
      </c>
      <c r="D32" s="78"/>
    </row>
    <row r="33" spans="1:4" x14ac:dyDescent="0.25">
      <c r="A33" s="527" t="s">
        <v>720</v>
      </c>
      <c r="B33" s="526">
        <v>1679437.11</v>
      </c>
      <c r="C33" s="525"/>
      <c r="D33" s="78"/>
    </row>
    <row r="34" spans="1:4" ht="20.100000000000001" customHeight="1" x14ac:dyDescent="0.25">
      <c r="A34" s="527" t="s">
        <v>719</v>
      </c>
      <c r="B34" s="526"/>
      <c r="C34" s="525"/>
      <c r="D34" s="176" t="str">
        <f>IF(B33&lt;&gt;'[1]ETCA-I-03'!C52,"ERROR!!!!! EL MONTO NO COINCIDE CON LO REPORTADO EN EL FORMATO ETCA-I-02 POR CONCEPTO DE ESTIMACIONES, DEPRECIACIONES, ETC..","")</f>
        <v/>
      </c>
    </row>
    <row r="35" spans="1:4" ht="20.100000000000001" customHeight="1" x14ac:dyDescent="0.25">
      <c r="A35" s="527" t="s">
        <v>718</v>
      </c>
      <c r="B35" s="526"/>
      <c r="C35" s="525"/>
      <c r="D35" s="78"/>
    </row>
    <row r="36" spans="1:4" ht="25.5" customHeight="1" x14ac:dyDescent="0.25">
      <c r="A36" s="527" t="s">
        <v>717</v>
      </c>
      <c r="B36" s="526"/>
      <c r="C36" s="525"/>
      <c r="D36" s="78"/>
    </row>
    <row r="37" spans="1:4" ht="20.100000000000001" customHeight="1" x14ac:dyDescent="0.25">
      <c r="A37" s="527" t="s">
        <v>716</v>
      </c>
      <c r="B37" s="526">
        <v>10061916.32</v>
      </c>
      <c r="C37" s="525"/>
      <c r="D37" s="78"/>
    </row>
    <row r="38" spans="1:4" ht="20.100000000000001" customHeight="1" x14ac:dyDescent="0.25">
      <c r="A38" s="527" t="s">
        <v>715</v>
      </c>
      <c r="B38" s="526"/>
      <c r="C38" s="525"/>
      <c r="D38" s="78"/>
    </row>
    <row r="39" spans="1:4" ht="20.100000000000001" customHeight="1" x14ac:dyDescent="0.25">
      <c r="A39" s="527" t="s">
        <v>714</v>
      </c>
      <c r="B39" s="526">
        <v>0</v>
      </c>
      <c r="C39" s="525"/>
      <c r="D39" s="78"/>
    </row>
    <row r="40" spans="1:4" ht="20.100000000000001" customHeight="1" thickBot="1" x14ac:dyDescent="0.3">
      <c r="A40" s="524"/>
      <c r="B40" s="523"/>
      <c r="C40" s="522"/>
      <c r="D40" s="78"/>
    </row>
    <row r="41" spans="1:4" ht="20.100000000000001" customHeight="1" thickBot="1" x14ac:dyDescent="0.3">
      <c r="A41" s="521" t="s">
        <v>713</v>
      </c>
      <c r="B41" s="520"/>
      <c r="C41" s="177">
        <f>C5-C8+C32</f>
        <v>124891362.08000001</v>
      </c>
      <c r="D41" s="78"/>
    </row>
    <row r="42" spans="1:4" ht="20.100000000000001" customHeight="1" x14ac:dyDescent="0.25">
      <c r="A42" s="518"/>
      <c r="B42" s="517"/>
      <c r="C42" s="516"/>
      <c r="D42" s="78" t="str">
        <f>IF((C41-'[1]ETCA-I-03'!C61)&gt;0.9,"ERROR!!!!! EL MONTO NO COINCIDE CON LO REPORTADO EN EL FORMATO ETCA-I-03, EN EL MISMO RUBRO","")</f>
        <v/>
      </c>
    </row>
    <row r="43" spans="1:4" ht="20.100000000000001" customHeight="1" x14ac:dyDescent="0.25">
      <c r="A43" s="519"/>
      <c r="B43" s="517"/>
      <c r="C43" s="516"/>
      <c r="D43" s="78"/>
    </row>
    <row r="44" spans="1:4" ht="20.100000000000001" customHeight="1" x14ac:dyDescent="0.25">
      <c r="A44" s="519"/>
      <c r="B44" s="517"/>
      <c r="C44" s="516"/>
      <c r="D44" s="78"/>
    </row>
    <row r="45" spans="1:4" ht="20.100000000000001" customHeight="1" x14ac:dyDescent="0.25">
      <c r="A45" s="519"/>
      <c r="B45" s="517"/>
      <c r="C45" s="516"/>
      <c r="D45" s="78"/>
    </row>
    <row r="46" spans="1:4" ht="20.100000000000001" customHeight="1" x14ac:dyDescent="0.25">
      <c r="A46" s="519"/>
      <c r="B46" s="517"/>
      <c r="C46" s="516"/>
      <c r="D46" s="78"/>
    </row>
    <row r="47" spans="1:4" ht="26.25" customHeight="1" x14ac:dyDescent="0.25">
      <c r="A47" s="518"/>
      <c r="B47" s="517"/>
      <c r="C47" s="516"/>
      <c r="D47" s="78"/>
    </row>
    <row r="48" spans="1:4" x14ac:dyDescent="0.25">
      <c r="D48" s="78"/>
    </row>
  </sheetData>
  <sheetProtection password="C115" sheet="1" scenarios="1" formatColumns="0" formatRows="0" insertHyperlinks="0"/>
  <mergeCells count="3">
    <mergeCell ref="A1:C1"/>
    <mergeCell ref="A2:C2"/>
    <mergeCell ref="A3:C3"/>
  </mergeCells>
  <printOptions horizontalCentered="1"/>
  <pageMargins left="0.39370078740157483" right="0.39370078740157483" top="0.74803149606299213" bottom="0.74803149606299213" header="0.31496062992125984" footer="0.31496062992125984"/>
  <pageSetup scale="7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43B83-8AA6-45FD-8A54-7FF7B68CD166}">
  <sheetPr>
    <tabColor theme="0" tint="-0.14999847407452621"/>
  </sheetPr>
  <dimension ref="A1:J37"/>
  <sheetViews>
    <sheetView view="pageBreakPreview" zoomScaleNormal="100" zoomScaleSheetLayoutView="100" workbookViewId="0">
      <selection activeCell="S24" sqref="S24"/>
    </sheetView>
  </sheetViews>
  <sheetFormatPr baseColWidth="10" defaultColWidth="11.28515625" defaultRowHeight="16.5" x14ac:dyDescent="0.3"/>
  <cols>
    <col min="1" max="1" width="4.28515625" style="548" customWidth="1"/>
    <col min="2" max="2" width="41.7109375" style="548" customWidth="1"/>
    <col min="3" max="5" width="16.7109375" style="548" customWidth="1"/>
    <col min="6" max="16384" width="11.28515625" style="548"/>
  </cols>
  <sheetData>
    <row r="1" spans="1:5" x14ac:dyDescent="0.3">
      <c r="A1" s="172" t="str">
        <f>'[1]ETCA-I-01'!A1:G1</f>
        <v xml:space="preserve">Comision Estatal del Agua  </v>
      </c>
      <c r="B1" s="172"/>
      <c r="C1" s="172"/>
      <c r="D1" s="172"/>
      <c r="E1" s="172"/>
    </row>
    <row r="2" spans="1:5" x14ac:dyDescent="0.3">
      <c r="A2" s="584" t="s">
        <v>741</v>
      </c>
      <c r="B2" s="584"/>
      <c r="C2" s="584"/>
      <c r="D2" s="584"/>
      <c r="E2" s="584"/>
    </row>
    <row r="3" spans="1:5" x14ac:dyDescent="0.3">
      <c r="A3" s="585" t="str">
        <f>'[1]ETCA-I-03'!A3:D3</f>
        <v>Del 01 de Enero al 31 de Marzo de 2020</v>
      </c>
      <c r="B3" s="585"/>
      <c r="C3" s="585"/>
      <c r="D3" s="585"/>
      <c r="E3" s="585"/>
    </row>
    <row r="4" spans="1:5" ht="17.25" thickBot="1" x14ac:dyDescent="0.35">
      <c r="A4" s="583"/>
      <c r="B4" s="584" t="s">
        <v>745</v>
      </c>
      <c r="C4" s="584"/>
      <c r="D4" s="98"/>
      <c r="E4" s="583"/>
    </row>
    <row r="5" spans="1:5" s="55" customFormat="1" ht="30" customHeight="1" x14ac:dyDescent="0.25">
      <c r="A5" s="582" t="s">
        <v>744</v>
      </c>
      <c r="B5" s="581"/>
      <c r="C5" s="580" t="s">
        <v>743</v>
      </c>
      <c r="D5" s="579" t="s">
        <v>742</v>
      </c>
      <c r="E5" s="578" t="s">
        <v>741</v>
      </c>
    </row>
    <row r="6" spans="1:5" s="55" customFormat="1" ht="30" customHeight="1" thickBot="1" x14ac:dyDescent="0.3">
      <c r="A6" s="577"/>
      <c r="B6" s="576"/>
      <c r="C6" s="575" t="s">
        <v>740</v>
      </c>
      <c r="D6" s="575" t="s">
        <v>739</v>
      </c>
      <c r="E6" s="574" t="s">
        <v>738</v>
      </c>
    </row>
    <row r="7" spans="1:5" s="55" customFormat="1" ht="21" customHeight="1" x14ac:dyDescent="0.25">
      <c r="A7" s="573" t="s">
        <v>737</v>
      </c>
      <c r="B7" s="572"/>
      <c r="C7" s="572"/>
      <c r="D7" s="572"/>
      <c r="E7" s="571"/>
    </row>
    <row r="8" spans="1:5" s="55" customFormat="1" ht="20.25" customHeight="1" x14ac:dyDescent="0.25">
      <c r="A8" s="563">
        <v>1</v>
      </c>
      <c r="B8" s="566" t="s">
        <v>736</v>
      </c>
      <c r="C8" s="565">
        <v>446913961</v>
      </c>
      <c r="D8" s="564">
        <f>115913072.36+4010257+4163392.68+0.01+4322375.99+4487430.24+4658787.26</f>
        <v>137555315.53999999</v>
      </c>
      <c r="E8" s="559">
        <f>IF(B8="","",C8-D8)</f>
        <v>309358645.46000004</v>
      </c>
    </row>
    <row r="9" spans="1:5" s="55" customFormat="1" ht="20.25" customHeight="1" x14ac:dyDescent="0.25">
      <c r="A9" s="563">
        <v>2</v>
      </c>
      <c r="B9" s="566"/>
      <c r="C9" s="565"/>
      <c r="D9" s="564"/>
      <c r="E9" s="559" t="str">
        <f>IF(B9="","",C9-D9)</f>
        <v/>
      </c>
    </row>
    <row r="10" spans="1:5" s="55" customFormat="1" ht="20.25" customHeight="1" x14ac:dyDescent="0.25">
      <c r="A10" s="563">
        <v>3</v>
      </c>
      <c r="B10" s="566"/>
      <c r="C10" s="565"/>
      <c r="D10" s="564"/>
      <c r="E10" s="559" t="str">
        <f>IF(B10="","",C10-D10)</f>
        <v/>
      </c>
    </row>
    <row r="11" spans="1:5" s="55" customFormat="1" ht="20.25" customHeight="1" x14ac:dyDescent="0.25">
      <c r="A11" s="563">
        <v>4</v>
      </c>
      <c r="B11" s="566"/>
      <c r="C11" s="565"/>
      <c r="D11" s="564"/>
      <c r="E11" s="559" t="str">
        <f>IF(B11="","",C11-D11)</f>
        <v/>
      </c>
    </row>
    <row r="12" spans="1:5" s="55" customFormat="1" ht="20.25" customHeight="1" x14ac:dyDescent="0.25">
      <c r="A12" s="563">
        <v>5</v>
      </c>
      <c r="B12" s="566"/>
      <c r="C12" s="565"/>
      <c r="D12" s="564"/>
      <c r="E12" s="559" t="str">
        <f>IF(B12="","",C12-D12)</f>
        <v/>
      </c>
    </row>
    <row r="13" spans="1:5" s="55" customFormat="1" ht="20.25" customHeight="1" x14ac:dyDescent="0.25">
      <c r="A13" s="563">
        <v>6</v>
      </c>
      <c r="B13" s="566"/>
      <c r="C13" s="565"/>
      <c r="D13" s="564"/>
      <c r="E13" s="559" t="str">
        <f>IF(B13="","",C13-D13)</f>
        <v/>
      </c>
    </row>
    <row r="14" spans="1:5" s="55" customFormat="1" ht="20.25" customHeight="1" x14ac:dyDescent="0.25">
      <c r="A14" s="563">
        <v>7</v>
      </c>
      <c r="B14" s="566"/>
      <c r="C14" s="565"/>
      <c r="D14" s="564"/>
      <c r="E14" s="559" t="str">
        <f>IF(B14="","",C14-D14)</f>
        <v/>
      </c>
    </row>
    <row r="15" spans="1:5" s="55" customFormat="1" ht="20.25" customHeight="1" x14ac:dyDescent="0.25">
      <c r="A15" s="563">
        <v>8</v>
      </c>
      <c r="B15" s="566"/>
      <c r="C15" s="565"/>
      <c r="D15" s="564"/>
      <c r="E15" s="559" t="str">
        <f>IF(B15="","",C15-D15)</f>
        <v/>
      </c>
    </row>
    <row r="16" spans="1:5" s="55" customFormat="1" ht="20.25" customHeight="1" x14ac:dyDescent="0.25">
      <c r="A16" s="563">
        <v>9</v>
      </c>
      <c r="B16" s="566"/>
      <c r="C16" s="565"/>
      <c r="D16" s="564"/>
      <c r="E16" s="559" t="str">
        <f>IF(B16="","",C16-D16)</f>
        <v/>
      </c>
    </row>
    <row r="17" spans="1:5" s="55" customFormat="1" ht="20.25" customHeight="1" x14ac:dyDescent="0.25">
      <c r="A17" s="563">
        <v>10</v>
      </c>
      <c r="B17" s="566"/>
      <c r="C17" s="565"/>
      <c r="D17" s="564"/>
      <c r="E17" s="559" t="str">
        <f>IF(B17="","",C17-D17)</f>
        <v/>
      </c>
    </row>
    <row r="18" spans="1:5" s="55" customFormat="1" ht="20.25" customHeight="1" x14ac:dyDescent="0.25">
      <c r="A18" s="563"/>
      <c r="B18" s="570" t="s">
        <v>735</v>
      </c>
      <c r="C18" s="561">
        <f>SUM(C8:C17)</f>
        <v>446913961</v>
      </c>
      <c r="D18" s="560">
        <f>SUM(D8:D17)</f>
        <v>137555315.53999999</v>
      </c>
      <c r="E18" s="559">
        <f>SUM(E8:E17)</f>
        <v>309358645.46000004</v>
      </c>
    </row>
    <row r="19" spans="1:5" s="55" customFormat="1" ht="21" customHeight="1" x14ac:dyDescent="0.25">
      <c r="A19" s="569" t="s">
        <v>734</v>
      </c>
      <c r="B19" s="568"/>
      <c r="C19" s="568"/>
      <c r="D19" s="568"/>
      <c r="E19" s="567"/>
    </row>
    <row r="20" spans="1:5" s="55" customFormat="1" ht="20.25" customHeight="1" x14ac:dyDescent="0.25">
      <c r="A20" s="563">
        <v>1</v>
      </c>
      <c r="B20" s="566"/>
      <c r="C20" s="565"/>
      <c r="D20" s="564"/>
      <c r="E20" s="559" t="str">
        <f>IF(B20="","",C20-D20)</f>
        <v/>
      </c>
    </row>
    <row r="21" spans="1:5" s="55" customFormat="1" ht="20.25" customHeight="1" x14ac:dyDescent="0.25">
      <c r="A21" s="563">
        <v>2</v>
      </c>
      <c r="B21" s="566"/>
      <c r="C21" s="565"/>
      <c r="D21" s="564"/>
      <c r="E21" s="559" t="str">
        <f>IF(B21="","",C21-D21)</f>
        <v/>
      </c>
    </row>
    <row r="22" spans="1:5" s="55" customFormat="1" ht="20.25" customHeight="1" x14ac:dyDescent="0.25">
      <c r="A22" s="563">
        <v>3</v>
      </c>
      <c r="B22" s="566"/>
      <c r="C22" s="565"/>
      <c r="D22" s="564"/>
      <c r="E22" s="559" t="str">
        <f>IF(B22="","",C22-D22)</f>
        <v/>
      </c>
    </row>
    <row r="23" spans="1:5" s="55" customFormat="1" ht="20.25" customHeight="1" x14ac:dyDescent="0.25">
      <c r="A23" s="563">
        <v>4</v>
      </c>
      <c r="B23" s="566"/>
      <c r="C23" s="565"/>
      <c r="D23" s="564"/>
      <c r="E23" s="559" t="str">
        <f>IF(B23="","",C23-D23)</f>
        <v/>
      </c>
    </row>
    <row r="24" spans="1:5" s="55" customFormat="1" ht="20.25" customHeight="1" x14ac:dyDescent="0.25">
      <c r="A24" s="563">
        <v>5</v>
      </c>
      <c r="B24" s="566"/>
      <c r="C24" s="565"/>
      <c r="D24" s="564"/>
      <c r="E24" s="559" t="str">
        <f>IF(B24="","",C24-D24)</f>
        <v/>
      </c>
    </row>
    <row r="25" spans="1:5" s="55" customFormat="1" ht="20.25" customHeight="1" x14ac:dyDescent="0.25">
      <c r="A25" s="563">
        <v>6</v>
      </c>
      <c r="B25" s="566"/>
      <c r="C25" s="565"/>
      <c r="D25" s="564"/>
      <c r="E25" s="559" t="str">
        <f>IF(B25="","",C25-D25)</f>
        <v/>
      </c>
    </row>
    <row r="26" spans="1:5" s="55" customFormat="1" ht="20.25" customHeight="1" x14ac:dyDescent="0.25">
      <c r="A26" s="563">
        <v>7</v>
      </c>
      <c r="B26" s="566"/>
      <c r="C26" s="565"/>
      <c r="D26" s="564"/>
      <c r="E26" s="559" t="str">
        <f>IF(B26="","",C26-D26)</f>
        <v/>
      </c>
    </row>
    <row r="27" spans="1:5" s="55" customFormat="1" ht="20.25" customHeight="1" x14ac:dyDescent="0.25">
      <c r="A27" s="563">
        <v>8</v>
      </c>
      <c r="B27" s="566"/>
      <c r="C27" s="565"/>
      <c r="D27" s="564"/>
      <c r="E27" s="559" t="str">
        <f>IF(B27="","",C27-D28)</f>
        <v/>
      </c>
    </row>
    <row r="28" spans="1:5" s="55" customFormat="1" ht="20.25" customHeight="1" x14ac:dyDescent="0.25">
      <c r="A28" s="563">
        <v>9</v>
      </c>
      <c r="B28" s="566"/>
      <c r="C28" s="565"/>
      <c r="D28" s="564"/>
      <c r="E28" s="559" t="str">
        <f>IF(B28="","",C28-#REF!)</f>
        <v/>
      </c>
    </row>
    <row r="29" spans="1:5" s="55" customFormat="1" ht="20.25" customHeight="1" x14ac:dyDescent="0.25">
      <c r="A29" s="563">
        <v>10</v>
      </c>
      <c r="B29" s="566"/>
      <c r="C29" s="565"/>
      <c r="D29" s="564"/>
      <c r="E29" s="559" t="str">
        <f>IF(B29="","",C29-D29)</f>
        <v/>
      </c>
    </row>
    <row r="30" spans="1:5" s="558" customFormat="1" ht="39.950000000000003" customHeight="1" thickBot="1" x14ac:dyDescent="0.35">
      <c r="A30" s="563"/>
      <c r="B30" s="562" t="s">
        <v>733</v>
      </c>
      <c r="C30" s="561">
        <f>SUM(C20:C29)</f>
        <v>0</v>
      </c>
      <c r="D30" s="560">
        <f>SUM(D20:D29)</f>
        <v>0</v>
      </c>
      <c r="E30" s="559">
        <f>SUM(E20:E29)</f>
        <v>0</v>
      </c>
    </row>
    <row r="31" spans="1:5" ht="30" customHeight="1" thickBot="1" x14ac:dyDescent="0.35">
      <c r="A31" s="557"/>
      <c r="B31" s="556" t="s">
        <v>732</v>
      </c>
      <c r="C31" s="555">
        <f>SUM(C18,C30)</f>
        <v>446913961</v>
      </c>
      <c r="D31" s="555">
        <f>SUM(D18,D30)</f>
        <v>137555315.53999999</v>
      </c>
      <c r="E31" s="554">
        <f>SUM(E18,E30)</f>
        <v>309358645.46000004</v>
      </c>
    </row>
    <row r="32" spans="1:5" ht="17.100000000000001" customHeight="1" x14ac:dyDescent="0.3">
      <c r="A32" s="553" t="s">
        <v>731</v>
      </c>
    </row>
    <row r="33" spans="1:10" ht="17.100000000000001" customHeight="1" x14ac:dyDescent="0.3">
      <c r="A33" s="552"/>
      <c r="B33" s="551"/>
      <c r="C33" s="550"/>
      <c r="D33" s="550"/>
      <c r="E33" s="550"/>
    </row>
    <row r="34" spans="1:10" ht="17.100000000000001" customHeight="1" x14ac:dyDescent="0.3">
      <c r="A34" s="552"/>
      <c r="B34" s="551"/>
      <c r="C34" s="550"/>
      <c r="D34" s="550"/>
      <c r="E34" s="550"/>
    </row>
    <row r="35" spans="1:10" ht="17.100000000000001" customHeight="1" x14ac:dyDescent="0.3">
      <c r="A35" s="552"/>
      <c r="B35" s="551"/>
      <c r="C35" s="550"/>
      <c r="D35" s="550"/>
      <c r="E35" s="550"/>
    </row>
    <row r="36" spans="1:10" ht="17.100000000000001" customHeight="1" x14ac:dyDescent="0.3">
      <c r="A36" s="552"/>
      <c r="B36" s="551"/>
      <c r="C36" s="550"/>
      <c r="D36" s="550"/>
      <c r="E36" s="550"/>
    </row>
    <row r="37" spans="1:10" ht="17.100000000000001" customHeight="1" x14ac:dyDescent="0.3">
      <c r="A37" s="548" t="s">
        <v>44</v>
      </c>
      <c r="J37" s="549"/>
    </row>
  </sheetData>
  <sheetProtection insertHyperlinks="0"/>
  <mergeCells count="7">
    <mergeCell ref="A1:E1"/>
    <mergeCell ref="A3:E3"/>
    <mergeCell ref="A19:E19"/>
    <mergeCell ref="A2:E2"/>
    <mergeCell ref="A5:B6"/>
    <mergeCell ref="A7:E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C578-A26F-4901-A7CD-3E90BCBB02EE}">
  <sheetPr>
    <tabColor theme="0" tint="-0.14999847407452621"/>
  </sheetPr>
  <dimension ref="A1:I37"/>
  <sheetViews>
    <sheetView view="pageBreakPreview" zoomScale="90" zoomScaleNormal="100" zoomScaleSheetLayoutView="90" workbookViewId="0">
      <selection activeCell="S24" sqref="S24"/>
    </sheetView>
  </sheetViews>
  <sheetFormatPr baseColWidth="10" defaultColWidth="11.28515625" defaultRowHeight="16.5" x14ac:dyDescent="0.3"/>
  <cols>
    <col min="1" max="1" width="4.85546875" style="548" customWidth="1"/>
    <col min="2" max="2" width="41" style="548" customWidth="1"/>
    <col min="3" max="4" width="25.7109375" style="548" customWidth="1"/>
    <col min="5" max="16384" width="11.28515625" style="548"/>
  </cols>
  <sheetData>
    <row r="1" spans="1:6" x14ac:dyDescent="0.3">
      <c r="A1" s="596"/>
      <c r="B1" s="172" t="str">
        <f>'[1]ETCA-I-01'!A1</f>
        <v xml:space="preserve">Comision Estatal del Agua  </v>
      </c>
      <c r="C1" s="172"/>
      <c r="D1" s="172"/>
    </row>
    <row r="2" spans="1:6" x14ac:dyDescent="0.3">
      <c r="B2" s="584" t="s">
        <v>750</v>
      </c>
      <c r="C2" s="584"/>
      <c r="D2" s="584"/>
      <c r="F2" s="595"/>
    </row>
    <row r="3" spans="1:6" x14ac:dyDescent="0.3">
      <c r="B3" s="585" t="str">
        <f>'[1]ETCA-I-03'!A3</f>
        <v>Del 01 de Enero al 31 de Marzo de 2020</v>
      </c>
      <c r="C3" s="585"/>
      <c r="D3" s="585"/>
    </row>
    <row r="4" spans="1:6" x14ac:dyDescent="0.3">
      <c r="A4" s="594"/>
      <c r="B4" s="593" t="s">
        <v>749</v>
      </c>
      <c r="C4" s="593"/>
      <c r="D4" s="224"/>
    </row>
    <row r="5" spans="1:6" ht="6.75" customHeight="1" thickBot="1" x14ac:dyDescent="0.35"/>
    <row r="6" spans="1:6" s="55" customFormat="1" ht="27.95" customHeight="1" x14ac:dyDescent="0.25">
      <c r="A6" s="582" t="s">
        <v>744</v>
      </c>
      <c r="B6" s="581"/>
      <c r="C6" s="592" t="s">
        <v>108</v>
      </c>
      <c r="D6" s="591" t="s">
        <v>334</v>
      </c>
    </row>
    <row r="7" spans="1:6" s="55" customFormat="1" ht="4.5" customHeight="1" thickBot="1" x14ac:dyDescent="0.3">
      <c r="A7" s="577"/>
      <c r="B7" s="576"/>
      <c r="C7" s="590"/>
      <c r="D7" s="589"/>
    </row>
    <row r="8" spans="1:6" s="55" customFormat="1" ht="21" customHeight="1" x14ac:dyDescent="0.25">
      <c r="A8" s="573" t="s">
        <v>737</v>
      </c>
      <c r="B8" s="572"/>
      <c r="C8" s="572"/>
      <c r="D8" s="571"/>
    </row>
    <row r="9" spans="1:6" s="55" customFormat="1" ht="18" customHeight="1" x14ac:dyDescent="0.25">
      <c r="A9" s="563">
        <v>1</v>
      </c>
      <c r="B9" s="566" t="s">
        <v>748</v>
      </c>
      <c r="C9" s="588">
        <v>6458481.2199999979</v>
      </c>
      <c r="D9" s="587">
        <v>6458481.2199999979</v>
      </c>
    </row>
    <row r="10" spans="1:6" s="55" customFormat="1" ht="18" customHeight="1" x14ac:dyDescent="0.25">
      <c r="A10" s="563">
        <v>2</v>
      </c>
      <c r="B10" s="566"/>
      <c r="C10" s="588"/>
      <c r="D10" s="587"/>
    </row>
    <row r="11" spans="1:6" s="55" customFormat="1" ht="18" customHeight="1" x14ac:dyDescent="0.25">
      <c r="A11" s="563">
        <v>3</v>
      </c>
      <c r="B11" s="566"/>
      <c r="C11" s="588"/>
      <c r="D11" s="587"/>
    </row>
    <row r="12" spans="1:6" s="55" customFormat="1" ht="18" customHeight="1" x14ac:dyDescent="0.25">
      <c r="A12" s="563">
        <v>4</v>
      </c>
      <c r="B12" s="566"/>
      <c r="C12" s="588"/>
      <c r="D12" s="587"/>
    </row>
    <row r="13" spans="1:6" s="55" customFormat="1" ht="18" customHeight="1" x14ac:dyDescent="0.25">
      <c r="A13" s="563">
        <v>5</v>
      </c>
      <c r="B13" s="566"/>
      <c r="C13" s="588"/>
      <c r="D13" s="587"/>
    </row>
    <row r="14" spans="1:6" s="55" customFormat="1" ht="18" customHeight="1" x14ac:dyDescent="0.25">
      <c r="A14" s="563">
        <v>6</v>
      </c>
      <c r="B14" s="566"/>
      <c r="C14" s="588"/>
      <c r="D14" s="587"/>
    </row>
    <row r="15" spans="1:6" s="55" customFormat="1" ht="18" customHeight="1" x14ac:dyDescent="0.25">
      <c r="A15" s="563">
        <v>7</v>
      </c>
      <c r="B15" s="566"/>
      <c r="C15" s="588"/>
      <c r="D15" s="587"/>
    </row>
    <row r="16" spans="1:6" s="55" customFormat="1" ht="18" customHeight="1" x14ac:dyDescent="0.25">
      <c r="A16" s="563">
        <v>8</v>
      </c>
      <c r="B16" s="566"/>
      <c r="C16" s="588"/>
      <c r="D16" s="587"/>
    </row>
    <row r="17" spans="1:4" s="55" customFormat="1" ht="18" customHeight="1" x14ac:dyDescent="0.25">
      <c r="A17" s="563">
        <v>9</v>
      </c>
      <c r="B17" s="566"/>
      <c r="C17" s="588"/>
      <c r="D17" s="587"/>
    </row>
    <row r="18" spans="1:4" s="55" customFormat="1" ht="18" customHeight="1" x14ac:dyDescent="0.25">
      <c r="A18" s="563">
        <v>10</v>
      </c>
      <c r="B18" s="566"/>
      <c r="C18" s="588"/>
      <c r="D18" s="587"/>
    </row>
    <row r="19" spans="1:4" s="55" customFormat="1" ht="18" customHeight="1" x14ac:dyDescent="0.25">
      <c r="A19" s="563"/>
      <c r="B19" s="570" t="s">
        <v>747</v>
      </c>
      <c r="C19" s="561">
        <f>SUM(C9:C18)</f>
        <v>6458481.2199999979</v>
      </c>
      <c r="D19" s="559">
        <f>SUM(D9:D18)</f>
        <v>6458481.2199999979</v>
      </c>
    </row>
    <row r="20" spans="1:4" s="55" customFormat="1" ht="21" customHeight="1" x14ac:dyDescent="0.25">
      <c r="A20" s="569" t="s">
        <v>734</v>
      </c>
      <c r="B20" s="568"/>
      <c r="C20" s="568"/>
      <c r="D20" s="567"/>
    </row>
    <row r="21" spans="1:4" s="55" customFormat="1" ht="18" customHeight="1" x14ac:dyDescent="0.25">
      <c r="A21" s="563">
        <v>1</v>
      </c>
      <c r="B21" s="566"/>
      <c r="C21" s="588"/>
      <c r="D21" s="587"/>
    </row>
    <row r="22" spans="1:4" s="55" customFormat="1" ht="18" customHeight="1" x14ac:dyDescent="0.25">
      <c r="A22" s="563">
        <v>2</v>
      </c>
      <c r="B22" s="566"/>
      <c r="C22" s="588"/>
      <c r="D22" s="587"/>
    </row>
    <row r="23" spans="1:4" s="55" customFormat="1" ht="18" customHeight="1" x14ac:dyDescent="0.25">
      <c r="A23" s="563">
        <v>3</v>
      </c>
      <c r="B23" s="566"/>
      <c r="C23" s="588"/>
      <c r="D23" s="587"/>
    </row>
    <row r="24" spans="1:4" s="55" customFormat="1" ht="18" customHeight="1" x14ac:dyDescent="0.25">
      <c r="A24" s="563">
        <v>4</v>
      </c>
      <c r="B24" s="566"/>
      <c r="C24" s="588"/>
      <c r="D24" s="587"/>
    </row>
    <row r="25" spans="1:4" s="55" customFormat="1" ht="18" customHeight="1" x14ac:dyDescent="0.25">
      <c r="A25" s="563">
        <v>5</v>
      </c>
      <c r="B25" s="566"/>
      <c r="C25" s="588"/>
      <c r="D25" s="587"/>
    </row>
    <row r="26" spans="1:4" s="55" customFormat="1" ht="18" customHeight="1" x14ac:dyDescent="0.25">
      <c r="A26" s="563">
        <v>6</v>
      </c>
      <c r="B26" s="566"/>
      <c r="C26" s="588"/>
      <c r="D26" s="587"/>
    </row>
    <row r="27" spans="1:4" s="55" customFormat="1" ht="18" customHeight="1" x14ac:dyDescent="0.25">
      <c r="A27" s="563">
        <v>7</v>
      </c>
      <c r="B27" s="566"/>
      <c r="C27" s="588"/>
      <c r="D27" s="587"/>
    </row>
    <row r="28" spans="1:4" s="55" customFormat="1" ht="18" customHeight="1" x14ac:dyDescent="0.25">
      <c r="A28" s="563">
        <v>8</v>
      </c>
      <c r="B28" s="566"/>
      <c r="C28" s="588"/>
      <c r="D28" s="587"/>
    </row>
    <row r="29" spans="1:4" s="55" customFormat="1" ht="18" customHeight="1" x14ac:dyDescent="0.25">
      <c r="A29" s="563">
        <v>9</v>
      </c>
      <c r="B29" s="566"/>
      <c r="C29" s="588"/>
      <c r="D29" s="587"/>
    </row>
    <row r="30" spans="1:4" s="55" customFormat="1" ht="18" customHeight="1" x14ac:dyDescent="0.25">
      <c r="A30" s="563">
        <v>10</v>
      </c>
      <c r="B30" s="566"/>
      <c r="C30" s="588" t="s">
        <v>44</v>
      </c>
      <c r="D30" s="587"/>
    </row>
    <row r="31" spans="1:4" s="558" customFormat="1" ht="18" customHeight="1" thickBot="1" x14ac:dyDescent="0.35">
      <c r="A31" s="563"/>
      <c r="B31" s="562" t="s">
        <v>746</v>
      </c>
      <c r="C31" s="561">
        <f>SUM(C21:C30)</f>
        <v>0</v>
      </c>
      <c r="D31" s="559">
        <f>SUM(D21:D30)</f>
        <v>0</v>
      </c>
    </row>
    <row r="32" spans="1:4" ht="27.95" customHeight="1" thickBot="1" x14ac:dyDescent="0.35">
      <c r="A32" s="557"/>
      <c r="B32" s="556" t="s">
        <v>732</v>
      </c>
      <c r="C32" s="555">
        <f>SUM(C31,C19)</f>
        <v>6458481.2199999979</v>
      </c>
      <c r="D32" s="586">
        <f>SUM(D31,D19)</f>
        <v>6458481.2199999979</v>
      </c>
    </row>
    <row r="33" spans="1:9" s="558" customFormat="1" ht="18" customHeight="1" x14ac:dyDescent="0.3">
      <c r="A33" s="553" t="s">
        <v>731</v>
      </c>
      <c r="B33" s="548"/>
      <c r="C33" s="548"/>
      <c r="D33" s="548"/>
      <c r="E33" s="548"/>
    </row>
    <row r="34" spans="1:9" s="558" customFormat="1" ht="18" customHeight="1" x14ac:dyDescent="0.3">
      <c r="A34" s="548"/>
      <c r="B34" s="548"/>
      <c r="C34" s="548"/>
      <c r="D34" s="548"/>
      <c r="E34" s="548"/>
    </row>
    <row r="35" spans="1:9" s="558" customFormat="1" ht="18" customHeight="1" x14ac:dyDescent="0.3">
      <c r="A35" s="548"/>
      <c r="B35" s="548"/>
      <c r="C35" s="548"/>
      <c r="D35" s="548"/>
      <c r="E35" s="548"/>
    </row>
    <row r="36" spans="1:9" ht="17.100000000000001" customHeight="1" x14ac:dyDescent="0.3">
      <c r="A36" s="552"/>
      <c r="B36" s="551"/>
      <c r="C36" s="550"/>
      <c r="D36" s="550"/>
    </row>
    <row r="37" spans="1:9" ht="17.100000000000001" customHeight="1" x14ac:dyDescent="0.3">
      <c r="I37" s="549"/>
    </row>
  </sheetData>
  <sheetProtection insertHyperlinks="0"/>
  <mergeCells count="9">
    <mergeCell ref="A8:D8"/>
    <mergeCell ref="A20:D20"/>
    <mergeCell ref="C6:C7"/>
    <mergeCell ref="D6:D7"/>
    <mergeCell ref="B1:D1"/>
    <mergeCell ref="B2:D2"/>
    <mergeCell ref="B3:D3"/>
    <mergeCell ref="B4:C4"/>
    <mergeCell ref="A6:B7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ETCA-II-01</vt:lpstr>
      <vt:lpstr>ETCA-II-02</vt:lpstr>
      <vt:lpstr>ETCA-II-03</vt:lpstr>
      <vt:lpstr>ETCA II-04</vt:lpstr>
      <vt:lpstr>ETCA-II-05</vt:lpstr>
      <vt:lpstr>ETCA-II-06</vt:lpstr>
      <vt:lpstr>ETCA-II-07</vt:lpstr>
      <vt:lpstr>ETCA-II-08</vt:lpstr>
      <vt:lpstr>ETCA-II-09</vt:lpstr>
      <vt:lpstr>ETCA-II-10</vt:lpstr>
      <vt:lpstr>ETCA-II-11</vt:lpstr>
      <vt:lpstr>ETCA-II-12</vt:lpstr>
      <vt:lpstr>ETCA-II-13</vt:lpstr>
      <vt:lpstr>ETCA-II-14</vt:lpstr>
      <vt:lpstr>ETCA-II-15</vt:lpstr>
      <vt:lpstr>ETCA-II-16</vt:lpstr>
      <vt:lpstr>ETCA-II-17</vt:lpstr>
      <vt:lpstr>'ETCA-II-01'!Área_de_impresión</vt:lpstr>
      <vt:lpstr>'ETCA-II-02'!Área_de_impresión</vt:lpstr>
      <vt:lpstr>'ETCA-II-03'!Área_de_impresión</vt:lpstr>
      <vt:lpstr>'ETCA-II-05'!Área_de_impresión</vt:lpstr>
      <vt:lpstr>'ETCA-II-06'!Área_de_impresión</vt:lpstr>
      <vt:lpstr>'ETCA-II-07'!Área_de_impresión</vt:lpstr>
      <vt:lpstr>'ETCA-II-08'!Área_de_impresión</vt:lpstr>
      <vt:lpstr>'ETCA-II-09'!Área_de_impresión</vt:lpstr>
      <vt:lpstr>'ETCA-II-10'!Área_de_impresión</vt:lpstr>
      <vt:lpstr>'ETCA-II-11'!Área_de_impresión</vt:lpstr>
      <vt:lpstr>'ETCA-II-12'!Área_de_impresión</vt:lpstr>
      <vt:lpstr>'ETCA-II-13'!Área_de_impresión</vt:lpstr>
      <vt:lpstr>'ETCA-II-14'!Área_de_impresión</vt:lpstr>
      <vt:lpstr>'ETCA-II-15'!Área_de_impresión</vt:lpstr>
      <vt:lpstr>'ETCA-II-16'!Área_de_impresión</vt:lpstr>
      <vt:lpstr>'ETCA-II-17'!Área_de_impresión</vt:lpstr>
      <vt:lpstr>'ETCA-II-01'!Títulos_a_imprimir</vt:lpstr>
      <vt:lpstr>'ETCA-II-02'!Títulos_a_imprimir</vt:lpstr>
      <vt:lpstr>'ETCA-II-12'!Títulos_a_imprimir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2024-11-08T19:27:10Z</dcterms:created>
  <dcterms:modified xsi:type="dcterms:W3CDTF">2024-11-08T19:27:42Z</dcterms:modified>
</cp:coreProperties>
</file>