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ria.lugo\Desktop\Cuenta publica\CEA\2020\2T\"/>
    </mc:Choice>
  </mc:AlternateContent>
  <xr:revisionPtr revIDLastSave="0" documentId="8_{183696CF-FEEF-4AD9-B2BA-C01F5A62387D}" xr6:coauthVersionLast="47" xr6:coauthVersionMax="47" xr10:uidLastSave="{00000000-0000-0000-0000-000000000000}"/>
  <bookViews>
    <workbookView xWindow="-120" yWindow="-120" windowWidth="29040" windowHeight="15840" xr2:uid="{55D9F17E-920A-401B-8604-A19B900DBCBC}"/>
  </bookViews>
  <sheets>
    <sheet name="ETCA-II-01" sheetId="1" r:id="rId1"/>
    <sheet name="ETCA-II-02" sheetId="2" r:id="rId2"/>
    <sheet name="ETCA-II-03" sheetId="3" r:id="rId3"/>
    <sheet name="ETCA II-04" sheetId="4" r:id="rId4"/>
    <sheet name="ETCA-II-05" sheetId="5" r:id="rId5"/>
    <sheet name="ETCA-II-06" sheetId="6" r:id="rId6"/>
    <sheet name="ETCA-II-07" sheetId="7" r:id="rId7"/>
    <sheet name="ETCA-II-08" sheetId="8" r:id="rId8"/>
    <sheet name="ETCA-II-09" sheetId="9" r:id="rId9"/>
    <sheet name="ETCA-II-10" sheetId="10" r:id="rId10"/>
    <sheet name="ETCA-II-11" sheetId="11" r:id="rId11"/>
    <sheet name="ETCA-II-12" sheetId="12" r:id="rId12"/>
    <sheet name="ETCA-II-13" sheetId="13" r:id="rId13"/>
    <sheet name="ETCA-II-14" sheetId="14" r:id="rId14"/>
    <sheet name="ETCA-II-15" sheetId="15" r:id="rId15"/>
    <sheet name="ETCA-II-16" sheetId="16" r:id="rId16"/>
    <sheet name="ETCA-II-17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xlnm.Print_Area" localSheetId="0">'ETCA-II-01'!$A$1:$H$52</definedName>
    <definedName name="_xlnm.Print_Area" localSheetId="1">'ETCA-II-02'!$A$1:$I$86</definedName>
    <definedName name="_xlnm.Print_Area" localSheetId="2">'ETCA-II-03'!$A$1:$D$34</definedName>
    <definedName name="_xlnm.Print_Area" localSheetId="4">'ETCA-II-05'!$A$1:$H$164</definedName>
    <definedName name="_xlnm.Print_Area" localSheetId="5">'ETCA-II-06'!$A$1:$G$25</definedName>
    <definedName name="_xlnm.Print_Area" localSheetId="6">'ETCA-II-07'!$A$1:$G$36</definedName>
    <definedName name="_xlnm.Print_Area" localSheetId="7">'ETCA-II-08'!$A$1:$G$44</definedName>
    <definedName name="_xlnm.Print_Area" localSheetId="8">'ETCA-II-09'!$A$1:$G$20</definedName>
    <definedName name="_xlnm.Print_Area" localSheetId="9">'ETCA-II-10'!$A$1:$G$26</definedName>
    <definedName name="_xlnm.Print_Area" localSheetId="10">'ETCA-II-11'!$A$1:$G$47</definedName>
    <definedName name="_xlnm.Print_Area" localSheetId="11">'ETCA-II-12'!$A$1:$H$85</definedName>
    <definedName name="_xlnm.Print_Area" localSheetId="12">'ETCA-II-13'!$A$1:$I$390</definedName>
    <definedName name="_xlnm.Print_Area" localSheetId="13">'ETCA-II-14'!$A$1:$G$38</definedName>
    <definedName name="_xlnm.Print_Area" localSheetId="14">'ETCA-II-15'!$A$1:$C$46</definedName>
    <definedName name="_xlnm.Print_Area" localSheetId="15">'ETCA-II-16'!$A$1:$E$36</definedName>
    <definedName name="_xlnm.Print_Area" localSheetId="16">'ETCA-II-17'!$A$1:$D$37</definedName>
    <definedName name="_xlnm.Database" localSheetId="0">#REF!</definedName>
    <definedName name="_xlnm.Database" localSheetId="2">#REF!</definedName>
    <definedName name="_xlnm.Database" localSheetId="5">#REF!</definedName>
    <definedName name="_xlnm.Database" localSheetId="6">#REF!</definedName>
    <definedName name="_xlnm.Database" localSheetId="12">#REF!</definedName>
    <definedName name="_xlnm.Database" localSheetId="14">#REF!</definedName>
    <definedName name="_xlnm.Database" localSheetId="16">#REF!</definedName>
    <definedName name="_xlnm.Database">#REF!</definedName>
    <definedName name="ppto" localSheetId="12">[4]Hoja2!$B$3:$M$95</definedName>
    <definedName name="ppto">[3]Hoja2!$B$3:$M$95</definedName>
    <definedName name="qw" localSheetId="12">#REF!</definedName>
    <definedName name="qw">#REF!</definedName>
    <definedName name="_xlnm.Print_Titles" localSheetId="0">'ETCA-II-01'!$1:$4</definedName>
    <definedName name="_xlnm.Print_Titles" localSheetId="1">'ETCA-II-02'!$5:$7</definedName>
    <definedName name="_xlnm.Print_Titles" localSheetId="11">'ETCA-II-12'!$6:$7</definedName>
    <definedName name="XXX" localSheetId="12">#REF!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7" l="1"/>
  <c r="B3" i="17"/>
  <c r="C19" i="17"/>
  <c r="D19" i="17"/>
  <c r="C31" i="17"/>
  <c r="D31" i="17"/>
  <c r="C32" i="17"/>
  <c r="D32" i="17"/>
  <c r="A1" i="16"/>
  <c r="A3" i="16"/>
  <c r="D8" i="16"/>
  <c r="E8" i="16"/>
  <c r="E9" i="16"/>
  <c r="E10" i="16"/>
  <c r="E11" i="16"/>
  <c r="E12" i="16"/>
  <c r="E13" i="16"/>
  <c r="E14" i="16"/>
  <c r="E15" i="16"/>
  <c r="E16" i="16"/>
  <c r="E17" i="16"/>
  <c r="C18" i="16"/>
  <c r="D18" i="16"/>
  <c r="E18" i="16"/>
  <c r="E20" i="16"/>
  <c r="E21" i="16"/>
  <c r="E22" i="16"/>
  <c r="E23" i="16"/>
  <c r="E24" i="16"/>
  <c r="E25" i="16"/>
  <c r="E26" i="16"/>
  <c r="E27" i="16"/>
  <c r="E28" i="16"/>
  <c r="E29" i="16"/>
  <c r="C30" i="16"/>
  <c r="D30" i="16"/>
  <c r="C31" i="16"/>
  <c r="D31" i="16"/>
  <c r="A1" i="15"/>
  <c r="A3" i="15"/>
  <c r="C8" i="15"/>
  <c r="C32" i="15"/>
  <c r="D34" i="15"/>
  <c r="A1" i="14"/>
  <c r="A4" i="14"/>
  <c r="F8" i="14"/>
  <c r="F31" i="14" s="1"/>
  <c r="D9" i="14"/>
  <c r="G9" i="14"/>
  <c r="D10" i="14"/>
  <c r="G10" i="14" s="1"/>
  <c r="D11" i="14"/>
  <c r="D12" i="14"/>
  <c r="G12" i="14" s="1"/>
  <c r="D13" i="14"/>
  <c r="G13" i="14"/>
  <c r="D14" i="14"/>
  <c r="G14" i="14" s="1"/>
  <c r="B15" i="14"/>
  <c r="B8" i="14" s="1"/>
  <c r="C15" i="14"/>
  <c r="C8" i="14" s="1"/>
  <c r="C31" i="14" s="1"/>
  <c r="D15" i="14"/>
  <c r="E15" i="14"/>
  <c r="E8" i="14" s="1"/>
  <c r="F15" i="14"/>
  <c r="D16" i="14"/>
  <c r="G16" i="14" s="1"/>
  <c r="G15" i="14" s="1"/>
  <c r="D17" i="14"/>
  <c r="G17" i="14" s="1"/>
  <c r="D18" i="14"/>
  <c r="G18" i="14" s="1"/>
  <c r="C20" i="14"/>
  <c r="D21" i="14"/>
  <c r="D22" i="14"/>
  <c r="G22" i="14"/>
  <c r="D23" i="14"/>
  <c r="G23" i="14" s="1"/>
  <c r="D24" i="14"/>
  <c r="G24" i="14" s="1"/>
  <c r="D25" i="14"/>
  <c r="G25" i="14" s="1"/>
  <c r="D26" i="14"/>
  <c r="G26" i="14"/>
  <c r="B27" i="14"/>
  <c r="B20" i="14" s="1"/>
  <c r="C27" i="14"/>
  <c r="D27" i="14"/>
  <c r="E27" i="14"/>
  <c r="E20" i="14" s="1"/>
  <c r="F27" i="14"/>
  <c r="F20" i="14" s="1"/>
  <c r="D28" i="14"/>
  <c r="G28" i="14"/>
  <c r="D29" i="14"/>
  <c r="G29" i="14" s="1"/>
  <c r="G27" i="14" s="1"/>
  <c r="D30" i="14"/>
  <c r="G30" i="14" s="1"/>
  <c r="B31" i="14"/>
  <c r="C11" i="13"/>
  <c r="E12" i="13"/>
  <c r="H12" i="13"/>
  <c r="I12" i="13"/>
  <c r="E13" i="13"/>
  <c r="E14" i="13"/>
  <c r="H14" i="13" s="1"/>
  <c r="E15" i="13"/>
  <c r="H15" i="13" s="1"/>
  <c r="I15" i="13"/>
  <c r="D16" i="13"/>
  <c r="D11" i="13" s="1"/>
  <c r="D10" i="13" s="1"/>
  <c r="E17" i="13"/>
  <c r="H17" i="13"/>
  <c r="I17" i="13"/>
  <c r="E18" i="13"/>
  <c r="E19" i="13"/>
  <c r="H19" i="13" s="1"/>
  <c r="C20" i="13"/>
  <c r="C21" i="13"/>
  <c r="E21" i="13" s="1"/>
  <c r="D21" i="13"/>
  <c r="D20" i="13" s="1"/>
  <c r="E20" i="13" s="1"/>
  <c r="E22" i="13"/>
  <c r="C24" i="13"/>
  <c r="D24" i="13"/>
  <c r="D23" i="13" s="1"/>
  <c r="E25" i="13"/>
  <c r="H25" i="13"/>
  <c r="I25" i="13"/>
  <c r="C26" i="13"/>
  <c r="E26" i="13" s="1"/>
  <c r="D26" i="13"/>
  <c r="E27" i="13"/>
  <c r="H27" i="13"/>
  <c r="I27" i="13"/>
  <c r="E28" i="13"/>
  <c r="E29" i="13"/>
  <c r="I29" i="13" s="1"/>
  <c r="H29" i="13"/>
  <c r="E30" i="13"/>
  <c r="H30" i="13" s="1"/>
  <c r="I30" i="13"/>
  <c r="C31" i="13"/>
  <c r="E31" i="13" s="1"/>
  <c r="D31" i="13"/>
  <c r="E32" i="13"/>
  <c r="H32" i="13" s="1"/>
  <c r="I32" i="13"/>
  <c r="C33" i="13"/>
  <c r="E33" i="13" s="1"/>
  <c r="D33" i="13"/>
  <c r="E34" i="13"/>
  <c r="H34" i="13" s="1"/>
  <c r="I34" i="13"/>
  <c r="C36" i="13"/>
  <c r="C35" i="13" s="1"/>
  <c r="D36" i="13"/>
  <c r="D35" i="13" s="1"/>
  <c r="E36" i="13"/>
  <c r="E37" i="13"/>
  <c r="I37" i="13" s="1"/>
  <c r="H37" i="13"/>
  <c r="E38" i="13"/>
  <c r="H38" i="13" s="1"/>
  <c r="I38" i="13"/>
  <c r="C39" i="13"/>
  <c r="E39" i="13" s="1"/>
  <c r="D39" i="13"/>
  <c r="E40" i="13"/>
  <c r="H40" i="13" s="1"/>
  <c r="I40" i="13"/>
  <c r="C41" i="13"/>
  <c r="E41" i="13" s="1"/>
  <c r="D41" i="13"/>
  <c r="E42" i="13"/>
  <c r="H42" i="13" s="1"/>
  <c r="I42" i="13"/>
  <c r="E43" i="13"/>
  <c r="H43" i="13" s="1"/>
  <c r="E44" i="13"/>
  <c r="H44" i="13" s="1"/>
  <c r="I44" i="13"/>
  <c r="C46" i="13"/>
  <c r="C45" i="13" s="1"/>
  <c r="D46" i="13"/>
  <c r="E46" i="13"/>
  <c r="H46" i="13" s="1"/>
  <c r="I46" i="13"/>
  <c r="E47" i="13"/>
  <c r="H47" i="13" s="1"/>
  <c r="C48" i="13"/>
  <c r="D48" i="13"/>
  <c r="E48" i="13"/>
  <c r="H48" i="13" s="1"/>
  <c r="I48" i="13"/>
  <c r="E49" i="13"/>
  <c r="H49" i="13" s="1"/>
  <c r="E50" i="13"/>
  <c r="I50" i="13" s="1"/>
  <c r="H50" i="13"/>
  <c r="C51" i="13"/>
  <c r="E52" i="13"/>
  <c r="H52" i="13"/>
  <c r="E53" i="13"/>
  <c r="H53" i="13"/>
  <c r="I53" i="13"/>
  <c r="E54" i="13"/>
  <c r="H54" i="13" s="1"/>
  <c r="E55" i="13"/>
  <c r="H55" i="13"/>
  <c r="E56" i="13"/>
  <c r="H56" i="13" s="1"/>
  <c r="E57" i="13"/>
  <c r="H57" i="13" s="1"/>
  <c r="I57" i="13"/>
  <c r="E58" i="13"/>
  <c r="H58" i="13" s="1"/>
  <c r="E59" i="13"/>
  <c r="H59" i="13"/>
  <c r="D60" i="13"/>
  <c r="D51" i="13" s="1"/>
  <c r="D45" i="13" s="1"/>
  <c r="E60" i="13"/>
  <c r="H60" i="13" s="1"/>
  <c r="E61" i="13"/>
  <c r="H61" i="13" s="1"/>
  <c r="E62" i="13"/>
  <c r="H62" i="13"/>
  <c r="E63" i="13"/>
  <c r="H63" i="13" s="1"/>
  <c r="C64" i="13"/>
  <c r="D64" i="13"/>
  <c r="E64" i="13"/>
  <c r="D65" i="13"/>
  <c r="E65" i="13"/>
  <c r="H65" i="13" s="1"/>
  <c r="I65" i="13"/>
  <c r="D66" i="13"/>
  <c r="C67" i="13"/>
  <c r="C66" i="13" s="1"/>
  <c r="D67" i="13"/>
  <c r="E67" i="13"/>
  <c r="H67" i="13" s="1"/>
  <c r="I67" i="13"/>
  <c r="E68" i="13"/>
  <c r="H68" i="13" s="1"/>
  <c r="E69" i="13"/>
  <c r="H69" i="13" s="1"/>
  <c r="I69" i="13"/>
  <c r="E70" i="13"/>
  <c r="H70" i="13"/>
  <c r="E71" i="13"/>
  <c r="H71" i="13" s="1"/>
  <c r="C73" i="13"/>
  <c r="C74" i="13"/>
  <c r="D74" i="13"/>
  <c r="D73" i="13" s="1"/>
  <c r="E75" i="13"/>
  <c r="H75" i="13"/>
  <c r="I75" i="13"/>
  <c r="C76" i="13"/>
  <c r="D76" i="13"/>
  <c r="E76" i="13" s="1"/>
  <c r="I76" i="13" s="1"/>
  <c r="H76" i="13"/>
  <c r="E77" i="13"/>
  <c r="H77" i="13"/>
  <c r="I77" i="13"/>
  <c r="C78" i="13"/>
  <c r="D78" i="13"/>
  <c r="E78" i="13" s="1"/>
  <c r="I78" i="13" s="1"/>
  <c r="E79" i="13"/>
  <c r="H79" i="13"/>
  <c r="I79" i="13"/>
  <c r="C80" i="13"/>
  <c r="D80" i="13"/>
  <c r="E80" i="13" s="1"/>
  <c r="I80" i="13" s="1"/>
  <c r="H80" i="13"/>
  <c r="E81" i="13"/>
  <c r="H81" i="13"/>
  <c r="I81" i="13"/>
  <c r="C82" i="13"/>
  <c r="D82" i="13"/>
  <c r="E82" i="13" s="1"/>
  <c r="I82" i="13" s="1"/>
  <c r="H82" i="13"/>
  <c r="E83" i="13"/>
  <c r="H83" i="13"/>
  <c r="I83" i="13"/>
  <c r="C84" i="13"/>
  <c r="E84" i="13"/>
  <c r="H84" i="13" s="1"/>
  <c r="E85" i="13"/>
  <c r="H85" i="13" s="1"/>
  <c r="C86" i="13"/>
  <c r="D86" i="13"/>
  <c r="E86" i="13"/>
  <c r="H86" i="13" s="1"/>
  <c r="I86" i="13"/>
  <c r="E87" i="13"/>
  <c r="H87" i="13"/>
  <c r="I87" i="13"/>
  <c r="E88" i="13"/>
  <c r="H88" i="13"/>
  <c r="C90" i="13"/>
  <c r="E90" i="13" s="1"/>
  <c r="D90" i="13"/>
  <c r="D89" i="13" s="1"/>
  <c r="E91" i="13"/>
  <c r="H91" i="13" s="1"/>
  <c r="I91" i="13"/>
  <c r="E92" i="13"/>
  <c r="H92" i="13" s="1"/>
  <c r="C93" i="13"/>
  <c r="D93" i="13"/>
  <c r="E93" i="13"/>
  <c r="H93" i="13" s="1"/>
  <c r="I93" i="13"/>
  <c r="E94" i="13"/>
  <c r="H94" i="13" s="1"/>
  <c r="C96" i="13"/>
  <c r="E96" i="13" s="1"/>
  <c r="D96" i="13"/>
  <c r="D95" i="13" s="1"/>
  <c r="E97" i="13"/>
  <c r="H97" i="13" s="1"/>
  <c r="I97" i="13"/>
  <c r="C99" i="13"/>
  <c r="C98" i="13" s="1"/>
  <c r="E98" i="13" s="1"/>
  <c r="D99" i="13"/>
  <c r="D98" i="13" s="1"/>
  <c r="E99" i="13"/>
  <c r="E100" i="13"/>
  <c r="I100" i="13" s="1"/>
  <c r="H100" i="13"/>
  <c r="C101" i="13"/>
  <c r="E101" i="13" s="1"/>
  <c r="H101" i="13"/>
  <c r="E102" i="13"/>
  <c r="H102" i="13" s="1"/>
  <c r="C103" i="13"/>
  <c r="E103" i="13"/>
  <c r="H103" i="13" s="1"/>
  <c r="E104" i="13"/>
  <c r="H104" i="13" s="1"/>
  <c r="C105" i="13"/>
  <c r="E105" i="13" s="1"/>
  <c r="H105" i="13" s="1"/>
  <c r="E106" i="13"/>
  <c r="H106" i="13"/>
  <c r="C107" i="13"/>
  <c r="E107" i="13" s="1"/>
  <c r="I107" i="13" s="1"/>
  <c r="D107" i="13"/>
  <c r="H107" i="13"/>
  <c r="E108" i="13"/>
  <c r="H108" i="13" s="1"/>
  <c r="I108" i="13"/>
  <c r="E109" i="13"/>
  <c r="H109" i="13"/>
  <c r="C110" i="13"/>
  <c r="E110" i="13"/>
  <c r="H110" i="13" s="1"/>
  <c r="E111" i="13"/>
  <c r="H111" i="13" s="1"/>
  <c r="C113" i="13"/>
  <c r="E113" i="13" s="1"/>
  <c r="H113" i="13" s="1"/>
  <c r="E114" i="13"/>
  <c r="H114" i="13" s="1"/>
  <c r="C115" i="13"/>
  <c r="E115" i="13" s="1"/>
  <c r="H115" i="13" s="1"/>
  <c r="E116" i="13"/>
  <c r="H116" i="13" s="1"/>
  <c r="C117" i="13"/>
  <c r="D118" i="13"/>
  <c r="C119" i="13"/>
  <c r="E119" i="13" s="1"/>
  <c r="H119" i="13" s="1"/>
  <c r="E120" i="13"/>
  <c r="H120" i="13"/>
  <c r="C121" i="13"/>
  <c r="E121" i="13" s="1"/>
  <c r="D121" i="13"/>
  <c r="E122" i="13"/>
  <c r="H122" i="13" s="1"/>
  <c r="I122" i="13"/>
  <c r="C124" i="13"/>
  <c r="C123" i="13" s="1"/>
  <c r="D124" i="13"/>
  <c r="D123" i="13" s="1"/>
  <c r="E124" i="13"/>
  <c r="E125" i="13"/>
  <c r="I125" i="13" s="1"/>
  <c r="H125" i="13"/>
  <c r="E126" i="13"/>
  <c r="H126" i="13" s="1"/>
  <c r="I126" i="13"/>
  <c r="C128" i="13"/>
  <c r="C127" i="13" s="1"/>
  <c r="D128" i="13"/>
  <c r="E128" i="13"/>
  <c r="E129" i="13"/>
  <c r="I129" i="13" s="1"/>
  <c r="H129" i="13"/>
  <c r="C130" i="13"/>
  <c r="D131" i="13"/>
  <c r="D130" i="13" s="1"/>
  <c r="E130" i="13" s="1"/>
  <c r="E131" i="13"/>
  <c r="H131" i="13" s="1"/>
  <c r="I131" i="13"/>
  <c r="D132" i="13"/>
  <c r="C133" i="13"/>
  <c r="C132" i="13" s="1"/>
  <c r="D133" i="13"/>
  <c r="E133" i="13"/>
  <c r="H133" i="13" s="1"/>
  <c r="I133" i="13"/>
  <c r="E134" i="13"/>
  <c r="H134" i="13" s="1"/>
  <c r="C135" i="13"/>
  <c r="D135" i="13"/>
  <c r="E135" i="13"/>
  <c r="H135" i="13" s="1"/>
  <c r="I135" i="13"/>
  <c r="E136" i="13"/>
  <c r="H136" i="13" s="1"/>
  <c r="C137" i="13"/>
  <c r="D137" i="13"/>
  <c r="E137" i="13"/>
  <c r="H137" i="13" s="1"/>
  <c r="I137" i="13"/>
  <c r="E138" i="13"/>
  <c r="H138" i="13" s="1"/>
  <c r="C139" i="13"/>
  <c r="D139" i="13"/>
  <c r="E139" i="13"/>
  <c r="H139" i="13" s="1"/>
  <c r="I139" i="13"/>
  <c r="E140" i="13"/>
  <c r="H140" i="13" s="1"/>
  <c r="C141" i="13"/>
  <c r="D141" i="13"/>
  <c r="E141" i="13"/>
  <c r="H141" i="13" s="1"/>
  <c r="E142" i="13"/>
  <c r="H142" i="13" s="1"/>
  <c r="C143" i="13"/>
  <c r="D144" i="13"/>
  <c r="D143" i="13" s="1"/>
  <c r="E143" i="13" s="1"/>
  <c r="E144" i="13"/>
  <c r="C145" i="13"/>
  <c r="E145" i="13" s="1"/>
  <c r="D145" i="13"/>
  <c r="E146" i="13"/>
  <c r="E147" i="13"/>
  <c r="H147" i="13"/>
  <c r="C150" i="13"/>
  <c r="D150" i="13"/>
  <c r="D151" i="13"/>
  <c r="E151" i="13" s="1"/>
  <c r="I151" i="13" s="1"/>
  <c r="H151" i="13"/>
  <c r="C152" i="13"/>
  <c r="E152" i="13" s="1"/>
  <c r="D152" i="13"/>
  <c r="E153" i="13"/>
  <c r="H153" i="13"/>
  <c r="I153" i="13"/>
  <c r="C154" i="13"/>
  <c r="E154" i="13" s="1"/>
  <c r="D154" i="13"/>
  <c r="E155" i="13"/>
  <c r="H155" i="13"/>
  <c r="I155" i="13"/>
  <c r="C156" i="13"/>
  <c r="E156" i="13" s="1"/>
  <c r="D156" i="13"/>
  <c r="E157" i="13"/>
  <c r="H157" i="13"/>
  <c r="I157" i="13"/>
  <c r="C158" i="13"/>
  <c r="D158" i="13"/>
  <c r="E159" i="13"/>
  <c r="H159" i="13"/>
  <c r="I159" i="13"/>
  <c r="C160" i="13"/>
  <c r="E160" i="13"/>
  <c r="H160" i="13" s="1"/>
  <c r="E161" i="13"/>
  <c r="H161" i="13"/>
  <c r="C162" i="13"/>
  <c r="D162" i="13"/>
  <c r="E162" i="13" s="1"/>
  <c r="I162" i="13" s="1"/>
  <c r="H162" i="13"/>
  <c r="E163" i="13"/>
  <c r="H163" i="13"/>
  <c r="I163" i="13"/>
  <c r="C164" i="13"/>
  <c r="D164" i="13"/>
  <c r="E164" i="13" s="1"/>
  <c r="H164" i="13" s="1"/>
  <c r="I164" i="13"/>
  <c r="E165" i="13"/>
  <c r="H165" i="13"/>
  <c r="I165" i="13"/>
  <c r="C167" i="13"/>
  <c r="D167" i="13"/>
  <c r="E167" i="13"/>
  <c r="H167" i="13" s="1"/>
  <c r="I167" i="13"/>
  <c r="E168" i="13"/>
  <c r="H168" i="13"/>
  <c r="I168" i="13"/>
  <c r="C169" i="13"/>
  <c r="C166" i="13" s="1"/>
  <c r="D169" i="13"/>
  <c r="E169" i="13"/>
  <c r="H169" i="13" s="1"/>
  <c r="I169" i="13"/>
  <c r="E170" i="13"/>
  <c r="H170" i="13"/>
  <c r="I170" i="13"/>
  <c r="C171" i="13"/>
  <c r="D171" i="13"/>
  <c r="E171" i="13"/>
  <c r="H171" i="13" s="1"/>
  <c r="I171" i="13"/>
  <c r="E172" i="13"/>
  <c r="H172" i="13"/>
  <c r="I172" i="13"/>
  <c r="E173" i="13"/>
  <c r="H173" i="13"/>
  <c r="I173" i="13"/>
  <c r="C174" i="13"/>
  <c r="D174" i="13"/>
  <c r="E175" i="13"/>
  <c r="H175" i="13"/>
  <c r="I175" i="13"/>
  <c r="C176" i="13"/>
  <c r="D176" i="13"/>
  <c r="E176" i="13" s="1"/>
  <c r="I176" i="13" s="1"/>
  <c r="H176" i="13"/>
  <c r="E177" i="13"/>
  <c r="H177" i="13"/>
  <c r="I177" i="13"/>
  <c r="C178" i="13"/>
  <c r="D178" i="13"/>
  <c r="E178" i="13" s="1"/>
  <c r="H178" i="13" s="1"/>
  <c r="I178" i="13"/>
  <c r="E179" i="13"/>
  <c r="H179" i="13"/>
  <c r="I179" i="13"/>
  <c r="C181" i="13"/>
  <c r="I181" i="13"/>
  <c r="D182" i="13"/>
  <c r="D181" i="13" s="1"/>
  <c r="E181" i="13" s="1"/>
  <c r="H181" i="13" s="1"/>
  <c r="E182" i="13"/>
  <c r="I182" i="13" s="1"/>
  <c r="H182" i="13"/>
  <c r="C183" i="13"/>
  <c r="E183" i="13" s="1"/>
  <c r="I183" i="13" s="1"/>
  <c r="D183" i="13"/>
  <c r="H183" i="13"/>
  <c r="E184" i="13"/>
  <c r="I184" i="13" s="1"/>
  <c r="H184" i="13"/>
  <c r="C185" i="13"/>
  <c r="E185" i="13" s="1"/>
  <c r="I185" i="13" s="1"/>
  <c r="D185" i="13"/>
  <c r="H185" i="13"/>
  <c r="E186" i="13"/>
  <c r="I186" i="13" s="1"/>
  <c r="H186" i="13"/>
  <c r="E187" i="13"/>
  <c r="I187" i="13" s="1"/>
  <c r="H187" i="13"/>
  <c r="C188" i="13"/>
  <c r="E188" i="13" s="1"/>
  <c r="D188" i="13"/>
  <c r="E189" i="13"/>
  <c r="I189" i="13" s="1"/>
  <c r="H189" i="13"/>
  <c r="C190" i="13"/>
  <c r="E190" i="13" s="1"/>
  <c r="D190" i="13"/>
  <c r="E191" i="13"/>
  <c r="H191" i="13"/>
  <c r="E192" i="13"/>
  <c r="H192" i="13"/>
  <c r="I192" i="13"/>
  <c r="E193" i="13"/>
  <c r="I193" i="13" s="1"/>
  <c r="H193" i="13"/>
  <c r="E194" i="13"/>
  <c r="H194" i="13"/>
  <c r="C195" i="13"/>
  <c r="D195" i="13"/>
  <c r="E195" i="13" s="1"/>
  <c r="H195" i="13"/>
  <c r="I195" i="13"/>
  <c r="E196" i="13"/>
  <c r="H196" i="13"/>
  <c r="I196" i="13"/>
  <c r="C197" i="13"/>
  <c r="D197" i="13"/>
  <c r="E197" i="13" s="1"/>
  <c r="H197" i="13" s="1"/>
  <c r="I197" i="13"/>
  <c r="E198" i="13"/>
  <c r="H198" i="13"/>
  <c r="I198" i="13"/>
  <c r="D199" i="13"/>
  <c r="C200" i="13"/>
  <c r="C199" i="13" s="1"/>
  <c r="D200" i="13"/>
  <c r="E200" i="13"/>
  <c r="H200" i="13" s="1"/>
  <c r="I200" i="13"/>
  <c r="E201" i="13"/>
  <c r="H201" i="13"/>
  <c r="I201" i="13"/>
  <c r="C202" i="13"/>
  <c r="D202" i="13"/>
  <c r="E202" i="13"/>
  <c r="H202" i="13" s="1"/>
  <c r="I202" i="13"/>
  <c r="E203" i="13"/>
  <c r="H203" i="13"/>
  <c r="I203" i="13"/>
  <c r="C204" i="13"/>
  <c r="D204" i="13"/>
  <c r="E204" i="13"/>
  <c r="H204" i="13" s="1"/>
  <c r="I204" i="13"/>
  <c r="E205" i="13"/>
  <c r="H205" i="13"/>
  <c r="I205" i="13"/>
  <c r="C206" i="13"/>
  <c r="D206" i="13"/>
  <c r="E206" i="13"/>
  <c r="H206" i="13" s="1"/>
  <c r="I206" i="13"/>
  <c r="E207" i="13"/>
  <c r="H207" i="13"/>
  <c r="I207" i="13"/>
  <c r="C209" i="13"/>
  <c r="D209" i="13"/>
  <c r="E209" i="13"/>
  <c r="E210" i="13"/>
  <c r="H210" i="13" s="1"/>
  <c r="I210" i="13"/>
  <c r="C211" i="13"/>
  <c r="D211" i="13"/>
  <c r="E211" i="13"/>
  <c r="E212" i="13"/>
  <c r="H212" i="13" s="1"/>
  <c r="I212" i="13"/>
  <c r="C213" i="13"/>
  <c r="D213" i="13"/>
  <c r="E213" i="13"/>
  <c r="E214" i="13"/>
  <c r="H214" i="13" s="1"/>
  <c r="E215" i="13"/>
  <c r="H215" i="13" s="1"/>
  <c r="I215" i="13"/>
  <c r="C216" i="13"/>
  <c r="E216" i="13" s="1"/>
  <c r="D216" i="13"/>
  <c r="E217" i="13"/>
  <c r="H217" i="13" s="1"/>
  <c r="C218" i="13"/>
  <c r="E218" i="13" s="1"/>
  <c r="D218" i="13"/>
  <c r="E219" i="13"/>
  <c r="H219" i="13" s="1"/>
  <c r="I219" i="13"/>
  <c r="E220" i="13"/>
  <c r="H220" i="13" s="1"/>
  <c r="C221" i="13"/>
  <c r="E221" i="13" s="1"/>
  <c r="I221" i="13" s="1"/>
  <c r="D221" i="13"/>
  <c r="E222" i="13"/>
  <c r="I222" i="13" s="1"/>
  <c r="H222" i="13"/>
  <c r="C223" i="13"/>
  <c r="E223" i="13" s="1"/>
  <c r="I223" i="13" s="1"/>
  <c r="D223" i="13"/>
  <c r="E224" i="13"/>
  <c r="I224" i="13" s="1"/>
  <c r="C226" i="13"/>
  <c r="D226" i="13"/>
  <c r="D225" i="13" s="1"/>
  <c r="E227" i="13"/>
  <c r="H227" i="13"/>
  <c r="I227" i="13"/>
  <c r="C228" i="13"/>
  <c r="E228" i="13" s="1"/>
  <c r="D228" i="13"/>
  <c r="E229" i="13"/>
  <c r="H229" i="13"/>
  <c r="I229" i="13"/>
  <c r="C230" i="13"/>
  <c r="D230" i="13"/>
  <c r="E231" i="13"/>
  <c r="H231" i="13"/>
  <c r="I231" i="13"/>
  <c r="C232" i="13"/>
  <c r="D232" i="13"/>
  <c r="E233" i="13"/>
  <c r="H233" i="13"/>
  <c r="I233" i="13"/>
  <c r="C234" i="13"/>
  <c r="C235" i="13"/>
  <c r="D235" i="13"/>
  <c r="E235" i="13" s="1"/>
  <c r="H235" i="13"/>
  <c r="I235" i="13"/>
  <c r="E236" i="13"/>
  <c r="H236" i="13"/>
  <c r="I236" i="13"/>
  <c r="E237" i="13"/>
  <c r="H237" i="13"/>
  <c r="C238" i="13"/>
  <c r="D238" i="13"/>
  <c r="D234" i="13" s="1"/>
  <c r="E238" i="13"/>
  <c r="E239" i="13"/>
  <c r="H239" i="13" s="1"/>
  <c r="I239" i="13"/>
  <c r="C240" i="13"/>
  <c r="D240" i="13"/>
  <c r="E240" i="13" s="1"/>
  <c r="E241" i="13"/>
  <c r="H241" i="13" s="1"/>
  <c r="I241" i="13"/>
  <c r="E242" i="13"/>
  <c r="H242" i="13"/>
  <c r="I242" i="13"/>
  <c r="C243" i="13"/>
  <c r="D243" i="13"/>
  <c r="E243" i="13"/>
  <c r="H243" i="13" s="1"/>
  <c r="I243" i="13"/>
  <c r="E244" i="13"/>
  <c r="H244" i="13"/>
  <c r="I244" i="13"/>
  <c r="C245" i="13"/>
  <c r="D245" i="13"/>
  <c r="E245" i="13"/>
  <c r="H245" i="13" s="1"/>
  <c r="E246" i="13"/>
  <c r="H246" i="13"/>
  <c r="I246" i="13"/>
  <c r="C247" i="13"/>
  <c r="D247" i="13"/>
  <c r="E247" i="13"/>
  <c r="H247" i="13" s="1"/>
  <c r="I247" i="13"/>
  <c r="E248" i="13"/>
  <c r="H248" i="13"/>
  <c r="I248" i="13"/>
  <c r="E249" i="13"/>
  <c r="C250" i="13"/>
  <c r="C249" i="13" s="1"/>
  <c r="D250" i="13"/>
  <c r="D249" i="13" s="1"/>
  <c r="E250" i="13"/>
  <c r="E251" i="13"/>
  <c r="H251" i="13" s="1"/>
  <c r="C252" i="13"/>
  <c r="E252" i="13"/>
  <c r="H252" i="13" s="1"/>
  <c r="E253" i="13"/>
  <c r="H253" i="13"/>
  <c r="C254" i="13"/>
  <c r="E254" i="13" s="1"/>
  <c r="D254" i="13"/>
  <c r="E255" i="13"/>
  <c r="C256" i="13"/>
  <c r="E256" i="13" s="1"/>
  <c r="H256" i="13"/>
  <c r="E257" i="13"/>
  <c r="H257" i="13"/>
  <c r="C259" i="13"/>
  <c r="C258" i="13" s="1"/>
  <c r="D259" i="13"/>
  <c r="D260" i="13"/>
  <c r="E260" i="13"/>
  <c r="H260" i="13" s="1"/>
  <c r="C261" i="13"/>
  <c r="D262" i="13"/>
  <c r="C263" i="13"/>
  <c r="D263" i="13"/>
  <c r="E264" i="13"/>
  <c r="C265" i="13"/>
  <c r="E265" i="13" s="1"/>
  <c r="D265" i="13"/>
  <c r="H265" i="13"/>
  <c r="I265" i="13"/>
  <c r="E266" i="13"/>
  <c r="I266" i="13" s="1"/>
  <c r="H266" i="13"/>
  <c r="H267" i="13"/>
  <c r="C269" i="13"/>
  <c r="C270" i="13"/>
  <c r="D270" i="13"/>
  <c r="D269" i="13" s="1"/>
  <c r="E270" i="13"/>
  <c r="H270" i="13" s="1"/>
  <c r="E271" i="13"/>
  <c r="H271" i="13" s="1"/>
  <c r="C272" i="13"/>
  <c r="E272" i="13" s="1"/>
  <c r="H272" i="13" s="1"/>
  <c r="D272" i="13"/>
  <c r="E273" i="13"/>
  <c r="H273" i="13" s="1"/>
  <c r="C274" i="13"/>
  <c r="E274" i="13" s="1"/>
  <c r="C275" i="13"/>
  <c r="E275" i="13" s="1"/>
  <c r="I275" i="13" s="1"/>
  <c r="D275" i="13"/>
  <c r="D274" i="13" s="1"/>
  <c r="E276" i="13"/>
  <c r="H276" i="13" s="1"/>
  <c r="C277" i="13"/>
  <c r="D277" i="13"/>
  <c r="E278" i="13"/>
  <c r="H278" i="13"/>
  <c r="C280" i="13"/>
  <c r="D280" i="13"/>
  <c r="D279" i="13" s="1"/>
  <c r="E281" i="13"/>
  <c r="H281" i="13" s="1"/>
  <c r="C282" i="13"/>
  <c r="D282" i="13"/>
  <c r="C283" i="13"/>
  <c r="D283" i="13"/>
  <c r="E283" i="13" s="1"/>
  <c r="H283" i="13" s="1"/>
  <c r="E284" i="13"/>
  <c r="H284" i="13"/>
  <c r="E285" i="13"/>
  <c r="H285" i="13"/>
  <c r="C288" i="13"/>
  <c r="E289" i="13"/>
  <c r="H289" i="13" s="1"/>
  <c r="C290" i="13"/>
  <c r="E290" i="13"/>
  <c r="H290" i="13" s="1"/>
  <c r="E291" i="13"/>
  <c r="H291" i="13" s="1"/>
  <c r="C292" i="13"/>
  <c r="E292" i="13" s="1"/>
  <c r="H292" i="13" s="1"/>
  <c r="E293" i="13"/>
  <c r="H293" i="13"/>
  <c r="C294" i="13"/>
  <c r="E294" i="13"/>
  <c r="H294" i="13" s="1"/>
  <c r="E295" i="13"/>
  <c r="H295" i="13" s="1"/>
  <c r="C297" i="13"/>
  <c r="C296" i="13" s="1"/>
  <c r="E296" i="13" s="1"/>
  <c r="H296" i="13" s="1"/>
  <c r="E297" i="13"/>
  <c r="H297" i="13" s="1"/>
  <c r="E298" i="13"/>
  <c r="H298" i="13" s="1"/>
  <c r="C299" i="13"/>
  <c r="E299" i="13"/>
  <c r="H299" i="13"/>
  <c r="E300" i="13"/>
  <c r="H300" i="13"/>
  <c r="C301" i="13"/>
  <c r="E301" i="13"/>
  <c r="H301" i="13" s="1"/>
  <c r="C302" i="13"/>
  <c r="E302" i="13"/>
  <c r="H302" i="13"/>
  <c r="E303" i="13"/>
  <c r="H303" i="13"/>
  <c r="C305" i="13"/>
  <c r="C304" i="13" s="1"/>
  <c r="E304" i="13" s="1"/>
  <c r="E305" i="13"/>
  <c r="H305" i="13" s="1"/>
  <c r="E306" i="13"/>
  <c r="H306" i="13"/>
  <c r="I306" i="13"/>
  <c r="C307" i="13"/>
  <c r="E307" i="13"/>
  <c r="H307" i="13"/>
  <c r="E308" i="13"/>
  <c r="H308" i="13"/>
  <c r="C310" i="13"/>
  <c r="C309" i="13" s="1"/>
  <c r="E309" i="13" s="1"/>
  <c r="E310" i="13"/>
  <c r="H310" i="13" s="1"/>
  <c r="E311" i="13"/>
  <c r="H311" i="13"/>
  <c r="I311" i="13"/>
  <c r="C312" i="13"/>
  <c r="E312" i="13"/>
  <c r="H312" i="13"/>
  <c r="E313" i="13"/>
  <c r="H313" i="13"/>
  <c r="C314" i="13"/>
  <c r="E314" i="13"/>
  <c r="H314" i="13" s="1"/>
  <c r="E315" i="13"/>
  <c r="H315" i="13"/>
  <c r="C316" i="13"/>
  <c r="E316" i="13" s="1"/>
  <c r="H316" i="13"/>
  <c r="E317" i="13"/>
  <c r="H317" i="13"/>
  <c r="C318" i="13"/>
  <c r="E318" i="13" s="1"/>
  <c r="H318" i="13" s="1"/>
  <c r="E319" i="13"/>
  <c r="H319" i="13" s="1"/>
  <c r="C320" i="13"/>
  <c r="E320" i="13" s="1"/>
  <c r="H320" i="13" s="1"/>
  <c r="E321" i="13"/>
  <c r="H321" i="13" s="1"/>
  <c r="E322" i="13"/>
  <c r="H322" i="13"/>
  <c r="C323" i="13"/>
  <c r="E323" i="13"/>
  <c r="H323" i="13" s="1"/>
  <c r="C324" i="13"/>
  <c r="E324" i="13" s="1"/>
  <c r="H324" i="13" s="1"/>
  <c r="E325" i="13"/>
  <c r="H325" i="13"/>
  <c r="C326" i="13"/>
  <c r="E326" i="13"/>
  <c r="H326" i="13" s="1"/>
  <c r="C327" i="13"/>
  <c r="E327" i="13" s="1"/>
  <c r="H327" i="13" s="1"/>
  <c r="E328" i="13"/>
  <c r="H328" i="13"/>
  <c r="E329" i="13"/>
  <c r="H329" i="13"/>
  <c r="C333" i="13"/>
  <c r="D333" i="13"/>
  <c r="D332" i="13" s="1"/>
  <c r="D331" i="13" s="1"/>
  <c r="E334" i="13"/>
  <c r="H334" i="13"/>
  <c r="E335" i="13"/>
  <c r="H335" i="13" s="1"/>
  <c r="E336" i="13"/>
  <c r="H336" i="13" s="1"/>
  <c r="E337" i="13"/>
  <c r="H337" i="13" s="1"/>
  <c r="C338" i="13"/>
  <c r="D338" i="13"/>
  <c r="E338" i="13"/>
  <c r="H338" i="13" s="1"/>
  <c r="E339" i="13"/>
  <c r="H339" i="13"/>
  <c r="E340" i="13"/>
  <c r="H340" i="13" s="1"/>
  <c r="E341" i="13"/>
  <c r="H341" i="13"/>
  <c r="E342" i="13"/>
  <c r="I342" i="13" s="1"/>
  <c r="H342" i="13"/>
  <c r="E343" i="13"/>
  <c r="H343" i="13" s="1"/>
  <c r="E344" i="13"/>
  <c r="H344" i="13"/>
  <c r="E345" i="13"/>
  <c r="H345" i="13" s="1"/>
  <c r="E346" i="13"/>
  <c r="H346" i="13" s="1"/>
  <c r="C348" i="13"/>
  <c r="C347" i="13" s="1"/>
  <c r="E347" i="13" s="1"/>
  <c r="H347" i="13" s="1"/>
  <c r="E348" i="13"/>
  <c r="H348" i="13" s="1"/>
  <c r="E349" i="13"/>
  <c r="H349" i="13" s="1"/>
  <c r="E350" i="13"/>
  <c r="H350" i="13" s="1"/>
  <c r="E351" i="13"/>
  <c r="H351" i="13"/>
  <c r="C354" i="13"/>
  <c r="D354" i="13"/>
  <c r="D353" i="13" s="1"/>
  <c r="D352" i="13" s="1"/>
  <c r="E355" i="13"/>
  <c r="H355" i="13"/>
  <c r="E356" i="13"/>
  <c r="H356" i="13" s="1"/>
  <c r="E357" i="13"/>
  <c r="H357" i="13" s="1"/>
  <c r="E358" i="13"/>
  <c r="H358" i="13" s="1"/>
  <c r="C359" i="13"/>
  <c r="D359" i="13"/>
  <c r="E359" i="13"/>
  <c r="H359" i="13" s="1"/>
  <c r="E360" i="13"/>
  <c r="H360" i="13"/>
  <c r="E361" i="13"/>
  <c r="H361" i="13" s="1"/>
  <c r="I361" i="13"/>
  <c r="E362" i="13"/>
  <c r="H362" i="13" s="1"/>
  <c r="I362" i="13"/>
  <c r="E363" i="13"/>
  <c r="H363" i="13"/>
  <c r="E364" i="13"/>
  <c r="H364" i="13" s="1"/>
  <c r="I364" i="13"/>
  <c r="E365" i="13"/>
  <c r="H365" i="13" s="1"/>
  <c r="E366" i="13"/>
  <c r="H366" i="13" s="1"/>
  <c r="C367" i="13"/>
  <c r="E367" i="13" s="1"/>
  <c r="H367" i="13" s="1"/>
  <c r="I367" i="13"/>
  <c r="C368" i="13"/>
  <c r="E368" i="13" s="1"/>
  <c r="D368" i="13"/>
  <c r="D367" i="13" s="1"/>
  <c r="C369" i="13"/>
  <c r="D369" i="13"/>
  <c r="E369" i="13"/>
  <c r="H369" i="13" s="1"/>
  <c r="I369" i="13"/>
  <c r="E370" i="13"/>
  <c r="H370" i="13"/>
  <c r="I370" i="13"/>
  <c r="E371" i="13"/>
  <c r="H371" i="13"/>
  <c r="C374" i="13"/>
  <c r="E375" i="13"/>
  <c r="H375" i="13"/>
  <c r="D376" i="13"/>
  <c r="D374" i="13" s="1"/>
  <c r="D373" i="13" s="1"/>
  <c r="E376" i="13"/>
  <c r="C378" i="13"/>
  <c r="E379" i="13"/>
  <c r="H379" i="13"/>
  <c r="D380" i="13"/>
  <c r="D378" i="13" s="1"/>
  <c r="D377" i="13" s="1"/>
  <c r="E380" i="13"/>
  <c r="C382" i="13"/>
  <c r="D383" i="13"/>
  <c r="D382" i="13" s="1"/>
  <c r="D381" i="13" s="1"/>
  <c r="E383" i="13"/>
  <c r="H383" i="13" s="1"/>
  <c r="I383" i="13"/>
  <c r="E384" i="13"/>
  <c r="H384" i="13"/>
  <c r="E385" i="13"/>
  <c r="H385" i="13" s="1"/>
  <c r="F386" i="13"/>
  <c r="G386" i="13"/>
  <c r="A1" i="12"/>
  <c r="A4" i="12"/>
  <c r="C10" i="12"/>
  <c r="D10" i="12"/>
  <c r="F10" i="12"/>
  <c r="F9" i="12" s="1"/>
  <c r="G10" i="12"/>
  <c r="G9" i="12" s="1"/>
  <c r="E11" i="12"/>
  <c r="H11" i="12"/>
  <c r="E12" i="12"/>
  <c r="H12" i="12" s="1"/>
  <c r="H10" i="12" s="1"/>
  <c r="E13" i="12"/>
  <c r="E10" i="12" s="1"/>
  <c r="H13" i="12"/>
  <c r="E14" i="12"/>
  <c r="H14" i="12"/>
  <c r="E15" i="12"/>
  <c r="H15" i="12"/>
  <c r="E16" i="12"/>
  <c r="H16" i="12" s="1"/>
  <c r="E17" i="12"/>
  <c r="H17" i="12"/>
  <c r="E18" i="12"/>
  <c r="H18" i="12"/>
  <c r="C20" i="12"/>
  <c r="D20" i="12"/>
  <c r="F20" i="12"/>
  <c r="G20" i="12"/>
  <c r="E21" i="12"/>
  <c r="H21" i="12"/>
  <c r="E22" i="12"/>
  <c r="H22" i="12"/>
  <c r="E23" i="12"/>
  <c r="E20" i="12" s="1"/>
  <c r="E24" i="12"/>
  <c r="H24" i="12"/>
  <c r="E25" i="12"/>
  <c r="H25" i="12"/>
  <c r="E26" i="12"/>
  <c r="H26" i="12"/>
  <c r="E27" i="12"/>
  <c r="H27" i="12" s="1"/>
  <c r="C29" i="12"/>
  <c r="C9" i="12" s="1"/>
  <c r="D29" i="12"/>
  <c r="D9" i="12" s="1"/>
  <c r="F29" i="12"/>
  <c r="G29" i="12"/>
  <c r="E30" i="12"/>
  <c r="H30" i="12" s="1"/>
  <c r="H29" i="12" s="1"/>
  <c r="E31" i="12"/>
  <c r="H31" i="12"/>
  <c r="E32" i="12"/>
  <c r="H32" i="12"/>
  <c r="E33" i="12"/>
  <c r="H33" i="12"/>
  <c r="E34" i="12"/>
  <c r="H34" i="12" s="1"/>
  <c r="E35" i="12"/>
  <c r="H35" i="12"/>
  <c r="E36" i="12"/>
  <c r="H36" i="12"/>
  <c r="E37" i="12"/>
  <c r="H37" i="12"/>
  <c r="E38" i="12"/>
  <c r="H38" i="12" s="1"/>
  <c r="C40" i="12"/>
  <c r="D40" i="12"/>
  <c r="F40" i="12"/>
  <c r="G40" i="12"/>
  <c r="E41" i="12"/>
  <c r="H41" i="12" s="1"/>
  <c r="E42" i="12"/>
  <c r="H42" i="12"/>
  <c r="E43" i="12"/>
  <c r="H43" i="12"/>
  <c r="E44" i="12"/>
  <c r="H44" i="12" s="1"/>
  <c r="C47" i="12"/>
  <c r="C46" i="12" s="1"/>
  <c r="D47" i="12"/>
  <c r="F47" i="12"/>
  <c r="G47" i="12"/>
  <c r="E48" i="12"/>
  <c r="H48" i="12"/>
  <c r="E49" i="12"/>
  <c r="H49" i="12" s="1"/>
  <c r="H47" i="12" s="1"/>
  <c r="E50" i="12"/>
  <c r="H50" i="12"/>
  <c r="E51" i="12"/>
  <c r="H51" i="12"/>
  <c r="E52" i="12"/>
  <c r="H52" i="12"/>
  <c r="E53" i="12"/>
  <c r="H53" i="12" s="1"/>
  <c r="E54" i="12"/>
  <c r="H54" i="12"/>
  <c r="E55" i="12"/>
  <c r="H55" i="12"/>
  <c r="C57" i="12"/>
  <c r="D57" i="12"/>
  <c r="F57" i="12"/>
  <c r="G57" i="12"/>
  <c r="E58" i="12"/>
  <c r="H58" i="12"/>
  <c r="E59" i="12"/>
  <c r="H59" i="12"/>
  <c r="E60" i="12"/>
  <c r="E57" i="12" s="1"/>
  <c r="E61" i="12"/>
  <c r="H61" i="12"/>
  <c r="E62" i="12"/>
  <c r="H62" i="12"/>
  <c r="E63" i="12"/>
  <c r="H63" i="12"/>
  <c r="E64" i="12"/>
  <c r="H64" i="12" s="1"/>
  <c r="C65" i="12"/>
  <c r="D65" i="12"/>
  <c r="F65" i="12"/>
  <c r="F46" i="12" s="1"/>
  <c r="G65" i="12"/>
  <c r="E66" i="12"/>
  <c r="H66" i="12" s="1"/>
  <c r="H67" i="12"/>
  <c r="E68" i="12"/>
  <c r="H68" i="12"/>
  <c r="E69" i="12"/>
  <c r="H69" i="12" s="1"/>
  <c r="E70" i="12"/>
  <c r="H70" i="12" s="1"/>
  <c r="H65" i="12" s="1"/>
  <c r="E71" i="12"/>
  <c r="H71" i="12" s="1"/>
  <c r="E72" i="12"/>
  <c r="H72" i="12"/>
  <c r="E73" i="12"/>
  <c r="H73" i="12" s="1"/>
  <c r="E74" i="12"/>
  <c r="H74" i="12" s="1"/>
  <c r="C76" i="12"/>
  <c r="D76" i="12"/>
  <c r="F76" i="12"/>
  <c r="G76" i="12"/>
  <c r="E77" i="12"/>
  <c r="E78" i="12"/>
  <c r="H78" i="12" s="1"/>
  <c r="E79" i="12"/>
  <c r="H79" i="12"/>
  <c r="E80" i="12"/>
  <c r="H80" i="12" s="1"/>
  <c r="C82" i="12"/>
  <c r="I82" i="12"/>
  <c r="A1" i="11"/>
  <c r="A4" i="11"/>
  <c r="B9" i="11"/>
  <c r="C9" i="11"/>
  <c r="E9" i="11"/>
  <c r="F9" i="11"/>
  <c r="F44" i="11" s="1"/>
  <c r="D10" i="11"/>
  <c r="G10" i="11"/>
  <c r="D11" i="11"/>
  <c r="G11" i="11"/>
  <c r="D12" i="11"/>
  <c r="G12" i="11"/>
  <c r="D13" i="11"/>
  <c r="G13" i="11" s="1"/>
  <c r="D14" i="11"/>
  <c r="G14" i="11"/>
  <c r="D15" i="11"/>
  <c r="G15" i="11"/>
  <c r="D16" i="11"/>
  <c r="G16" i="11"/>
  <c r="D17" i="11"/>
  <c r="G17" i="11" s="1"/>
  <c r="D18" i="11"/>
  <c r="G18" i="11"/>
  <c r="B19" i="11"/>
  <c r="D19" i="11" s="1"/>
  <c r="G19" i="11" s="1"/>
  <c r="C19" i="11"/>
  <c r="E19" i="11"/>
  <c r="E44" i="11" s="1"/>
  <c r="H46" i="11" s="1"/>
  <c r="F19" i="11"/>
  <c r="D20" i="11"/>
  <c r="G20" i="11"/>
  <c r="D21" i="11"/>
  <c r="G21" i="11"/>
  <c r="D22" i="11"/>
  <c r="G22" i="11"/>
  <c r="D23" i="11"/>
  <c r="G23" i="11" s="1"/>
  <c r="D24" i="11"/>
  <c r="G24" i="11"/>
  <c r="D25" i="11"/>
  <c r="G25" i="11"/>
  <c r="D26" i="11"/>
  <c r="G26" i="11"/>
  <c r="D27" i="11"/>
  <c r="G27" i="11"/>
  <c r="B28" i="11"/>
  <c r="C28" i="11"/>
  <c r="D28" i="11" s="1"/>
  <c r="E28" i="11"/>
  <c r="F28" i="11"/>
  <c r="G28" i="11"/>
  <c r="D29" i="11"/>
  <c r="G29" i="11" s="1"/>
  <c r="D30" i="11"/>
  <c r="G30" i="11"/>
  <c r="D31" i="11"/>
  <c r="G31" i="11"/>
  <c r="D32" i="11"/>
  <c r="G32" i="11"/>
  <c r="D33" i="11"/>
  <c r="G33" i="11" s="1"/>
  <c r="D34" i="11"/>
  <c r="G34" i="11"/>
  <c r="D35" i="11"/>
  <c r="G35" i="11"/>
  <c r="D36" i="11"/>
  <c r="G36" i="11"/>
  <c r="D37" i="11"/>
  <c r="G37" i="11" s="1"/>
  <c r="D38" i="11"/>
  <c r="G38" i="11"/>
  <c r="B39" i="11"/>
  <c r="C39" i="11"/>
  <c r="C44" i="11" s="1"/>
  <c r="E39" i="11"/>
  <c r="F39" i="11"/>
  <c r="D40" i="11"/>
  <c r="G40" i="11"/>
  <c r="D41" i="11"/>
  <c r="G41" i="11"/>
  <c r="D42" i="11"/>
  <c r="G42" i="11"/>
  <c r="D43" i="11"/>
  <c r="G43" i="11" s="1"/>
  <c r="B44" i="11"/>
  <c r="A1" i="10"/>
  <c r="A4" i="10"/>
  <c r="D9" i="10"/>
  <c r="G9" i="10"/>
  <c r="D10" i="10"/>
  <c r="G10" i="10"/>
  <c r="D11" i="10"/>
  <c r="G11" i="10" s="1"/>
  <c r="D12" i="10"/>
  <c r="G12" i="10"/>
  <c r="D13" i="10"/>
  <c r="G13" i="10" s="1"/>
  <c r="D14" i="10"/>
  <c r="G14" i="10"/>
  <c r="D15" i="10"/>
  <c r="G15" i="10" s="1"/>
  <c r="D16" i="10"/>
  <c r="G16" i="10"/>
  <c r="D17" i="10"/>
  <c r="G17" i="10"/>
  <c r="D18" i="10"/>
  <c r="G18" i="10"/>
  <c r="D19" i="10"/>
  <c r="G19" i="10" s="1"/>
  <c r="D20" i="10"/>
  <c r="G20" i="10"/>
  <c r="D21" i="10"/>
  <c r="G21" i="10" s="1"/>
  <c r="B22" i="10"/>
  <c r="C22" i="10"/>
  <c r="D22" i="10"/>
  <c r="E22" i="10"/>
  <c r="F22" i="10"/>
  <c r="A1" i="9"/>
  <c r="A4" i="9"/>
  <c r="D9" i="9"/>
  <c r="G9" i="9"/>
  <c r="D10" i="9"/>
  <c r="G10" i="9"/>
  <c r="D11" i="9"/>
  <c r="G11" i="9" s="1"/>
  <c r="D12" i="9"/>
  <c r="G12" i="9" s="1"/>
  <c r="B14" i="9"/>
  <c r="D14" i="9" s="1"/>
  <c r="G14" i="9" s="1"/>
  <c r="C14" i="9"/>
  <c r="E14" i="9"/>
  <c r="F14" i="9"/>
  <c r="H17" i="9"/>
  <c r="H20" i="9"/>
  <c r="A1" i="8"/>
  <c r="A4" i="8"/>
  <c r="B9" i="8"/>
  <c r="C9" i="8"/>
  <c r="C34" i="8" s="1"/>
  <c r="H35" i="8" s="1"/>
  <c r="E9" i="8"/>
  <c r="F9" i="8"/>
  <c r="F34" i="8" s="1"/>
  <c r="H38" i="8" s="1"/>
  <c r="D10" i="8"/>
  <c r="D11" i="8"/>
  <c r="G11" i="8"/>
  <c r="D12" i="8"/>
  <c r="G12" i="8" s="1"/>
  <c r="D13" i="8"/>
  <c r="G13" i="8" s="1"/>
  <c r="D14" i="8"/>
  <c r="G14" i="8" s="1"/>
  <c r="D15" i="8"/>
  <c r="G15" i="8"/>
  <c r="D16" i="8"/>
  <c r="G16" i="8" s="1"/>
  <c r="D17" i="8"/>
  <c r="G17" i="8" s="1"/>
  <c r="D18" i="8"/>
  <c r="G18" i="8" s="1"/>
  <c r="B22" i="8"/>
  <c r="C22" i="8"/>
  <c r="E22" i="8"/>
  <c r="F22" i="8"/>
  <c r="D23" i="8"/>
  <c r="D24" i="8"/>
  <c r="G24" i="8" s="1"/>
  <c r="D25" i="8"/>
  <c r="G25" i="8" s="1"/>
  <c r="D26" i="8"/>
  <c r="G26" i="8" s="1"/>
  <c r="D27" i="8"/>
  <c r="G27" i="8" s="1"/>
  <c r="D28" i="8"/>
  <c r="G28" i="8" s="1"/>
  <c r="D29" i="8"/>
  <c r="G29" i="8" s="1"/>
  <c r="D30" i="8"/>
  <c r="G30" i="8" s="1"/>
  <c r="B34" i="8"/>
  <c r="E34" i="8"/>
  <c r="A1" i="7"/>
  <c r="A4" i="7"/>
  <c r="D8" i="7"/>
  <c r="G8" i="7" s="1"/>
  <c r="B9" i="7"/>
  <c r="C9" i="7"/>
  <c r="D9" i="7"/>
  <c r="G9" i="7" s="1"/>
  <c r="E9" i="7"/>
  <c r="E31" i="7" s="1"/>
  <c r="B10" i="7"/>
  <c r="D10" i="7"/>
  <c r="G10" i="7" s="1"/>
  <c r="B11" i="7"/>
  <c r="D11" i="7" s="1"/>
  <c r="G11" i="7" s="1"/>
  <c r="C11" i="7"/>
  <c r="E11" i="7"/>
  <c r="B12" i="7"/>
  <c r="D12" i="7"/>
  <c r="G12" i="7" s="1"/>
  <c r="D13" i="7"/>
  <c r="G13" i="7" s="1"/>
  <c r="D14" i="7"/>
  <c r="G14" i="7" s="1"/>
  <c r="D15" i="7"/>
  <c r="G15" i="7" s="1"/>
  <c r="D16" i="7"/>
  <c r="G16" i="7" s="1"/>
  <c r="D17" i="7"/>
  <c r="G17" i="7"/>
  <c r="D18" i="7"/>
  <c r="G18" i="7"/>
  <c r="D19" i="7"/>
  <c r="G19" i="7"/>
  <c r="D20" i="7"/>
  <c r="G20" i="7"/>
  <c r="D21" i="7"/>
  <c r="G21" i="7"/>
  <c r="D22" i="7"/>
  <c r="G22" i="7"/>
  <c r="D23" i="7"/>
  <c r="G23" i="7"/>
  <c r="D24" i="7"/>
  <c r="G24" i="7"/>
  <c r="D25" i="7"/>
  <c r="G25" i="7"/>
  <c r="D26" i="7"/>
  <c r="G26" i="7"/>
  <c r="D27" i="7"/>
  <c r="G27" i="7"/>
  <c r="D28" i="7"/>
  <c r="G28" i="7"/>
  <c r="D29" i="7"/>
  <c r="G29" i="7"/>
  <c r="D30" i="7"/>
  <c r="G30" i="7"/>
  <c r="C31" i="7"/>
  <c r="F31" i="7"/>
  <c r="A1" i="6"/>
  <c r="A4" i="6"/>
  <c r="D8" i="6"/>
  <c r="G8" i="6" s="1"/>
  <c r="D9" i="6"/>
  <c r="G9" i="6" s="1"/>
  <c r="D10" i="6"/>
  <c r="G10" i="6" s="1"/>
  <c r="D11" i="6"/>
  <c r="G11" i="6" s="1"/>
  <c r="D12" i="6"/>
  <c r="G12" i="6" s="1"/>
  <c r="B14" i="6"/>
  <c r="C14" i="6"/>
  <c r="D14" i="6"/>
  <c r="E14" i="6"/>
  <c r="F14" i="6"/>
  <c r="G14" i="6"/>
  <c r="A1" i="5"/>
  <c r="C9" i="5"/>
  <c r="C158" i="5" s="1"/>
  <c r="I154" i="5" s="1"/>
  <c r="C10" i="5"/>
  <c r="D10" i="5"/>
  <c r="F10" i="5"/>
  <c r="G10" i="5"/>
  <c r="G9" i="5" s="1"/>
  <c r="E11" i="5"/>
  <c r="H11" i="5" s="1"/>
  <c r="E12" i="5"/>
  <c r="H12" i="5" s="1"/>
  <c r="E13" i="5"/>
  <c r="H13" i="5" s="1"/>
  <c r="E14" i="5"/>
  <c r="H14" i="5" s="1"/>
  <c r="E15" i="5"/>
  <c r="E10" i="5" s="1"/>
  <c r="E16" i="5"/>
  <c r="H16" i="5" s="1"/>
  <c r="E17" i="5"/>
  <c r="H17" i="5" s="1"/>
  <c r="C18" i="5"/>
  <c r="D18" i="5"/>
  <c r="F18" i="5"/>
  <c r="G18" i="5"/>
  <c r="E19" i="5"/>
  <c r="H19" i="5" s="1"/>
  <c r="E20" i="5"/>
  <c r="H20" i="5" s="1"/>
  <c r="E21" i="5"/>
  <c r="H21" i="5" s="1"/>
  <c r="E22" i="5"/>
  <c r="H22" i="5" s="1"/>
  <c r="E23" i="5"/>
  <c r="H23" i="5" s="1"/>
  <c r="E24" i="5"/>
  <c r="H24" i="5" s="1"/>
  <c r="E25" i="5"/>
  <c r="H25" i="5" s="1"/>
  <c r="E26" i="5"/>
  <c r="H26" i="5" s="1"/>
  <c r="E27" i="5"/>
  <c r="H27" i="5" s="1"/>
  <c r="C28" i="5"/>
  <c r="D28" i="5"/>
  <c r="F28" i="5"/>
  <c r="G28" i="5"/>
  <c r="E29" i="5"/>
  <c r="H29" i="5" s="1"/>
  <c r="E30" i="5"/>
  <c r="H30" i="5" s="1"/>
  <c r="E31" i="5"/>
  <c r="H31" i="5" s="1"/>
  <c r="E32" i="5"/>
  <c r="H32" i="5" s="1"/>
  <c r="E33" i="5"/>
  <c r="H33" i="5" s="1"/>
  <c r="E34" i="5"/>
  <c r="H34" i="5" s="1"/>
  <c r="E35" i="5"/>
  <c r="H35" i="5" s="1"/>
  <c r="E36" i="5"/>
  <c r="H36" i="5" s="1"/>
  <c r="E37" i="5"/>
  <c r="H37" i="5" s="1"/>
  <c r="C38" i="5"/>
  <c r="D38" i="5"/>
  <c r="F38" i="5"/>
  <c r="G38" i="5"/>
  <c r="E39" i="5"/>
  <c r="H39" i="5" s="1"/>
  <c r="E40" i="5"/>
  <c r="H40" i="5" s="1"/>
  <c r="E41" i="5"/>
  <c r="H41" i="5" s="1"/>
  <c r="E42" i="5"/>
  <c r="H42" i="5" s="1"/>
  <c r="E43" i="5"/>
  <c r="H43" i="5" s="1"/>
  <c r="E44" i="5"/>
  <c r="H44" i="5" s="1"/>
  <c r="E45" i="5"/>
  <c r="H45" i="5" s="1"/>
  <c r="E46" i="5"/>
  <c r="H46" i="5" s="1"/>
  <c r="E47" i="5"/>
  <c r="H47" i="5" s="1"/>
  <c r="C48" i="5"/>
  <c r="D48" i="5"/>
  <c r="F48" i="5"/>
  <c r="G48" i="5"/>
  <c r="E49" i="5"/>
  <c r="H49" i="5" s="1"/>
  <c r="E50" i="5"/>
  <c r="H50" i="5" s="1"/>
  <c r="E51" i="5"/>
  <c r="H51" i="5" s="1"/>
  <c r="E52" i="5"/>
  <c r="H52" i="5" s="1"/>
  <c r="E53" i="5"/>
  <c r="H53" i="5" s="1"/>
  <c r="E54" i="5"/>
  <c r="H54" i="5" s="1"/>
  <c r="E55" i="5"/>
  <c r="H55" i="5" s="1"/>
  <c r="E56" i="5"/>
  <c r="H56" i="5" s="1"/>
  <c r="E57" i="5"/>
  <c r="H57" i="5" s="1"/>
  <c r="C58" i="5"/>
  <c r="D58" i="5"/>
  <c r="F58" i="5"/>
  <c r="G58" i="5"/>
  <c r="E59" i="5"/>
  <c r="H59" i="5" s="1"/>
  <c r="E60" i="5"/>
  <c r="H60" i="5" s="1"/>
  <c r="E61" i="5"/>
  <c r="H61" i="5" s="1"/>
  <c r="C62" i="5"/>
  <c r="D62" i="5"/>
  <c r="F62" i="5"/>
  <c r="G62" i="5"/>
  <c r="E63" i="5"/>
  <c r="H63" i="5" s="1"/>
  <c r="E64" i="5"/>
  <c r="H64" i="5" s="1"/>
  <c r="E65" i="5"/>
  <c r="E62" i="5" s="1"/>
  <c r="H65" i="5"/>
  <c r="E66" i="5"/>
  <c r="H66" i="5"/>
  <c r="E67" i="5"/>
  <c r="H67" i="5" s="1"/>
  <c r="E68" i="5"/>
  <c r="H68" i="5" s="1"/>
  <c r="E69" i="5"/>
  <c r="H69" i="5"/>
  <c r="E70" i="5"/>
  <c r="H70" i="5"/>
  <c r="C71" i="5"/>
  <c r="D71" i="5"/>
  <c r="F71" i="5"/>
  <c r="G71" i="5"/>
  <c r="E72" i="5"/>
  <c r="H72" i="5"/>
  <c r="E73" i="5"/>
  <c r="H73" i="5" s="1"/>
  <c r="E74" i="5"/>
  <c r="E71" i="5" s="1"/>
  <c r="C75" i="5"/>
  <c r="D75" i="5"/>
  <c r="F75" i="5"/>
  <c r="G75" i="5"/>
  <c r="E76" i="5"/>
  <c r="H76" i="5" s="1"/>
  <c r="E77" i="5"/>
  <c r="H77" i="5"/>
  <c r="E78" i="5"/>
  <c r="H78" i="5"/>
  <c r="E79" i="5"/>
  <c r="H79" i="5" s="1"/>
  <c r="E80" i="5"/>
  <c r="H80" i="5" s="1"/>
  <c r="E81" i="5"/>
  <c r="H81" i="5"/>
  <c r="E82" i="5"/>
  <c r="H82" i="5"/>
  <c r="C84" i="5"/>
  <c r="C83" i="5" s="1"/>
  <c r="D84" i="5"/>
  <c r="D83" i="5" s="1"/>
  <c r="F84" i="5"/>
  <c r="G84" i="5"/>
  <c r="E85" i="5"/>
  <c r="E84" i="5" s="1"/>
  <c r="H85" i="5"/>
  <c r="E86" i="5"/>
  <c r="H86" i="5"/>
  <c r="E87" i="5"/>
  <c r="H87" i="5" s="1"/>
  <c r="E88" i="5"/>
  <c r="H88" i="5" s="1"/>
  <c r="E89" i="5"/>
  <c r="H89" i="5"/>
  <c r="E90" i="5"/>
  <c r="H90" i="5"/>
  <c r="E91" i="5"/>
  <c r="H91" i="5" s="1"/>
  <c r="C92" i="5"/>
  <c r="D92" i="5"/>
  <c r="F92" i="5"/>
  <c r="F83" i="5" s="1"/>
  <c r="G92" i="5"/>
  <c r="E93" i="5"/>
  <c r="H93" i="5" s="1"/>
  <c r="E94" i="5"/>
  <c r="H94" i="5" s="1"/>
  <c r="E95" i="5"/>
  <c r="E92" i="5" s="1"/>
  <c r="H95" i="5"/>
  <c r="E96" i="5"/>
  <c r="H96" i="5"/>
  <c r="E97" i="5"/>
  <c r="H97" i="5" s="1"/>
  <c r="E98" i="5"/>
  <c r="H98" i="5" s="1"/>
  <c r="E99" i="5"/>
  <c r="H99" i="5"/>
  <c r="E100" i="5"/>
  <c r="H100" i="5"/>
  <c r="E101" i="5"/>
  <c r="H101" i="5" s="1"/>
  <c r="C102" i="5"/>
  <c r="D102" i="5"/>
  <c r="F102" i="5"/>
  <c r="G102" i="5"/>
  <c r="E103" i="5"/>
  <c r="H103" i="5" s="1"/>
  <c r="E104" i="5"/>
  <c r="H104" i="5" s="1"/>
  <c r="E105" i="5"/>
  <c r="E102" i="5" s="1"/>
  <c r="H105" i="5"/>
  <c r="E106" i="5"/>
  <c r="H106" i="5"/>
  <c r="E107" i="5"/>
  <c r="H107" i="5" s="1"/>
  <c r="E108" i="5"/>
  <c r="H108" i="5" s="1"/>
  <c r="E109" i="5"/>
  <c r="H109" i="5"/>
  <c r="E110" i="5"/>
  <c r="H110" i="5"/>
  <c r="E111" i="5"/>
  <c r="H111" i="5" s="1"/>
  <c r="C112" i="5"/>
  <c r="D112" i="5"/>
  <c r="F112" i="5"/>
  <c r="G112" i="5"/>
  <c r="E113" i="5"/>
  <c r="H113" i="5" s="1"/>
  <c r="E114" i="5"/>
  <c r="H114" i="5" s="1"/>
  <c r="E115" i="5"/>
  <c r="E112" i="5" s="1"/>
  <c r="H115" i="5"/>
  <c r="E116" i="5"/>
  <c r="H116" i="5"/>
  <c r="E117" i="5"/>
  <c r="H117" i="5" s="1"/>
  <c r="E118" i="5"/>
  <c r="H118" i="5" s="1"/>
  <c r="E119" i="5"/>
  <c r="H119" i="5"/>
  <c r="E120" i="5"/>
  <c r="H120" i="5"/>
  <c r="E121" i="5"/>
  <c r="H121" i="5" s="1"/>
  <c r="C122" i="5"/>
  <c r="D122" i="5"/>
  <c r="E122" i="5"/>
  <c r="F122" i="5"/>
  <c r="G122" i="5"/>
  <c r="E123" i="5"/>
  <c r="H123" i="5" s="1"/>
  <c r="E124" i="5"/>
  <c r="H124" i="5" s="1"/>
  <c r="E125" i="5"/>
  <c r="H125" i="5"/>
  <c r="E126" i="5"/>
  <c r="H126" i="5"/>
  <c r="E127" i="5"/>
  <c r="H127" i="5" s="1"/>
  <c r="E128" i="5"/>
  <c r="H128" i="5" s="1"/>
  <c r="E129" i="5"/>
  <c r="H129" i="5"/>
  <c r="E130" i="5"/>
  <c r="H130" i="5"/>
  <c r="E131" i="5"/>
  <c r="H131" i="5" s="1"/>
  <c r="C132" i="5"/>
  <c r="D132" i="5"/>
  <c r="E132" i="5"/>
  <c r="F132" i="5"/>
  <c r="G132" i="5"/>
  <c r="E133" i="5"/>
  <c r="H133" i="5" s="1"/>
  <c r="E134" i="5"/>
  <c r="H134" i="5" s="1"/>
  <c r="E135" i="5"/>
  <c r="H135" i="5"/>
  <c r="C136" i="5"/>
  <c r="D136" i="5"/>
  <c r="F136" i="5"/>
  <c r="G136" i="5"/>
  <c r="E137" i="5"/>
  <c r="E136" i="5" s="1"/>
  <c r="H137" i="5"/>
  <c r="H136" i="5" s="1"/>
  <c r="E138" i="5"/>
  <c r="H138" i="5"/>
  <c r="E139" i="5"/>
  <c r="H139" i="5" s="1"/>
  <c r="E140" i="5"/>
  <c r="H140" i="5" s="1"/>
  <c r="E141" i="5"/>
  <c r="H141" i="5"/>
  <c r="E142" i="5"/>
  <c r="H142" i="5"/>
  <c r="E143" i="5"/>
  <c r="H143" i="5" s="1"/>
  <c r="E144" i="5"/>
  <c r="H144" i="5" s="1"/>
  <c r="C145" i="5"/>
  <c r="D145" i="5"/>
  <c r="F145" i="5"/>
  <c r="G145" i="5"/>
  <c r="E146" i="5"/>
  <c r="H146" i="5" s="1"/>
  <c r="H145" i="5" s="1"/>
  <c r="E147" i="5"/>
  <c r="H147" i="5"/>
  <c r="E148" i="5"/>
  <c r="H148" i="5"/>
  <c r="C149" i="5"/>
  <c r="D149" i="5"/>
  <c r="F149" i="5"/>
  <c r="G149" i="5"/>
  <c r="G83" i="5" s="1"/>
  <c r="E150" i="5"/>
  <c r="H150" i="5"/>
  <c r="E151" i="5"/>
  <c r="H151" i="5" s="1"/>
  <c r="E152" i="5"/>
  <c r="E149" i="5" s="1"/>
  <c r="E153" i="5"/>
  <c r="H153" i="5"/>
  <c r="E154" i="5"/>
  <c r="H154" i="5"/>
  <c r="E155" i="5"/>
  <c r="H155" i="5"/>
  <c r="E156" i="5"/>
  <c r="H156" i="5"/>
  <c r="E157" i="5"/>
  <c r="A1" i="4"/>
  <c r="A4" i="4"/>
  <c r="B8" i="4"/>
  <c r="C8" i="4"/>
  <c r="D8" i="4"/>
  <c r="G8" i="4" s="1"/>
  <c r="E8" i="4"/>
  <c r="F8" i="4"/>
  <c r="D9" i="4"/>
  <c r="G9" i="4"/>
  <c r="D10" i="4"/>
  <c r="G10" i="4"/>
  <c r="D11" i="4"/>
  <c r="G11" i="4" s="1"/>
  <c r="D12" i="4"/>
  <c r="G12" i="4" s="1"/>
  <c r="D13" i="4"/>
  <c r="G13" i="4"/>
  <c r="D14" i="4"/>
  <c r="G14" i="4"/>
  <c r="D15" i="4"/>
  <c r="G15" i="4" s="1"/>
  <c r="B16" i="4"/>
  <c r="D16" i="4" s="1"/>
  <c r="G16" i="4" s="1"/>
  <c r="C16" i="4"/>
  <c r="E16" i="4"/>
  <c r="F16" i="4"/>
  <c r="D17" i="4"/>
  <c r="G17" i="4" s="1"/>
  <c r="D18" i="4"/>
  <c r="G18" i="4" s="1"/>
  <c r="D19" i="4"/>
  <c r="G19" i="4"/>
  <c r="D20" i="4"/>
  <c r="G20" i="4"/>
  <c r="D21" i="4"/>
  <c r="G21" i="4" s="1"/>
  <c r="D22" i="4"/>
  <c r="G22" i="4" s="1"/>
  <c r="D23" i="4"/>
  <c r="G23" i="4"/>
  <c r="D24" i="4"/>
  <c r="G24" i="4"/>
  <c r="D25" i="4"/>
  <c r="G25" i="4" s="1"/>
  <c r="B26" i="4"/>
  <c r="D26" i="4" s="1"/>
  <c r="G26" i="4" s="1"/>
  <c r="C26" i="4"/>
  <c r="E26" i="4"/>
  <c r="F26" i="4"/>
  <c r="D27" i="4"/>
  <c r="G27" i="4" s="1"/>
  <c r="D28" i="4"/>
  <c r="G28" i="4" s="1"/>
  <c r="D29" i="4"/>
  <c r="G29" i="4"/>
  <c r="D30" i="4"/>
  <c r="G30" i="4"/>
  <c r="D31" i="4"/>
  <c r="G31" i="4" s="1"/>
  <c r="D32" i="4"/>
  <c r="G32" i="4" s="1"/>
  <c r="D33" i="4"/>
  <c r="G33" i="4"/>
  <c r="D34" i="4"/>
  <c r="G34" i="4"/>
  <c r="D35" i="4"/>
  <c r="G35" i="4" s="1"/>
  <c r="B36" i="4"/>
  <c r="D36" i="4" s="1"/>
  <c r="G36" i="4" s="1"/>
  <c r="C36" i="4"/>
  <c r="E36" i="4"/>
  <c r="F36" i="4"/>
  <c r="D37" i="4"/>
  <c r="G37" i="4" s="1"/>
  <c r="D38" i="4"/>
  <c r="G38" i="4" s="1"/>
  <c r="D39" i="4"/>
  <c r="G39" i="4"/>
  <c r="D40" i="4"/>
  <c r="G40" i="4"/>
  <c r="D41" i="4"/>
  <c r="G41" i="4" s="1"/>
  <c r="D42" i="4"/>
  <c r="G42" i="4" s="1"/>
  <c r="D43" i="4"/>
  <c r="G43" i="4"/>
  <c r="D44" i="4"/>
  <c r="G44" i="4"/>
  <c r="D45" i="4"/>
  <c r="G45" i="4" s="1"/>
  <c r="B46" i="4"/>
  <c r="D46" i="4" s="1"/>
  <c r="G46" i="4" s="1"/>
  <c r="C46" i="4"/>
  <c r="E46" i="4"/>
  <c r="F46" i="4"/>
  <c r="D47" i="4"/>
  <c r="G47" i="4" s="1"/>
  <c r="D48" i="4"/>
  <c r="G48" i="4" s="1"/>
  <c r="D49" i="4"/>
  <c r="G49" i="4"/>
  <c r="D50" i="4"/>
  <c r="G50" i="4"/>
  <c r="D51" i="4"/>
  <c r="G51" i="4" s="1"/>
  <c r="D52" i="4"/>
  <c r="G52" i="4" s="1"/>
  <c r="D53" i="4"/>
  <c r="G53" i="4"/>
  <c r="D54" i="4"/>
  <c r="G54" i="4"/>
  <c r="D55" i="4"/>
  <c r="G55" i="4" s="1"/>
  <c r="B56" i="4"/>
  <c r="D56" i="4" s="1"/>
  <c r="G56" i="4" s="1"/>
  <c r="C56" i="4"/>
  <c r="E56" i="4"/>
  <c r="F56" i="4"/>
  <c r="D57" i="4"/>
  <c r="G57" i="4" s="1"/>
  <c r="D58" i="4"/>
  <c r="G58" i="4" s="1"/>
  <c r="D59" i="4"/>
  <c r="G59" i="4"/>
  <c r="B60" i="4"/>
  <c r="C60" i="4"/>
  <c r="D60" i="4"/>
  <c r="G60" i="4" s="1"/>
  <c r="E60" i="4"/>
  <c r="F60" i="4"/>
  <c r="D61" i="4"/>
  <c r="G61" i="4"/>
  <c r="D62" i="4"/>
  <c r="G62" i="4"/>
  <c r="D63" i="4"/>
  <c r="G63" i="4" s="1"/>
  <c r="D64" i="4"/>
  <c r="G64" i="4" s="1"/>
  <c r="D65" i="4"/>
  <c r="G65" i="4"/>
  <c r="D66" i="4"/>
  <c r="G66" i="4"/>
  <c r="D67" i="4"/>
  <c r="G67" i="4" s="1"/>
  <c r="B68" i="4"/>
  <c r="D68" i="4" s="1"/>
  <c r="G68" i="4" s="1"/>
  <c r="C68" i="4"/>
  <c r="E68" i="4"/>
  <c r="F68" i="4"/>
  <c r="D69" i="4"/>
  <c r="G69" i="4" s="1"/>
  <c r="D70" i="4"/>
  <c r="G70" i="4" s="1"/>
  <c r="D71" i="4"/>
  <c r="G71" i="4"/>
  <c r="B72" i="4"/>
  <c r="C72" i="4"/>
  <c r="C80" i="4" s="1"/>
  <c r="H23" i="10" s="1"/>
  <c r="D72" i="4"/>
  <c r="G72" i="4" s="1"/>
  <c r="E72" i="4"/>
  <c r="F72" i="4"/>
  <c r="F80" i="4" s="1"/>
  <c r="H47" i="11" s="1"/>
  <c r="D73" i="4"/>
  <c r="G73" i="4"/>
  <c r="D74" i="4"/>
  <c r="G74" i="4"/>
  <c r="D75" i="4"/>
  <c r="G75" i="4" s="1"/>
  <c r="D76" i="4"/>
  <c r="G76" i="4" s="1"/>
  <c r="D77" i="4"/>
  <c r="G77" i="4"/>
  <c r="D78" i="4"/>
  <c r="G78" i="4"/>
  <c r="D79" i="4"/>
  <c r="G79" i="4" s="1"/>
  <c r="B80" i="4"/>
  <c r="H44" i="11" s="1"/>
  <c r="E80" i="4"/>
  <c r="A1" i="3"/>
  <c r="A3" i="3"/>
  <c r="D5" i="3"/>
  <c r="E5" i="3" s="1"/>
  <c r="D8" i="3"/>
  <c r="E9" i="3"/>
  <c r="E11" i="3"/>
  <c r="E12" i="3"/>
  <c r="D17" i="3"/>
  <c r="A1" i="2"/>
  <c r="A3" i="2"/>
  <c r="A4" i="5" s="1"/>
  <c r="F10" i="2"/>
  <c r="I10" i="2"/>
  <c r="F11" i="2"/>
  <c r="I11" i="2"/>
  <c r="F12" i="2"/>
  <c r="I12" i="2"/>
  <c r="F13" i="2"/>
  <c r="I13" i="2"/>
  <c r="F14" i="2"/>
  <c r="I14" i="2"/>
  <c r="F15" i="2"/>
  <c r="I15" i="2"/>
  <c r="F16" i="2"/>
  <c r="G16" i="2"/>
  <c r="G43" i="2" s="1"/>
  <c r="G74" i="2" s="1"/>
  <c r="H16" i="2"/>
  <c r="I16" i="2"/>
  <c r="D17" i="2"/>
  <c r="D43" i="2" s="1"/>
  <c r="D74" i="2" s="1"/>
  <c r="E17" i="2"/>
  <c r="G17" i="2"/>
  <c r="H17" i="2"/>
  <c r="F19" i="2"/>
  <c r="I19" i="2"/>
  <c r="F20" i="2"/>
  <c r="I20" i="2"/>
  <c r="F21" i="2"/>
  <c r="F17" i="2" s="1"/>
  <c r="I21" i="2"/>
  <c r="I17" i="2" s="1"/>
  <c r="F22" i="2"/>
  <c r="I22" i="2"/>
  <c r="F23" i="2"/>
  <c r="I23" i="2"/>
  <c r="F24" i="2"/>
  <c r="I24" i="2"/>
  <c r="F25" i="2"/>
  <c r="I25" i="2"/>
  <c r="F26" i="2"/>
  <c r="I26" i="2"/>
  <c r="F27" i="2"/>
  <c r="I27" i="2"/>
  <c r="F28" i="2"/>
  <c r="I28" i="2"/>
  <c r="F29" i="2"/>
  <c r="I29" i="2"/>
  <c r="D30" i="2"/>
  <c r="E30" i="2"/>
  <c r="E43" i="2" s="1"/>
  <c r="E74" i="2" s="1"/>
  <c r="G30" i="2"/>
  <c r="H30" i="2"/>
  <c r="I31" i="2"/>
  <c r="I30" i="2" s="1"/>
  <c r="F32" i="2"/>
  <c r="F30" i="2" s="1"/>
  <c r="I32" i="2"/>
  <c r="F33" i="2"/>
  <c r="I33" i="2"/>
  <c r="F34" i="2"/>
  <c r="I34" i="2"/>
  <c r="F35" i="2"/>
  <c r="I35" i="2"/>
  <c r="F36" i="2"/>
  <c r="I36" i="2"/>
  <c r="D37" i="2"/>
  <c r="E37" i="2"/>
  <c r="G37" i="2"/>
  <c r="H37" i="2"/>
  <c r="I37" i="2"/>
  <c r="F38" i="2"/>
  <c r="F37" i="2" s="1"/>
  <c r="I38" i="2"/>
  <c r="D39" i="2"/>
  <c r="E39" i="2"/>
  <c r="G39" i="2"/>
  <c r="H39" i="2"/>
  <c r="I39" i="2"/>
  <c r="F40" i="2"/>
  <c r="F39" i="2" s="1"/>
  <c r="I40" i="2"/>
  <c r="F41" i="2"/>
  <c r="I41" i="2"/>
  <c r="H43" i="2"/>
  <c r="I46" i="2" s="1"/>
  <c r="D49" i="2"/>
  <c r="E49" i="2"/>
  <c r="G49" i="2"/>
  <c r="G69" i="2" s="1"/>
  <c r="H49" i="2"/>
  <c r="H69" i="2" s="1"/>
  <c r="F50" i="2"/>
  <c r="I50" i="2"/>
  <c r="F51" i="2"/>
  <c r="I51" i="2"/>
  <c r="F52" i="2"/>
  <c r="F49" i="2" s="1"/>
  <c r="I52" i="2"/>
  <c r="F53" i="2"/>
  <c r="I53" i="2"/>
  <c r="I49" i="2" s="1"/>
  <c r="I69" i="2" s="1"/>
  <c r="F54" i="2"/>
  <c r="I54" i="2"/>
  <c r="F55" i="2"/>
  <c r="I55" i="2"/>
  <c r="F56" i="2"/>
  <c r="I56" i="2"/>
  <c r="F57" i="2"/>
  <c r="I57" i="2"/>
  <c r="D58" i="2"/>
  <c r="E58" i="2"/>
  <c r="G58" i="2"/>
  <c r="H58" i="2"/>
  <c r="F59" i="2"/>
  <c r="F58" i="2" s="1"/>
  <c r="I59" i="2"/>
  <c r="I58" i="2" s="1"/>
  <c r="I60" i="2"/>
  <c r="I61" i="2"/>
  <c r="I62" i="2"/>
  <c r="D63" i="2"/>
  <c r="E63" i="2"/>
  <c r="G63" i="2"/>
  <c r="H63" i="2"/>
  <c r="I63" i="2"/>
  <c r="F64" i="2"/>
  <c r="F63" i="2" s="1"/>
  <c r="I64" i="2"/>
  <c r="I65" i="2"/>
  <c r="F66" i="2"/>
  <c r="I66" i="2"/>
  <c r="F67" i="2"/>
  <c r="I67" i="2"/>
  <c r="D69" i="2"/>
  <c r="E69" i="2"/>
  <c r="D71" i="2"/>
  <c r="E71" i="2"/>
  <c r="F71" i="2"/>
  <c r="G71" i="2"/>
  <c r="H71" i="2"/>
  <c r="I72" i="2"/>
  <c r="I71" i="2" s="1"/>
  <c r="F77" i="2"/>
  <c r="I77" i="2"/>
  <c r="F78" i="2"/>
  <c r="I78" i="2"/>
  <c r="I79" i="2" s="1"/>
  <c r="D79" i="2"/>
  <c r="E79" i="2"/>
  <c r="F79" i="2"/>
  <c r="G79" i="2"/>
  <c r="H79" i="2"/>
  <c r="A1" i="1"/>
  <c r="A3" i="1"/>
  <c r="E9" i="1"/>
  <c r="H9" i="1"/>
  <c r="E10" i="1"/>
  <c r="E19" i="1" s="1"/>
  <c r="H10" i="1"/>
  <c r="E11" i="1"/>
  <c r="H11" i="1"/>
  <c r="E12" i="1"/>
  <c r="H12" i="1"/>
  <c r="E13" i="1"/>
  <c r="H13" i="1"/>
  <c r="E14" i="1"/>
  <c r="H14" i="1"/>
  <c r="E15" i="1"/>
  <c r="F15" i="1"/>
  <c r="G15" i="1"/>
  <c r="H15" i="1" s="1"/>
  <c r="E16" i="1"/>
  <c r="H16" i="1"/>
  <c r="E17" i="1"/>
  <c r="H17" i="1"/>
  <c r="E18" i="1"/>
  <c r="H18" i="1"/>
  <c r="C19" i="1"/>
  <c r="D19" i="1"/>
  <c r="F19" i="1"/>
  <c r="C25" i="1"/>
  <c r="C44" i="1" s="1"/>
  <c r="D25" i="1"/>
  <c r="D44" i="1" s="1"/>
  <c r="F25" i="1"/>
  <c r="G25" i="1"/>
  <c r="E26" i="1"/>
  <c r="E25" i="1" s="1"/>
  <c r="E44" i="1" s="1"/>
  <c r="H26" i="1"/>
  <c r="H25" i="1" s="1"/>
  <c r="E28" i="1"/>
  <c r="H28" i="1"/>
  <c r="E29" i="1"/>
  <c r="H29" i="1"/>
  <c r="E30" i="1"/>
  <c r="H30" i="1"/>
  <c r="E31" i="1"/>
  <c r="H31" i="1"/>
  <c r="E32" i="1"/>
  <c r="H32" i="1"/>
  <c r="E33" i="1"/>
  <c r="H33" i="1"/>
  <c r="C35" i="1"/>
  <c r="D35" i="1"/>
  <c r="E35" i="1"/>
  <c r="F35" i="1"/>
  <c r="F44" i="1" s="1"/>
  <c r="E36" i="1"/>
  <c r="H36" i="1"/>
  <c r="E38" i="1"/>
  <c r="F38" i="1"/>
  <c r="G38" i="1"/>
  <c r="G35" i="1" s="1"/>
  <c r="G44" i="1" s="1"/>
  <c r="H45" i="1" s="1"/>
  <c r="H38" i="1"/>
  <c r="H35" i="1" s="1"/>
  <c r="E39" i="1"/>
  <c r="H39" i="1"/>
  <c r="C41" i="1"/>
  <c r="D41" i="1"/>
  <c r="E41" i="1"/>
  <c r="F41" i="1"/>
  <c r="G41" i="1"/>
  <c r="H41" i="1"/>
  <c r="E42" i="1"/>
  <c r="H42" i="1"/>
  <c r="J85" i="2" l="1"/>
  <c r="J79" i="2"/>
  <c r="F43" i="2"/>
  <c r="H132" i="5"/>
  <c r="H122" i="5"/>
  <c r="H71" i="5"/>
  <c r="F82" i="12"/>
  <c r="I85" i="12" s="1"/>
  <c r="J88" i="2"/>
  <c r="J82" i="2"/>
  <c r="G158" i="5"/>
  <c r="I159" i="5" s="1"/>
  <c r="H26" i="10"/>
  <c r="H45" i="11"/>
  <c r="D44" i="11"/>
  <c r="G44" i="11" s="1"/>
  <c r="H112" i="5"/>
  <c r="H84" i="5"/>
  <c r="H75" i="5"/>
  <c r="H62" i="5"/>
  <c r="H44" i="1"/>
  <c r="J86" i="2"/>
  <c r="J80" i="2"/>
  <c r="I43" i="2"/>
  <c r="I74" i="2" s="1"/>
  <c r="H102" i="5"/>
  <c r="I190" i="13"/>
  <c r="H190" i="13"/>
  <c r="F69" i="2"/>
  <c r="H92" i="5"/>
  <c r="H74" i="2"/>
  <c r="H77" i="12"/>
  <c r="H76" i="12" s="1"/>
  <c r="E76" i="12"/>
  <c r="E382" i="13"/>
  <c r="C381" i="13"/>
  <c r="E381" i="13" s="1"/>
  <c r="H376" i="13"/>
  <c r="I376" i="13"/>
  <c r="H98" i="13"/>
  <c r="I98" i="13"/>
  <c r="D22" i="3"/>
  <c r="E22" i="3" s="1"/>
  <c r="E145" i="5"/>
  <c r="E83" i="5" s="1"/>
  <c r="E75" i="5"/>
  <c r="H58" i="5"/>
  <c r="H48" i="5"/>
  <c r="H38" i="5"/>
  <c r="H28" i="5"/>
  <c r="H18" i="5"/>
  <c r="H15" i="5"/>
  <c r="H10" i="5" s="1"/>
  <c r="H9" i="5" s="1"/>
  <c r="F9" i="5"/>
  <c r="F158" i="5" s="1"/>
  <c r="I158" i="5" s="1"/>
  <c r="D39" i="11"/>
  <c r="G39" i="11" s="1"/>
  <c r="D372" i="13"/>
  <c r="I359" i="13"/>
  <c r="I338" i="13"/>
  <c r="I310" i="13"/>
  <c r="E288" i="13"/>
  <c r="H288" i="13" s="1"/>
  <c r="C287" i="13"/>
  <c r="H274" i="13"/>
  <c r="I274" i="13"/>
  <c r="E269" i="13"/>
  <c r="H269" i="13" s="1"/>
  <c r="H128" i="13"/>
  <c r="I128" i="13"/>
  <c r="D9" i="8"/>
  <c r="D34" i="8" s="1"/>
  <c r="G10" i="8"/>
  <c r="G9" i="8" s="1"/>
  <c r="G34" i="8" s="1"/>
  <c r="H39" i="8" s="1"/>
  <c r="D9" i="5"/>
  <c r="D158" i="5" s="1"/>
  <c r="I155" i="5" s="1"/>
  <c r="D22" i="8"/>
  <c r="G23" i="8"/>
  <c r="G22" i="8" s="1"/>
  <c r="H309" i="13"/>
  <c r="I309" i="13"/>
  <c r="H238" i="13"/>
  <c r="I238" i="13"/>
  <c r="H211" i="13"/>
  <c r="I211" i="13"/>
  <c r="H156" i="13"/>
  <c r="I156" i="13"/>
  <c r="E117" i="13"/>
  <c r="G19" i="1"/>
  <c r="H152" i="5"/>
  <c r="H149" i="5" s="1"/>
  <c r="H74" i="5"/>
  <c r="E58" i="5"/>
  <c r="E48" i="5"/>
  <c r="E38" i="5"/>
  <c r="E28" i="5"/>
  <c r="E18" i="5"/>
  <c r="E9" i="5" s="1"/>
  <c r="E158" i="5" s="1"/>
  <c r="I156" i="5" s="1"/>
  <c r="H14" i="9"/>
  <c r="G46" i="12"/>
  <c r="G82" i="12" s="1"/>
  <c r="I86" i="12" s="1"/>
  <c r="E374" i="13"/>
  <c r="C373" i="13"/>
  <c r="I305" i="13"/>
  <c r="E277" i="13"/>
  <c r="H277" i="13" s="1"/>
  <c r="H254" i="13"/>
  <c r="I254" i="13"/>
  <c r="H146" i="13"/>
  <c r="I146" i="13"/>
  <c r="E24" i="13"/>
  <c r="C23" i="13"/>
  <c r="E23" i="13" s="1"/>
  <c r="H255" i="13"/>
  <c r="I255" i="13"/>
  <c r="C5" i="15"/>
  <c r="H25" i="10"/>
  <c r="H18" i="9"/>
  <c r="H249" i="13"/>
  <c r="I249" i="13"/>
  <c r="I188" i="13"/>
  <c r="H188" i="13"/>
  <c r="H152" i="13"/>
  <c r="I152" i="13"/>
  <c r="H130" i="13"/>
  <c r="I130" i="13"/>
  <c r="H380" i="13"/>
  <c r="I380" i="13"/>
  <c r="H368" i="13"/>
  <c r="I368" i="13"/>
  <c r="H264" i="13"/>
  <c r="I264" i="13"/>
  <c r="E354" i="13"/>
  <c r="H354" i="13" s="1"/>
  <c r="C353" i="13"/>
  <c r="E333" i="13"/>
  <c r="H333" i="13" s="1"/>
  <c r="C332" i="13"/>
  <c r="E282" i="13"/>
  <c r="H282" i="13" s="1"/>
  <c r="D80" i="4"/>
  <c r="G80" i="4" s="1"/>
  <c r="H19" i="9" s="1"/>
  <c r="H24" i="10"/>
  <c r="G22" i="10"/>
  <c r="H27" i="10" s="1"/>
  <c r="D9" i="11"/>
  <c r="G9" i="11" s="1"/>
  <c r="D46" i="12"/>
  <c r="D82" i="12" s="1"/>
  <c r="I83" i="12" s="1"/>
  <c r="E378" i="13"/>
  <c r="C377" i="13"/>
  <c r="E377" i="13" s="1"/>
  <c r="H304" i="13"/>
  <c r="I304" i="13"/>
  <c r="E280" i="13"/>
  <c r="H280" i="13" s="1"/>
  <c r="H275" i="13"/>
  <c r="E262" i="13"/>
  <c r="D261" i="13"/>
  <c r="E261" i="13" s="1"/>
  <c r="H20" i="13"/>
  <c r="I20" i="13"/>
  <c r="D330" i="13"/>
  <c r="H22" i="10"/>
  <c r="B31" i="7"/>
  <c r="D31" i="7" s="1"/>
  <c r="G31" i="7" s="1"/>
  <c r="H15" i="9"/>
  <c r="H40" i="12"/>
  <c r="D268" i="13"/>
  <c r="H240" i="13"/>
  <c r="I240" i="13"/>
  <c r="E174" i="13"/>
  <c r="D166" i="13"/>
  <c r="E166" i="13" s="1"/>
  <c r="E40" i="12"/>
  <c r="E29" i="12"/>
  <c r="E9" i="12" s="1"/>
  <c r="E259" i="13"/>
  <c r="E230" i="13"/>
  <c r="C180" i="13"/>
  <c r="D127" i="13"/>
  <c r="E127" i="13" s="1"/>
  <c r="E123" i="13"/>
  <c r="E118" i="13"/>
  <c r="D117" i="13"/>
  <c r="D112" i="13" s="1"/>
  <c r="D72" i="13" s="1"/>
  <c r="E51" i="13"/>
  <c r="E35" i="13"/>
  <c r="H31" i="13"/>
  <c r="I31" i="13"/>
  <c r="H22" i="13"/>
  <c r="I22" i="13"/>
  <c r="H64" i="13"/>
  <c r="I64" i="13"/>
  <c r="H39" i="13"/>
  <c r="I39" i="13"/>
  <c r="E65" i="12"/>
  <c r="E226" i="13"/>
  <c r="C225" i="13"/>
  <c r="E225" i="13" s="1"/>
  <c r="H218" i="13"/>
  <c r="I218" i="13"/>
  <c r="H213" i="13"/>
  <c r="I213" i="13"/>
  <c r="E158" i="13"/>
  <c r="E73" i="13"/>
  <c r="H26" i="13"/>
  <c r="I26" i="13"/>
  <c r="H21" i="13"/>
  <c r="I21" i="13"/>
  <c r="D9" i="13"/>
  <c r="E11" i="13"/>
  <c r="C10" i="13"/>
  <c r="H23" i="12"/>
  <c r="H20" i="12" s="1"/>
  <c r="H9" i="12" s="1"/>
  <c r="H82" i="12" s="1"/>
  <c r="I87" i="12" s="1"/>
  <c r="I276" i="13"/>
  <c r="E263" i="13"/>
  <c r="I251" i="13"/>
  <c r="E232" i="13"/>
  <c r="H221" i="13"/>
  <c r="I217" i="13"/>
  <c r="E199" i="13"/>
  <c r="D180" i="13"/>
  <c r="H145" i="13"/>
  <c r="I145" i="13"/>
  <c r="H96" i="13"/>
  <c r="I96" i="13"/>
  <c r="H78" i="13"/>
  <c r="E31" i="14"/>
  <c r="D8" i="14"/>
  <c r="E47" i="12"/>
  <c r="C279" i="13"/>
  <c r="E279" i="13" s="1"/>
  <c r="H279" i="13" s="1"/>
  <c r="I260" i="13"/>
  <c r="I245" i="13"/>
  <c r="H224" i="13"/>
  <c r="H209" i="13"/>
  <c r="I209" i="13"/>
  <c r="H154" i="13"/>
  <c r="I154" i="13"/>
  <c r="E150" i="13"/>
  <c r="D149" i="13"/>
  <c r="H144" i="13"/>
  <c r="I144" i="13"/>
  <c r="H121" i="13"/>
  <c r="I121" i="13"/>
  <c r="E66" i="13"/>
  <c r="H33" i="13"/>
  <c r="I33" i="13"/>
  <c r="G8" i="14"/>
  <c r="G31" i="14" s="1"/>
  <c r="H60" i="12"/>
  <c r="H57" i="12" s="1"/>
  <c r="H46" i="12" s="1"/>
  <c r="H250" i="13"/>
  <c r="I250" i="13"/>
  <c r="H228" i="13"/>
  <c r="I228" i="13"/>
  <c r="D208" i="13"/>
  <c r="C149" i="13"/>
  <c r="H143" i="13"/>
  <c r="I143" i="13"/>
  <c r="H99" i="13"/>
  <c r="I99" i="13"/>
  <c r="E45" i="13"/>
  <c r="H41" i="13"/>
  <c r="I41" i="13"/>
  <c r="H28" i="13"/>
  <c r="I28" i="13"/>
  <c r="G21" i="14"/>
  <c r="G20" i="14" s="1"/>
  <c r="D20" i="14"/>
  <c r="E234" i="13"/>
  <c r="H223" i="13"/>
  <c r="H216" i="13"/>
  <c r="I216" i="13"/>
  <c r="C208" i="13"/>
  <c r="E208" i="13" s="1"/>
  <c r="E132" i="13"/>
  <c r="H124" i="13"/>
  <c r="I124" i="13"/>
  <c r="H90" i="13"/>
  <c r="I90" i="13"/>
  <c r="H36" i="13"/>
  <c r="I36" i="13"/>
  <c r="H18" i="13"/>
  <c r="I18" i="13"/>
  <c r="H13" i="13"/>
  <c r="I13" i="13"/>
  <c r="E30" i="16"/>
  <c r="E31" i="16" s="1"/>
  <c r="E74" i="13"/>
  <c r="G11" i="14"/>
  <c r="I19" i="13"/>
  <c r="I14" i="13"/>
  <c r="C112" i="13"/>
  <c r="E112" i="13" s="1"/>
  <c r="C95" i="13"/>
  <c r="E95" i="13" s="1"/>
  <c r="C89" i="13"/>
  <c r="E89" i="13" s="1"/>
  <c r="I140" i="13"/>
  <c r="I138" i="13"/>
  <c r="I136" i="13"/>
  <c r="I134" i="13"/>
  <c r="I94" i="13"/>
  <c r="I92" i="13"/>
  <c r="I68" i="13"/>
  <c r="I47" i="13"/>
  <c r="I43" i="13"/>
  <c r="E16" i="13"/>
  <c r="H127" i="13" l="1"/>
  <c r="I127" i="13"/>
  <c r="H166" i="13"/>
  <c r="I166" i="13"/>
  <c r="H382" i="13"/>
  <c r="I382" i="13"/>
  <c r="H174" i="13"/>
  <c r="I174" i="13"/>
  <c r="H16" i="9"/>
  <c r="H117" i="13"/>
  <c r="I117" i="13"/>
  <c r="H118" i="13"/>
  <c r="I118" i="13"/>
  <c r="H20" i="1"/>
  <c r="H19" i="1"/>
  <c r="C72" i="13"/>
  <c r="E72" i="13" s="1"/>
  <c r="H66" i="13"/>
  <c r="I66" i="13"/>
  <c r="D31" i="14"/>
  <c r="H199" i="13"/>
  <c r="I199" i="13"/>
  <c r="E10" i="13"/>
  <c r="C9" i="13"/>
  <c r="E9" i="13" s="1"/>
  <c r="H73" i="13"/>
  <c r="I73" i="13"/>
  <c r="E180" i="13"/>
  <c r="D258" i="13"/>
  <c r="E258" i="13" s="1"/>
  <c r="H21" i="9"/>
  <c r="F74" i="2"/>
  <c r="H132" i="13"/>
  <c r="I132" i="13"/>
  <c r="I263" i="13"/>
  <c r="H263" i="13"/>
  <c r="E149" i="13"/>
  <c r="C148" i="13"/>
  <c r="H11" i="13"/>
  <c r="I11" i="13"/>
  <c r="H158" i="13"/>
  <c r="I158" i="13"/>
  <c r="H35" i="13"/>
  <c r="I35" i="13"/>
  <c r="H230" i="13"/>
  <c r="I230" i="13"/>
  <c r="I377" i="13"/>
  <c r="H377" i="13"/>
  <c r="E332" i="13"/>
  <c r="C331" i="13"/>
  <c r="H112" i="13"/>
  <c r="I112" i="13"/>
  <c r="H150" i="13"/>
  <c r="I150" i="13"/>
  <c r="D5" i="15"/>
  <c r="C41" i="15"/>
  <c r="D42" i="15" s="1"/>
  <c r="C286" i="13"/>
  <c r="E286" i="13" s="1"/>
  <c r="E287" i="13"/>
  <c r="H287" i="13" s="1"/>
  <c r="H45" i="13"/>
  <c r="I45" i="13"/>
  <c r="H234" i="13"/>
  <c r="I234" i="13"/>
  <c r="H51" i="13"/>
  <c r="I51" i="13"/>
  <c r="I259" i="13"/>
  <c r="H259" i="13"/>
  <c r="H378" i="13"/>
  <c r="I378" i="13"/>
  <c r="H23" i="13"/>
  <c r="I23" i="13"/>
  <c r="C268" i="13"/>
  <c r="E268" i="13" s="1"/>
  <c r="J89" i="2"/>
  <c r="J83" i="2"/>
  <c r="H83" i="5"/>
  <c r="H158" i="5" s="1"/>
  <c r="I157" i="5" s="1"/>
  <c r="H208" i="13"/>
  <c r="I208" i="13"/>
  <c r="H37" i="8"/>
  <c r="H36" i="8"/>
  <c r="E46" i="12"/>
  <c r="E82" i="12" s="1"/>
  <c r="H226" i="13"/>
  <c r="I226" i="13"/>
  <c r="H16" i="13"/>
  <c r="I16" i="13"/>
  <c r="I74" i="13"/>
  <c r="H74" i="13"/>
  <c r="H89" i="13"/>
  <c r="I89" i="13"/>
  <c r="H232" i="13"/>
  <c r="I232" i="13"/>
  <c r="H261" i="13"/>
  <c r="I261" i="13"/>
  <c r="E353" i="13"/>
  <c r="C352" i="13"/>
  <c r="E352" i="13" s="1"/>
  <c r="H24" i="13"/>
  <c r="I24" i="13"/>
  <c r="E373" i="13"/>
  <c r="C372" i="13"/>
  <c r="I225" i="13"/>
  <c r="H225" i="13"/>
  <c r="H123" i="13"/>
  <c r="I123" i="13"/>
  <c r="H95" i="13"/>
  <c r="I95" i="13"/>
  <c r="H262" i="13"/>
  <c r="I262" i="13"/>
  <c r="H374" i="13"/>
  <c r="I374" i="13"/>
  <c r="I381" i="13"/>
  <c r="H381" i="13"/>
  <c r="J84" i="2"/>
  <c r="J90" i="2"/>
  <c r="H48" i="11"/>
  <c r="H34" i="8"/>
  <c r="D148" i="13" l="1"/>
  <c r="D386" i="13" s="1"/>
  <c r="I268" i="13"/>
  <c r="H268" i="13"/>
  <c r="E148" i="13"/>
  <c r="H149" i="13"/>
  <c r="I149" i="13"/>
  <c r="H180" i="13"/>
  <c r="I180" i="13"/>
  <c r="I373" i="13"/>
  <c r="H373" i="13"/>
  <c r="I258" i="13"/>
  <c r="H258" i="13"/>
  <c r="H352" i="13"/>
  <c r="I352" i="13"/>
  <c r="I353" i="13"/>
  <c r="H353" i="13"/>
  <c r="J87" i="2"/>
  <c r="J81" i="2"/>
  <c r="H72" i="13"/>
  <c r="I72" i="13"/>
  <c r="C330" i="13"/>
  <c r="E330" i="13" s="1"/>
  <c r="E331" i="13"/>
  <c r="H9" i="13"/>
  <c r="I9" i="13"/>
  <c r="C386" i="13"/>
  <c r="E372" i="13"/>
  <c r="H286" i="13"/>
  <c r="I286" i="13"/>
  <c r="I332" i="13"/>
  <c r="H332" i="13"/>
  <c r="H10" i="13"/>
  <c r="I10" i="13"/>
  <c r="H330" i="13" l="1"/>
  <c r="I330" i="13"/>
  <c r="H331" i="13"/>
  <c r="I331" i="13"/>
  <c r="I148" i="13"/>
  <c r="H148" i="13"/>
  <c r="H372" i="13"/>
  <c r="H386" i="13" s="1"/>
  <c r="I372" i="13"/>
  <c r="E38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G20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Evaluación:
</t>
        </r>
        <r>
          <rPr>
            <sz val="9"/>
            <color indexed="81"/>
            <rFont val="Tahoma"/>
            <family val="2"/>
          </rPr>
          <t xml:space="preserve">Total Ingreso Recaudado Anual - Total Ingreso Estimado Anual
</t>
        </r>
      </text>
    </comment>
    <comment ref="G45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Evaluación:
Total Ingreso Recaudado Anual - Total Ingreso Estimado Anual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D5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INGRESOS CON LO REPORTADO EN EL FORMATO ETCA-II-01 EN EL TOTAL DE LA COLUMNA DE TOTAL DE INGRESOS DEVENGADO ANUAL (4)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INGRESOS CON LO REPORTADO EN EL FORMATO ETCA-I-03 EN EL MISMO RUBRO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C5" authorId="0" shapeId="0" xr:uid="{00000000-0006-0000-1B00-000001000000}">
      <text>
        <r>
          <rPr>
            <b/>
            <sz val="9"/>
            <color indexed="81"/>
            <rFont val="Tahoma"/>
            <family val="2"/>
          </rPr>
          <t>EVALUACIÓN:
VERIFICA QUE COINCIDAN LAS CANTIDADES  DE TOTAL DE EGRESOS CON LO REPORTADO EN EL FORMATO ETCA-II-04 EN EL TOTAL DE LA COLUMNA DE EGRESOS DEVENGADO ANUAL.</t>
        </r>
      </text>
    </comment>
    <comment ref="C41" authorId="0" shapeId="0" xr:uid="{00000000-0006-0000-1B00-000002000000}">
      <text>
        <r>
          <rPr>
            <b/>
            <sz val="9"/>
            <color indexed="81"/>
            <rFont val="Tahoma"/>
            <family val="2"/>
          </rPr>
          <t>EVALUACIÓN:
VERIFICA QUE COINCIDAN LAS CANTIDADES  DEL TOTAL GASTO CONTABLE CON LO REPORTADO EN EL FORMATO ETCA-I-03 EN EL TOTAL DE GASTOS Y OTRAS PÉRDIDAS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<sst xmlns="http://schemas.openxmlformats.org/spreadsheetml/2006/main" count="1164" uniqueCount="764">
  <si>
    <t>El importe reflejado siempre debe ser mayor a cero. Nunca en rojo.</t>
  </si>
  <si>
    <t>Los Ingresos Excedentes  se presentan para efectos de cumplimiento de la Ley de Ingresos del Estado y Ley de Contabilidad Gubernamental.</t>
  </si>
  <si>
    <r>
      <rPr>
        <b/>
        <vertAlign val="superscript"/>
        <sz val="9"/>
        <color theme="0" tint="-0.34998626667073579"/>
        <rFont val="Arial Narrow"/>
        <family val="2"/>
      </rPr>
      <t>3</t>
    </r>
    <r>
      <rPr>
        <sz val="9"/>
        <color theme="0" tint="-0.34998626667073579"/>
        <rFont val="Arial Narrow"/>
        <family val="2"/>
      </rPr>
      <t xml:space="preserve"> Se refiere a los ingresos propios obtenidos por los Poderes Legislativo y Judicial, los Organos Autónomos y las entidades de la administracion pública paraestataly paramunicipal, por sus actividades diversas no inherentes a su operación que general recursos y que no sean ingresos por venta de bienes o prestación de servicios, tales como donativos en efectivo, entre otros.</t>
    </r>
  </si>
  <si>
    <r>
      <rPr>
        <b/>
        <vertAlign val="superscript"/>
        <sz val="9"/>
        <color theme="0" tint="-0.34998626667073579"/>
        <rFont val="Arial Narrow"/>
        <family val="2"/>
      </rPr>
      <t>2</t>
    </r>
    <r>
      <rPr>
        <vertAlign val="superscript"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donativos en efectivo del Poder Ejecutivo, entre otros aprovechamientos.</t>
    </r>
  </si>
  <si>
    <r>
      <rPr>
        <b/>
        <vertAlign val="superscript"/>
        <sz val="9"/>
        <color theme="0" tint="-0.34998626667073579"/>
        <rFont val="Arial Narrow"/>
        <family val="2"/>
      </rPr>
      <t>1</t>
    </r>
    <r>
      <rPr>
        <b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interesesque generan las cuentas bancarias de los entes públicos en productos.</t>
    </r>
  </si>
  <si>
    <t xml:space="preserve">Ingresos Excedentes </t>
  </si>
  <si>
    <t>Total</t>
  </si>
  <si>
    <t>Ingresos Derivados de Financiamientos</t>
  </si>
  <si>
    <t>Ingresos  derivados de Financiamiento</t>
  </si>
  <si>
    <t xml:space="preserve">Transferencias, Asignaciones, Subsidios y Subvenciones, y Pensiones y Jubilaciones </t>
  </si>
  <si>
    <r>
      <t>Ingresos por ventas de Bienes, Prestación de Servicios y Otros Ingresos</t>
    </r>
    <r>
      <rPr>
        <vertAlign val="superscript"/>
        <sz val="10"/>
        <color theme="1"/>
        <rFont val="Arial Narrow"/>
        <family val="2"/>
      </rPr>
      <t>3</t>
    </r>
  </si>
  <si>
    <r>
      <t>Productos</t>
    </r>
    <r>
      <rPr>
        <vertAlign val="superscript"/>
        <sz val="10"/>
        <color theme="1"/>
        <rFont val="Arial Narrow"/>
        <family val="2"/>
      </rPr>
      <t>1</t>
    </r>
  </si>
  <si>
    <t>Cuotas y Aportaciones de Seguridad Social</t>
  </si>
  <si>
    <t>Ingresos De los Entes Públicos de los Poderes Legislativo y Judicial, de los Órganos Autonomos y del Sector Paraestatal o Paramunicipal, asi como de las Empresas Productivas del Estado</t>
  </si>
  <si>
    <t xml:space="preserve">Participaciones, Aportaciones, Convenios, Incentivos Derivados de la Colaboracción Fiscal y Fondos Distintos de Aportaciones </t>
  </si>
  <si>
    <t>Capital</t>
  </si>
  <si>
    <r>
      <t>Aprovechamientos</t>
    </r>
    <r>
      <rPr>
        <vertAlign val="superscript"/>
        <sz val="10"/>
        <color theme="1"/>
        <rFont val="Arial Narrow"/>
        <family val="2"/>
      </rPr>
      <t>2</t>
    </r>
  </si>
  <si>
    <t>Derechos</t>
  </si>
  <si>
    <t>Contribuciones de Mejoras</t>
  </si>
  <si>
    <t xml:space="preserve">Impuestos </t>
  </si>
  <si>
    <t xml:space="preserve">Ingresos del Poder Ejecutivo Federal o Estatal y de los Municipios </t>
  </si>
  <si>
    <t>(6= 5 - 1 )</t>
  </si>
  <si>
    <t>(5)</t>
  </si>
  <si>
    <t>(4)</t>
  </si>
  <si>
    <t>(3= 1 +2)</t>
  </si>
  <si>
    <t>(2)</t>
  </si>
  <si>
    <t>(1)</t>
  </si>
  <si>
    <t>Diferencia</t>
  </si>
  <si>
    <t xml:space="preserve">Recaudado </t>
  </si>
  <si>
    <t xml:space="preserve">Devengado </t>
  </si>
  <si>
    <t>Modificado</t>
  </si>
  <si>
    <t>Ampliaciones y Reducciones           (+ ó -)</t>
  </si>
  <si>
    <t>Estimado</t>
  </si>
  <si>
    <t>Ingreso</t>
  </si>
  <si>
    <t>Estado Analitico de Ingresos Por Fuente de Financiamiento</t>
  </si>
  <si>
    <t>Ingresos por Ventas de Bienes, Prestacion de Servicios y Otros Ingresos</t>
  </si>
  <si>
    <t>Aprovechamientos</t>
  </si>
  <si>
    <t>Productos</t>
  </si>
  <si>
    <t>Impuestos</t>
  </si>
  <si>
    <t>Rubros de  Ingresos</t>
  </si>
  <si>
    <t>Estado Analítico de Ingresos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</si>
  <si>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</si>
  <si>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</si>
  <si>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</si>
  <si>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 xml:space="preserve"> 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</si>
  <si>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</si>
  <si>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</si>
  <si>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</si>
  <si>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</si>
  <si>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</si>
  <si>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</si>
  <si>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</si>
  <si>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</si>
  <si>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</si>
  <si>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</si>
  <si>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</si>
  <si>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</si>
  <si>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</si>
  <si>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</si>
  <si>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</si>
  <si>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</si>
  <si>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</si>
  <si>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</si>
  <si>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</si>
  <si>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</si>
  <si>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</si>
  <si>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</si>
  <si>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</si>
  <si>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</si>
  <si>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</si>
  <si>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</si>
  <si>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</si>
  <si>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 xml:space="preserve">I. Total de Ingresos de Libre Disposición                                                 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</si>
  <si>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</si>
  <si>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</si>
  <si>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</si>
  <si>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</si>
  <si>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</si>
  <si>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</si>
  <si>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</si>
  <si>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</si>
  <si>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</si>
  <si>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</si>
  <si>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</si>
  <si>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</si>
  <si>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</si>
  <si>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</si>
  <si>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</si>
  <si>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</si>
  <si>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</si>
  <si>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</si>
  <si>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</si>
  <si>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</si>
  <si>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</si>
  <si>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</si>
  <si>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</si>
  <si>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</si>
  <si>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</si>
  <si>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</si>
  <si>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</si>
  <si>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</si>
  <si>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</si>
  <si>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</si>
  <si>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</si>
  <si>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</si>
  <si>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</si>
  <si>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</si>
  <si>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Recaudado</t>
  </si>
  <si>
    <t>Devengado</t>
  </si>
  <si>
    <t>Ampliaciones/ (Reducciones)</t>
  </si>
  <si>
    <t>Estimado (d)</t>
  </si>
  <si>
    <t>Concepto</t>
  </si>
  <si>
    <t>Diferencia (e)</t>
  </si>
  <si>
    <t>Estado Analítico de Ingresos Detallado – LDF</t>
  </si>
  <si>
    <r>
      <rPr>
        <b/>
        <sz val="9"/>
        <color theme="0" tint="-0.34998626667073579"/>
        <rFont val="Arial Narrow"/>
        <family val="2"/>
      </rPr>
      <t>2</t>
    </r>
    <r>
      <rPr>
        <sz val="9"/>
        <color theme="0" tint="-0.34998626667073579"/>
        <rFont val="Arial Narrow"/>
        <family val="2"/>
      </rPr>
      <t>. Los Ingresos Financieros y otros ingresos se regularizarán presupuestariamente de acuerdo a la legislacion aplicable</t>
    </r>
  </si>
  <si>
    <r>
      <rPr>
        <b/>
        <sz val="9"/>
        <color theme="0" tint="-0.34998626667073579"/>
        <rFont val="Arial Narrow"/>
        <family val="2"/>
      </rPr>
      <t>1</t>
    </r>
    <r>
      <rPr>
        <sz val="9"/>
        <color theme="0" tint="-0.34998626667073579"/>
        <rFont val="Arial Narrow"/>
        <family val="2"/>
      </rPr>
      <t>. Se deberán incluir los Ingresos Contables No Presupuestarios que no se regularizaron presupuestariamente durante el ejercicio</t>
    </r>
  </si>
  <si>
    <t>4. Total de Ingresos Contables  (4=  1  +  2  -  3 )</t>
  </si>
  <si>
    <t>Otros Ingresos Presupuestarios No Contables</t>
  </si>
  <si>
    <t xml:space="preserve">Aprovechamientos Patrimoniales </t>
  </si>
  <si>
    <t>3.Menos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</si>
  <si>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</si>
  <si>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</si>
  <si>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</si>
  <si>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</si>
  <si>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</si>
  <si>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Finanacieros</t>
  </si>
  <si>
    <t>2.Mas Ingresos contables No Presupuestarios</t>
  </si>
  <si>
    <t>1. Total de Ingresos Presupuestarios</t>
  </si>
  <si>
    <t xml:space="preserve">                                                            </t>
  </si>
  <si>
    <t>Conciliacion entre los Ingresos Presupuestarios y Contables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</si>
  <si>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</si>
  <si>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</si>
  <si>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</si>
  <si>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</si>
  <si>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</si>
  <si>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</si>
  <si>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</si>
  <si>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</si>
  <si>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</si>
  <si>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</si>
  <si>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</si>
  <si>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</si>
  <si>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</si>
  <si>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</si>
  <si>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</si>
  <si>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</si>
  <si>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</si>
  <si>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</si>
  <si>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</si>
  <si>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</si>
  <si>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</si>
  <si>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</si>
  <si>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</si>
  <si>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</si>
  <si>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</si>
  <si>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</si>
  <si>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</si>
  <si>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</si>
  <si>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</si>
  <si>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</si>
  <si>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</si>
  <si>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</si>
  <si>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</si>
  <si>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</si>
  <si>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</si>
  <si>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</si>
  <si>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</si>
  <si>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</si>
  <si>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</si>
  <si>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</si>
  <si>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</si>
  <si>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</si>
  <si>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</si>
  <si>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</si>
  <si>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</si>
  <si>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</si>
  <si>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</si>
  <si>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</si>
  <si>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</si>
  <si>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</si>
  <si>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</si>
  <si>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</si>
  <si>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</si>
  <si>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</si>
  <si>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</si>
  <si>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</si>
  <si>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</si>
  <si>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</si>
  <si>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</si>
  <si>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</si>
  <si>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</si>
  <si>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</si>
  <si>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</si>
  <si>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</si>
  <si>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</si>
  <si>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</si>
  <si>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</si>
  <si>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</si>
  <si>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</si>
  <si>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</si>
  <si>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</si>
  <si>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</si>
  <si>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</si>
  <si>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( 6 = 3 - 4 )</t>
  </si>
  <si>
    <t>(3=1+2)</t>
  </si>
  <si>
    <t>Subejercicio</t>
  </si>
  <si>
    <t>Egresos Pagado     Acumulado</t>
  </si>
  <si>
    <t>Egresos Devengado Acumulado</t>
  </si>
  <si>
    <t>Egresos Modificado   Anual</t>
  </si>
  <si>
    <t>Egresos Aprobado   Anual</t>
  </si>
  <si>
    <t>Ejercicio del Presupuesto por
Capítulo del Gasto</t>
  </si>
  <si>
    <t xml:space="preserve">                                                                                                                                                     </t>
  </si>
  <si>
    <t>Clasificación por Objeto del Gasto (Capítulo y Concepto)</t>
  </si>
  <si>
    <t>Estado Analítico del Ejercicio Presupuesto de Egresos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</si>
  <si>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</si>
  <si>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</si>
  <si>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</si>
  <si>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</si>
  <si>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</si>
  <si>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</si>
  <si>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</si>
  <si>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</si>
  <si>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</si>
  <si>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</si>
  <si>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</si>
  <si>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</si>
  <si>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</si>
  <si>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</si>
  <si>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</si>
  <si>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</si>
  <si>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</si>
  <si>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</si>
  <si>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</si>
  <si>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</si>
  <si>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</si>
  <si>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</si>
  <si>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</si>
  <si>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</si>
  <si>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</si>
  <si>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</si>
  <si>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</si>
  <si>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</si>
  <si>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</si>
  <si>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</si>
  <si>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</si>
  <si>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</si>
  <si>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</si>
  <si>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</si>
  <si>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</si>
  <si>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</si>
  <si>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</si>
  <si>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</si>
  <si>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</si>
  <si>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</si>
  <si>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</si>
  <si>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</si>
  <si>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</si>
  <si>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</si>
  <si>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</si>
  <si>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</si>
  <si>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</si>
  <si>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</si>
  <si>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</si>
  <si>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</si>
  <si>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</si>
  <si>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</si>
  <si>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</si>
  <si>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</si>
  <si>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</si>
  <si>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</si>
  <si>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</si>
  <si>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</si>
  <si>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</si>
  <si>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</si>
  <si>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</si>
  <si>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</si>
  <si>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</si>
  <si>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</si>
  <si>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</si>
  <si>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</si>
  <si>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</si>
  <si>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</si>
  <si>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</si>
  <si>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</si>
  <si>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</si>
  <si>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</si>
  <si>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</si>
  <si>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</si>
  <si>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</si>
  <si>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</si>
  <si>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</si>
  <si>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</si>
  <si>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</si>
  <si>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</si>
  <si>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</si>
  <si>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</si>
  <si>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</si>
  <si>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</si>
  <si>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 xml:space="preserve">Clasificación por Objeto del Gasto (Capítulo y Concepto) </t>
  </si>
  <si>
    <t>Estado Analítico del Ejercicio del Presupuesto de Egresos Detallado - LDF</t>
  </si>
  <si>
    <t>Punto Adicionado DOF 30-09-2015</t>
  </si>
  <si>
    <t>Son los gastos destinados a cubrir las participaciones para las entidades federativas y/o los municipios.</t>
  </si>
  <si>
    <t xml:space="preserve">5. Participaciones </t>
  </si>
  <si>
    <t>Son los gastos destinados para el pago a pensionistas y jubilados o a sus familiares, que cubren los gobiernos Federal, Estatal y Municipal, o bien el Instituto de Seguridad Social correspondiente.</t>
  </si>
  <si>
    <t>4. Pensiones y Jubilaciones</t>
  </si>
  <si>
    <t>Comprende la amortización de la deuda adquirida y disminución de pasivos con el sector privado, público y externo.</t>
  </si>
  <si>
    <t>3. Amortización de la deuda y disminución de pasivos</t>
  </si>
  <si>
    <t>Son los gastos destinados a la inversión de capital y las transferencias a los otros componentes institucionales del sistema económico que se efectúan para financiar gastos de éstos con tal propósito.</t>
  </si>
  <si>
    <t>2. Gasto de Capital</t>
  </si>
  <si>
    <t>Son los gastos de consumo y/o de operación, el arrendamiento de la propiedad y las transferencias otorgadas a los otros componentes institucionales del sistema económico para financiar gastos de esas características.</t>
  </si>
  <si>
    <t>1. Gasto Corriente</t>
  </si>
  <si>
    <t>A continuación se conceptualizan las siguientes categorías:</t>
  </si>
  <si>
    <t>Amortización del la Deuda y Disminución de Pasivos</t>
  </si>
  <si>
    <t>Gasto de Capital</t>
  </si>
  <si>
    <t>Gasto Corriente</t>
  </si>
  <si>
    <t xml:space="preserve">                                                                                                                                </t>
  </si>
  <si>
    <t>Clasificación Económica (por Tipo de Gasto)</t>
  </si>
  <si>
    <t>ORGANISMOS OPERADORES</t>
  </si>
  <si>
    <t>ORGANO INTERNO DE CONTROL</t>
  </si>
  <si>
    <t>COSTOS, CONCURSOS Y CONTRATOS</t>
  </si>
  <si>
    <t>UNIDAD JURIDICA</t>
  </si>
  <si>
    <t>DIRECCION GENERAL DE INFRAESTRUCTURA HIDROAGRICOLA</t>
  </si>
  <si>
    <t>DIRECCION GENERAL DE INFRAESTRUCTURA HIDRAULICA URBANA</t>
  </si>
  <si>
    <t>DIRECCION GENERAL DE FORTALECIMIENTO INSTITUCIONAL</t>
  </si>
  <si>
    <t>DIRECCION GENERAL DE ADMINISTRACION Y FINANZAS</t>
  </si>
  <si>
    <t>VOCALIA EJECUTIVA</t>
  </si>
  <si>
    <t>Clasificación Administrativa (Por Unidad Administrativa)</t>
  </si>
  <si>
    <t xml:space="preserve">                                                                                                                                                         </t>
  </si>
  <si>
    <t>ORGANO DE CONTRO Y DESARROLLO ADMINISTRATIVO</t>
  </si>
  <si>
    <t>DIRECCION JURIDICA</t>
  </si>
  <si>
    <t>(II=A+B+C+D+E+F+G+H)</t>
  </si>
  <si>
    <t>II. Gasto Etiquetado</t>
  </si>
  <si>
    <t>(I=A+B+C+D+E+F+G+H)</t>
  </si>
  <si>
    <t>I. Gasto No Etiquetado</t>
  </si>
  <si>
    <t>Pagado</t>
  </si>
  <si>
    <t>Clasificación Administrativa</t>
  </si>
  <si>
    <t>Órganos Autónomos</t>
  </si>
  <si>
    <t>Poder Judicial</t>
  </si>
  <si>
    <t>Poder Legislativo</t>
  </si>
  <si>
    <t>Poder Ejecutivo</t>
  </si>
  <si>
    <t>Clasificación Administrativa (Por Poderes)</t>
  </si>
  <si>
    <t xml:space="preserve">                                                                                                                                     </t>
  </si>
  <si>
    <t>Fideicomisos Financieros Públicos con Participación Estatal Mayoritaria</t>
  </si>
  <si>
    <t>Entidades Paraestatales Empresariales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</si>
  <si>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</si>
  <si>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</si>
  <si>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</si>
  <si>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</si>
  <si>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</si>
  <si>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 xml:space="preserve">                                                                                                                                      </t>
  </si>
  <si>
    <t>Clasificación Administrativa (Por Tipo de Organismos o Entidad Paraestatal)</t>
  </si>
  <si>
    <t>Adeudos de ejercicios Fiscales Anteriores</t>
  </si>
  <si>
    <t>Saneamiento del Sistema Financiero</t>
  </si>
  <si>
    <t>Transferencias, Participaciones y Aportaciones entre Diferentes Niveles y Órdenes de gobierno</t>
  </si>
  <si>
    <t>Transacdciones de la Deuda Pública / Costo financiero de la Deuda</t>
  </si>
  <si>
    <t>Otras No Clasificadas en funciones anteriores</t>
  </si>
  <si>
    <t>Otras Industrias y Otros Asuntos Económicos</t>
  </si>
  <si>
    <t>Ciencia, Tencología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</si>
  <si>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</si>
  <si>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</si>
  <si>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</si>
  <si>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</si>
  <si>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</si>
  <si>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</si>
  <si>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</si>
  <si>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</si>
  <si>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</si>
  <si>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</si>
  <si>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</si>
  <si>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</si>
  <si>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</si>
  <si>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Viviendas y Servicios a la Comunidad</t>
  </si>
  <si>
    <t>Protección Ambiental</t>
  </si>
  <si>
    <t>Desarrollo Social</t>
  </si>
  <si>
    <t>Asuntos de Orden Público y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</si>
  <si>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</si>
  <si>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</si>
  <si>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</si>
  <si>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</si>
  <si>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</si>
  <si>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</si>
  <si>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</si>
  <si>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Clasificación Funcional (Finalidad y Función)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</si>
  <si>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</si>
  <si>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</si>
  <si>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</si>
  <si>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</si>
  <si>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</si>
  <si>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</si>
  <si>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</si>
  <si>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</si>
  <si>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</si>
  <si>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</si>
  <si>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</si>
  <si>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</si>
  <si>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</si>
  <si>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</si>
  <si>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</si>
  <si>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</si>
  <si>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</si>
  <si>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</si>
  <si>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</si>
  <si>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</si>
  <si>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</si>
  <si>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</si>
  <si>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</si>
  <si>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</si>
  <si>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</si>
  <si>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</si>
  <si>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</si>
  <si>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</si>
  <si>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</si>
  <si>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</si>
  <si>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</si>
  <si>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</si>
  <si>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</si>
  <si>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</si>
  <si>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 xml:space="preserve">         DIRECTOR DE ADMINISTRACION Y FINANZAS</t>
  </si>
  <si>
    <t xml:space="preserve">                 DIRECTOR ADMINISTRATIVO</t>
  </si>
  <si>
    <t>C.P. MARIO ALBERTO MERINO DIAZ</t>
  </si>
  <si>
    <t>C.P. LEONOR LANDAVAZO GUTIERREZ</t>
  </si>
  <si>
    <t>Adefas Inversion Estatal (cotas y gerencias)</t>
  </si>
  <si>
    <t>Adefas Inversion Estatal</t>
  </si>
  <si>
    <t>Adefas  Operación</t>
  </si>
  <si>
    <t xml:space="preserve">Adefas  </t>
  </si>
  <si>
    <t>Adeudo de ejercicios fiscales anteriores (ADEFAS)</t>
  </si>
  <si>
    <t>Pago de Intereses Corto Plazo</t>
  </si>
  <si>
    <t>Pago de Intereses a largo Plazo</t>
  </si>
  <si>
    <t>Intereses de la deuda interna con instiruciones de credito</t>
  </si>
  <si>
    <t>Intereses de la deuda publica</t>
  </si>
  <si>
    <t>Amortizacion de Capital Corto Plazo</t>
  </si>
  <si>
    <t>Amortizacion de Capital Largo Plazo</t>
  </si>
  <si>
    <t>Amortizacion de la deuda interna con instituciones de credito</t>
  </si>
  <si>
    <t>Amortizacion de la deuda publica</t>
  </si>
  <si>
    <t>Deuda Publica</t>
  </si>
  <si>
    <t>Otras erogaciones Especiales</t>
  </si>
  <si>
    <t>Provisiones para contingencias y otras erogaciones especiales</t>
  </si>
  <si>
    <t>Inversiones Financieras y Otras proviciones</t>
  </si>
  <si>
    <t>Supervision y control de calidad</t>
  </si>
  <si>
    <t>Indirectos para obras en division de terrenos y construccion de obras de urbanizacion</t>
  </si>
  <si>
    <t>Fiscalizacion y seguimiento</t>
  </si>
  <si>
    <t>Infraestructura y equipamiento en materia de alcantarillado</t>
  </si>
  <si>
    <t>Infraestructura y equipamiento en materia de agua potable</t>
  </si>
  <si>
    <t>Estudios y proyectos</t>
  </si>
  <si>
    <t>Division de terrenos y construccion de obras de urbanizacion</t>
  </si>
  <si>
    <t>Indirectos para obras de construccion para el abastecimiento de agua, petroleo, gas, electricidad y telecomunicaciones</t>
  </si>
  <si>
    <t>Apoyo y fort. A sist. De oper. De distrito de riego</t>
  </si>
  <si>
    <t>Fortalecimiento a organismos operadores de sistemas de agua potable</t>
  </si>
  <si>
    <t>Construccion de obras para el abastecimiento de agua, petroleo, gas, electricidad y telecomunicaciones</t>
  </si>
  <si>
    <t>0bra pública en bienes de dominio publico</t>
  </si>
  <si>
    <t>FEDERAL</t>
  </si>
  <si>
    <t>Estudios y Proyectos</t>
  </si>
  <si>
    <t>Conservacion y Mantenimiento</t>
  </si>
  <si>
    <t>Obra publica en bienes propios</t>
  </si>
  <si>
    <t xml:space="preserve">Fonden </t>
  </si>
  <si>
    <t>Estudios y Proyectos para sistemas de abastecimiento de agua potable.</t>
  </si>
  <si>
    <t>ESTATAL</t>
  </si>
  <si>
    <t>Software</t>
  </si>
  <si>
    <t>Activos intangibles</t>
  </si>
  <si>
    <t>Terrenos</t>
  </si>
  <si>
    <t>Otros bienes muebles</t>
  </si>
  <si>
    <t>Otos equipos</t>
  </si>
  <si>
    <t>Otros equipos</t>
  </si>
  <si>
    <t>Herramientas</t>
  </si>
  <si>
    <t>Herramientas y máquinas-herramienta</t>
  </si>
  <si>
    <t>Maquinaria y equipo electrico y electronico</t>
  </si>
  <si>
    <t>Equipo de Generacion Electrica, aparatos y accesoris electrios</t>
  </si>
  <si>
    <t>Equipo de Comunicación y Telecomunicacion</t>
  </si>
  <si>
    <t>Sistemas de aire acondicionado, calefaccion y de refrigeracion industrial y comercial</t>
  </si>
  <si>
    <t>Maquinaria y equipo industrial</t>
  </si>
  <si>
    <t>Maquinaria, otros equipos y herramientas</t>
  </si>
  <si>
    <t>Otros Equipos de Transporte</t>
  </si>
  <si>
    <t>Automoviles y camiones</t>
  </si>
  <si>
    <t>Vehiculos y equipo de transporte</t>
  </si>
  <si>
    <t>Instrumental medico y de laboratorio</t>
  </si>
  <si>
    <t>Equipo e instrumental medico y de laboratorio</t>
  </si>
  <si>
    <t>Camaras fotograficas y de video</t>
  </si>
  <si>
    <t>Equipos y aparatos audiovisuales</t>
  </si>
  <si>
    <t>Mobiliario y equipo educacional y recreativo</t>
  </si>
  <si>
    <t>Equipo de administracion</t>
  </si>
  <si>
    <t>Otros mobiliarios y equipos de administracion</t>
  </si>
  <si>
    <t>Bienes informáticos</t>
  </si>
  <si>
    <t>Equipo de cómputo y de tecnologías de la información</t>
  </si>
  <si>
    <t>Muebles, Excepto de Oficina y Estantería</t>
  </si>
  <si>
    <t>Mobiliario</t>
  </si>
  <si>
    <t>Muebles de oficina y estantería</t>
  </si>
  <si>
    <t>Mobiliario y equipo de administración</t>
  </si>
  <si>
    <t>Bienes muebles, inmuebles e intangibles</t>
  </si>
  <si>
    <t>Donativos a Instituciones sin fines de lucro</t>
  </si>
  <si>
    <t xml:space="preserve">Donativos  </t>
  </si>
  <si>
    <t>Fomento deportivo</t>
  </si>
  <si>
    <t>Becas y otras ayudas para prograas de capacitacion</t>
  </si>
  <si>
    <t>Ayudas sociales</t>
  </si>
  <si>
    <t>Subsidios a la prestación de servicios públicos</t>
  </si>
  <si>
    <t>Transferencias otorgadas a entidades federativas y municipios</t>
  </si>
  <si>
    <t>Transferencis al resto del sector publico</t>
  </si>
  <si>
    <t>Transferencias para gastos de operación</t>
  </si>
  <si>
    <t>Transferencias internas otorgadasa entidades paraestatales no empresariales y no financieras</t>
  </si>
  <si>
    <t>Transferencias, asigaciones, subsidios y otras ayudas</t>
  </si>
  <si>
    <t>Asigacion presupuestria al poder ejecutivo</t>
  </si>
  <si>
    <t>Transferecias internas yasignaciones al sector publico</t>
  </si>
  <si>
    <t>Transferencias, asignaciones, subsidios y otras ayudas</t>
  </si>
  <si>
    <t>Impuesto sobre nomina</t>
  </si>
  <si>
    <t>Impuesto sobre nominas y otros que se deriven de una relación laboral</t>
  </si>
  <si>
    <t>Otros gastos por responsabilidades</t>
  </si>
  <si>
    <t>Otros gastso por responsabilidades</t>
  </si>
  <si>
    <t>Penas, multas, accesorios y actualizaciones</t>
  </si>
  <si>
    <t>Impuestos y derechos</t>
  </si>
  <si>
    <t>Otros servicios generales</t>
  </si>
  <si>
    <t>Gtso de atencion y promocion</t>
  </si>
  <si>
    <t>Gastos de Representacion</t>
  </si>
  <si>
    <t>Congresos y convenciones</t>
  </si>
  <si>
    <t>Gasto de Orden Social y Cultural</t>
  </si>
  <si>
    <t>Gastos de ceremonial</t>
  </si>
  <si>
    <t>Servicios oficiales</t>
  </si>
  <si>
    <t>Cuotas</t>
  </si>
  <si>
    <t>Otros servicios de traslado y hospedaje</t>
  </si>
  <si>
    <t>Servicios integrales de traslado y viáticos</t>
  </si>
  <si>
    <t>Viáticos en el extranjero</t>
  </si>
  <si>
    <t>Gastos de camino</t>
  </si>
  <si>
    <t>Viáticos en el país</t>
  </si>
  <si>
    <t>Pasajes terrestres</t>
  </si>
  <si>
    <t>Pasajes aéreos internacionales</t>
  </si>
  <si>
    <t>Pasajes aéreos nacionales</t>
  </si>
  <si>
    <t>Pasajes aéreos</t>
  </si>
  <si>
    <t>Servicios de traslado y viáticos</t>
  </si>
  <si>
    <t>Otros servicios de información</t>
  </si>
  <si>
    <t>SERVICIOS DE LA INDUSTRIA FILMICA, DEL SONIDO Y DE</t>
  </si>
  <si>
    <t>Servicio  de Revelado de Fotografías</t>
  </si>
  <si>
    <t>Difusión por Radio, Televisión y otros medios de mensajes sobre Programas y actividades Gubernamentales</t>
  </si>
  <si>
    <t>Servicios de comunicación social y publicidad</t>
  </si>
  <si>
    <t>Servicios de jardinería y fumigación</t>
  </si>
  <si>
    <t>Servicios de limpieza y manejo de desechos</t>
  </si>
  <si>
    <t>Mantenimiento y conservación de heraamientas, maquinas herramientas, instrumentos, utiles y equipo</t>
  </si>
  <si>
    <t>Mantenimiento y conservación de maquinaria y equipo</t>
  </si>
  <si>
    <t>Instalación, reparación y mantenimiento de maquinaria, otros equipos y herramientas</t>
  </si>
  <si>
    <t>Mantenimiento y Conservación de Equipo de Transporte</t>
  </si>
  <si>
    <t>Reparación y mantenimiento de equipo de transporte</t>
  </si>
  <si>
    <t>Mantenimiento y conservación de bienes informáticos</t>
  </si>
  <si>
    <t>Instalaciones</t>
  </si>
  <si>
    <t>Instalación, reparación y mantenimiento de equipo de computo y tecnología de información</t>
  </si>
  <si>
    <t>Mantenimiento y conservación de mobiliario y equipo</t>
  </si>
  <si>
    <t>Instalación, reparación y mantenimiento de mobiliario y equipo de administración, educacional y recreativo</t>
  </si>
  <si>
    <t>Mantenimiento y conservación de inmuebles</t>
  </si>
  <si>
    <t>Conservación y mantenimiento menor de inmuebles</t>
  </si>
  <si>
    <t>Servicios de instalacion, reparacion, mantenimiento y conservacion</t>
  </si>
  <si>
    <t>Fletes y maniobras</t>
  </si>
  <si>
    <t>Seguros de responsabilidad patrimonial y fianzas</t>
  </si>
  <si>
    <t>Servicio de Recaudación, Traslado y Custodia de valores</t>
  </si>
  <si>
    <t>Servicios financieros y bancarios</t>
  </si>
  <si>
    <t>Servicios financieros, bancarios y comerciales</t>
  </si>
  <si>
    <t>Servicios profesionales, cientificos y tecnicos integrales</t>
  </si>
  <si>
    <t>Servicios Profesionales, científicos y técnicos integrales</t>
  </si>
  <si>
    <t>Servicios de vigilancia</t>
  </si>
  <si>
    <t>Servicio de fotocopiado en las instalaciones de las dependencias y entidades</t>
  </si>
  <si>
    <t>Licitaciones, convenios y convocatorias</t>
  </si>
  <si>
    <t>Impresiones y publicaciones oficiales</t>
  </si>
  <si>
    <t>Apoyos a Comisarios Públicos</t>
  </si>
  <si>
    <t>Servicios de apoyo administrativo, traducción, fotocopiado e impresión</t>
  </si>
  <si>
    <t>Servicios de capacitación</t>
  </si>
  <si>
    <t>servicios de Consultorias</t>
  </si>
  <si>
    <t>Servicios de Informática</t>
  </si>
  <si>
    <t>Servicios de consultoria administrativa, procesos, tecnica y en tecnologias de la informacion</t>
  </si>
  <si>
    <t>Servicios de Diseño, Arquitectura, Ingeniería y Actividades Relacionadas</t>
  </si>
  <si>
    <t>Servicios legales, de contabilidad, auditorias y relacionados</t>
  </si>
  <si>
    <t>Servicios profesionales, científicos, técnicos y otros servicios</t>
  </si>
  <si>
    <t>Otros Arrendamientos</t>
  </si>
  <si>
    <t>Arrendamiento maquinaria, otros equipos y herramientas</t>
  </si>
  <si>
    <t>Arrendamiento de Equipo de Transporte</t>
  </si>
  <si>
    <t>Arrendamiento de Equipo y Bienes Informaticos</t>
  </si>
  <si>
    <t>Arrendamiento de Muebles, Maquinaria y Equipo</t>
  </si>
  <si>
    <t>Arrendamiento de mobiliario y equipo de administración, educacional y recreativo</t>
  </si>
  <si>
    <t>Arrendamiento de Edificios</t>
  </si>
  <si>
    <t>Arrendamiento de Terrenos</t>
  </si>
  <si>
    <t>Servicio de arrendamiento</t>
  </si>
  <si>
    <t>Servicio postal</t>
  </si>
  <si>
    <t>Servicios postales y telegráficos</t>
  </si>
  <si>
    <t>Servicios de acceso a internet, redes y procesamiento de información</t>
  </si>
  <si>
    <t>Servicio de Telecomunicaciones y Satelites</t>
  </si>
  <si>
    <t>Telefonía celular</t>
  </si>
  <si>
    <t>Telefonía tradicional</t>
  </si>
  <si>
    <t>Agua Potable</t>
  </si>
  <si>
    <t>Agua</t>
  </si>
  <si>
    <t>Gas</t>
  </si>
  <si>
    <t>Energía eléctrica</t>
  </si>
  <si>
    <t>Servicios básicos</t>
  </si>
  <si>
    <t>Servicios generales</t>
  </si>
  <si>
    <t>Refacciones y Accesorios Menores de Maquinaria Y Otros Equipos</t>
  </si>
  <si>
    <t>Refacciones y accesorios menores de equipo de trasporte</t>
  </si>
  <si>
    <t>REFACC Y ACCES MENORES EQ E INST MEDICO Y DE LABOR</t>
  </si>
  <si>
    <t>Refacciones y accesorios menores de equipo e instrumental médico y de laboratorio</t>
  </si>
  <si>
    <t>Refacciones y accesorios menores de equipo de computo y tecnologías de la información</t>
  </si>
  <si>
    <t>Refacciones y accesorios menores de mobiliario y equipo de administracion, educaconal y recrwativo</t>
  </si>
  <si>
    <t>Refacciones y accesorios menores de mobiliario y equipo de administracion, educaconal y recreativo</t>
  </si>
  <si>
    <t>Refacciones y Accesorios Menores de Edificios</t>
  </si>
  <si>
    <t>Herramientas menores</t>
  </si>
  <si>
    <t>Herramientas, refacciones y accesorios menores</t>
  </si>
  <si>
    <t>Prendas de seguridad y protección personal</t>
  </si>
  <si>
    <t>Vestuario y uniformes</t>
  </si>
  <si>
    <t>Vestuario, blancos, prendas de protección y artículos deportivos</t>
  </si>
  <si>
    <t>Lubricantes y aditivos</t>
  </si>
  <si>
    <t>Combustibles</t>
  </si>
  <si>
    <t>Combustibles, lubricantes y aditivos</t>
  </si>
  <si>
    <t>Otros Productos Quimicos</t>
  </si>
  <si>
    <t>Materiales, accesorios y suministro de laboratorios</t>
  </si>
  <si>
    <t>Medicinas y productos farmacéuticos</t>
  </si>
  <si>
    <t>Fertilizantes, Pesticidas y otros Agroquímicos</t>
  </si>
  <si>
    <t>Productos quimicos basicos</t>
  </si>
  <si>
    <t>Productos químicos, farmacéuticos y de laboratorio</t>
  </si>
  <si>
    <t>Otros materiales y artículos de construcción y reparación</t>
  </si>
  <si>
    <t>Materiales y complementarios</t>
  </si>
  <si>
    <t>Material eléctrico y electrónico</t>
  </si>
  <si>
    <t>Vidrio y productos de vidrio</t>
  </si>
  <si>
    <t>Madera y productos de madera</t>
  </si>
  <si>
    <t>Yeso, cal y productos de yeso</t>
  </si>
  <si>
    <t>Cal, yeso y productos de yeso</t>
  </si>
  <si>
    <t>Cemento y productos de concreto</t>
  </si>
  <si>
    <t>Materiales y artículos de construcción y de reparación</t>
  </si>
  <si>
    <t>Otros productos adquiridos como Materia prima</t>
  </si>
  <si>
    <t>Materias primas y materiales de producción y comercializacion</t>
  </si>
  <si>
    <t>Utensilios para el servicio de alimentación</t>
  </si>
  <si>
    <t>Adquisición de agua potable</t>
  </si>
  <si>
    <t>Productos alimenticios para el personal en las instalaciones</t>
  </si>
  <si>
    <t>Productos alimenticios para personas</t>
  </si>
  <si>
    <t>Alimentos y utensilios</t>
  </si>
  <si>
    <t>Emision de Licencias de Conducir</t>
  </si>
  <si>
    <t>Placas, engomados, calcomanías y hologramas</t>
  </si>
  <si>
    <t>Materiales para el registro e identificación de bienes y personas</t>
  </si>
  <si>
    <t>Materiales educativos</t>
  </si>
  <si>
    <t>Materiales y utiles de enseñanza</t>
  </si>
  <si>
    <t>Material de limpieza</t>
  </si>
  <si>
    <t>Material para información</t>
  </si>
  <si>
    <t xml:space="preserve"> Material impreso e información digital</t>
  </si>
  <si>
    <t>Materiales y útiles para el procesamiento de equipos y bienes informáticos</t>
  </si>
  <si>
    <t>Materiales, útiles y equipos menores de tecnologías de la información y comunicación</t>
  </si>
  <si>
    <t>Materiales y útiles de impresión y reproducción</t>
  </si>
  <si>
    <t>Materiales, útiles y equipos menores de oficina</t>
  </si>
  <si>
    <t>Materiales de administración, Emision de documentos y articulos oficiales</t>
  </si>
  <si>
    <t>Materiales y suministros</t>
  </si>
  <si>
    <t>COMPENSACION POR TITULACION A NIVEL LICENCIATURA</t>
  </si>
  <si>
    <t>Bono por Puntualidad</t>
  </si>
  <si>
    <t xml:space="preserve">Estimulos al personal   </t>
  </si>
  <si>
    <t>Estimulos</t>
  </si>
  <si>
    <t>Pago de Estimulos a Servidores Publicos</t>
  </si>
  <si>
    <t>Otras prestaciones</t>
  </si>
  <si>
    <t>Otras prestaciones sociales y económicas</t>
  </si>
  <si>
    <t>BONO DE PRODUCTIVIDAD</t>
  </si>
  <si>
    <t>BONO DELEGACION SINDICAL</t>
  </si>
  <si>
    <t>APOYO MATERIA CONSTRUCCION</t>
  </si>
  <si>
    <t>BONO DEL DIA DEL PADRE</t>
  </si>
  <si>
    <t>BONO POR ANIVERSARIO SINDICAL</t>
  </si>
  <si>
    <t>COMPENSACION EN APOYO A LA DISCAPACIDAD</t>
  </si>
  <si>
    <t>Ayuda para Servicio de Transporte</t>
  </si>
  <si>
    <t>AYUDA PARA DESARROLLO Y CAPACITACION</t>
  </si>
  <si>
    <t>APOYO PARA UTILES ESCOLARES</t>
  </si>
  <si>
    <t>AYUDA PARA GUARDERIA A MADRES TRABAJADORAS</t>
  </si>
  <si>
    <t>Bono para despensa</t>
  </si>
  <si>
    <t>DIAS ECONOMICOS Y DE DESCANSO OBLICATORIOS NO DISF</t>
  </si>
  <si>
    <t>Prestaciones contractuales</t>
  </si>
  <si>
    <t>Pago de Liquidaciones</t>
  </si>
  <si>
    <t>Indemnizaciones al personal</t>
  </si>
  <si>
    <t>Indemnizaciones</t>
  </si>
  <si>
    <t>Aportaciones al Fondo de Ahorro de los Trabajadores</t>
  </si>
  <si>
    <t>Cuotas para el Fondo de Ahorro y Fondo de Trabajo</t>
  </si>
  <si>
    <t>Seguro por defuncion familiar</t>
  </si>
  <si>
    <t>Otras aportaciones de seguros colectivos</t>
  </si>
  <si>
    <t>Seguro por Retiro Estatal</t>
  </si>
  <si>
    <t>Aportaciones para seguros</t>
  </si>
  <si>
    <t>Pagas por defunción, pensiones y jubilaciones</t>
  </si>
  <si>
    <t>Aportaciones al sistema para el retiro</t>
  </si>
  <si>
    <t>Aportaciones por servicio medico del isssteson</t>
  </si>
  <si>
    <t>Otras prestaciones de seguridad social</t>
  </si>
  <si>
    <t>Aportaciones de seguridad social</t>
  </si>
  <si>
    <t>Estimulos al personal de confianza</t>
  </si>
  <si>
    <t>Compensaciones</t>
  </si>
  <si>
    <t>Remuneraciones por Horas Extraordinarias</t>
  </si>
  <si>
    <t>Horas Extraordinarias</t>
  </si>
  <si>
    <t>Compensación por bono navideño</t>
  </si>
  <si>
    <t>Compensación por ajuste de calendario</t>
  </si>
  <si>
    <t>Aguinaldo o gratificacion de fin de año</t>
  </si>
  <si>
    <t>Prima vacacional y dominical</t>
  </si>
  <si>
    <t>Primas de vacaciones, dominical y gratificación de fin de año</t>
  </si>
  <si>
    <t>Primas por años de servicios efectivos prestados</t>
  </si>
  <si>
    <t>Remuneraciones adicionales y especiales</t>
  </si>
  <si>
    <t xml:space="preserve">Honorarios  </t>
  </si>
  <si>
    <t>Honorarios asimilables a salarios</t>
  </si>
  <si>
    <t>Remuneraciones al personal de carácter transitorio</t>
  </si>
  <si>
    <t>Ayuda para energía electrica</t>
  </si>
  <si>
    <t>Ayuda para despensa</t>
  </si>
  <si>
    <t>Ayuda para habitación</t>
  </si>
  <si>
    <t>Riesgo laboral</t>
  </si>
  <si>
    <t>Remuneraciones por sustitucion de personal</t>
  </si>
  <si>
    <t>Remuneraciones Diversas</t>
  </si>
  <si>
    <t>Sueldo Diferencial por Zona</t>
  </si>
  <si>
    <t>Sueldos</t>
  </si>
  <si>
    <t>Sueldo base al personal permanente</t>
  </si>
  <si>
    <t>Remuneraciones al personal de carácter permanente</t>
  </si>
  <si>
    <t>Servicios personales</t>
  </si>
  <si>
    <t>AVANCE ANUAL (7=4/3)</t>
  </si>
  <si>
    <t>SUBEJERCIDO     (6=3-4)</t>
  </si>
  <si>
    <t>EGRESOS PAGADO ACUMULADO             ( 5 )</t>
  </si>
  <si>
    <t>EGRESOS DEVENGADO ACUMULADO                            ( 4 )</t>
  </si>
  <si>
    <t>EGRESOS MODIFICADO ANUAL    ( 3 )</t>
  </si>
  <si>
    <t>AMPLIACIONES/(REDUCCIONES)     ( 2 )</t>
  </si>
  <si>
    <t>EGRESOS APROBADOS        ( 1 )</t>
  </si>
  <si>
    <t>EJERCICIO DEL PRESUPUESTO POR                                    PARTIDA / DESCRIPCION</t>
  </si>
  <si>
    <t>CVE. PARTIDA PRESUPUESTAL</t>
  </si>
  <si>
    <t>Del 01 al 30 de Junio del 2020</t>
  </si>
  <si>
    <t>Comision Estatal del Agua</t>
  </si>
  <si>
    <t>Por Partida del Gasto</t>
  </si>
  <si>
    <t>Sistema Estatal de Evaluacion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</si>
  <si>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</si>
  <si>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</si>
  <si>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</si>
  <si>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</si>
  <si>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</si>
  <si>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</si>
  <si>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</si>
  <si>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</si>
  <si>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</si>
  <si>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</si>
  <si>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</si>
  <si>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</si>
  <si>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</si>
  <si>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(Clasificación de Servicios Personales por Categoría)</t>
  </si>
  <si>
    <t>Estado Analítico del Ejercicio de Presupuesto de Egresos- Detallado – LDF</t>
  </si>
  <si>
    <t>4. Total de Gasto Contable  (4=  1  -  2  +  3 )</t>
  </si>
  <si>
    <t>Otros Gastos Contables No Presupuestales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</si>
  <si>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</si>
  <si>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</si>
  <si>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</si>
  <si>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</si>
  <si>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</si>
  <si>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</si>
  <si>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3. Más Gastos Contables No Presupuestarios</t>
  </si>
  <si>
    <t>Otros Egresos Presupuestales No Contables</t>
  </si>
  <si>
    <t>Adeudos de Ejercicios Fiscales Anteriores (ADEFAS)</t>
  </si>
  <si>
    <t>Armonización de la Deuda Pública</t>
  </si>
  <si>
    <t>Arctivos Biológicos</t>
  </si>
  <si>
    <t xml:space="preserve">Materiales y Suministros </t>
  </si>
  <si>
    <t xml:space="preserve">Materias Primas y Materiales de Producción y Comercializacíon </t>
  </si>
  <si>
    <t xml:space="preserve">2. Menos Egresos Presupuestarios No Contables </t>
  </si>
  <si>
    <t>1. Total de Egresos Presupuestarios</t>
  </si>
  <si>
    <t>Conciliacion entre los Egresos Presupuestarios y los Gastos Contables</t>
  </si>
  <si>
    <t>"Bajo protesta de decir verdad declaramos que los Estados Financieros y sus Notas, son razonablemente correctos y son responsabilidad del emisor"</t>
  </si>
  <si>
    <t>TOTAL</t>
  </si>
  <si>
    <t>Total Otros Instrumentos de Deuda</t>
  </si>
  <si>
    <t>Otros Instrumentos de Deuda</t>
  </si>
  <si>
    <t>Total Créditos Bancarios</t>
  </si>
  <si>
    <t>BANCO BAJIO</t>
  </si>
  <si>
    <t>Créditos Bancarios</t>
  </si>
  <si>
    <t>C=A-B</t>
  </si>
  <si>
    <t>B</t>
  </si>
  <si>
    <t>A</t>
  </si>
  <si>
    <t>Endeudamiento Neto</t>
  </si>
  <si>
    <t>Amortización</t>
  </si>
  <si>
    <t>Contratacion / Colocación</t>
  </si>
  <si>
    <t>Identificacion del crédito o Instrumento</t>
  </si>
  <si>
    <t xml:space="preserve">                                                  (pesos)</t>
  </si>
  <si>
    <t>Total Intereses Otros Instrumentos de Deuda</t>
  </si>
  <si>
    <t>Total de Interéses Créditos Bancarios</t>
  </si>
  <si>
    <t>DEUDA PUBLICA</t>
  </si>
  <si>
    <t xml:space="preserve">                                                                                          </t>
  </si>
  <si>
    <t>Intereses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</si>
</sst>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(* #,##0_);_(* \(#,##0\);_(* &quot;-&quot;??_);_(@_)"/>
    <numFmt numFmtId="167" formatCode="_(* #,##0.00_);_(* \(#,##0.00\);_(* &quot;-&quot;??_);_(@_)"/>
    <numFmt numFmtId="168" formatCode="0.00_ ;\-0.00\ 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sz val="6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0" tint="-0.34998626667073579"/>
      <name val="Arial Narrow"/>
      <family val="2"/>
    </font>
    <font>
      <sz val="9"/>
      <color theme="0" tint="-0.34998626667073579"/>
      <name val="Arial Narrow"/>
      <family val="2"/>
    </font>
    <font>
      <b/>
      <vertAlign val="superscript"/>
      <sz val="9"/>
      <color theme="0" tint="-0.34998626667073579"/>
      <name val="Arial Narrow"/>
      <family val="2"/>
    </font>
    <font>
      <b/>
      <sz val="10"/>
      <color theme="0" tint="-0.34998626667073579"/>
      <name val="Arial Narrow"/>
      <family val="2"/>
    </font>
    <font>
      <vertAlign val="superscript"/>
      <sz val="9"/>
      <color theme="0" tint="-0.34998626667073579"/>
      <name val="Arial Narrow"/>
      <family val="2"/>
    </font>
    <font>
      <b/>
      <sz val="9"/>
      <color theme="0" tint="-0.34998626667073579"/>
      <name val="Arial Narrow"/>
      <family val="2"/>
    </font>
    <font>
      <b/>
      <sz val="8"/>
      <color theme="1"/>
      <name val="Arial Narrow"/>
      <family val="2"/>
    </font>
    <font>
      <b/>
      <i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.5"/>
      <color theme="1"/>
      <name val="Arial Narrow"/>
      <family val="2"/>
    </font>
    <font>
      <sz val="6"/>
      <color theme="1"/>
      <name val="Arial"/>
      <family val="2"/>
    </font>
    <font>
      <b/>
      <sz val="7.5"/>
      <color theme="1"/>
      <name val="Arial Narrow"/>
      <family val="2"/>
    </font>
    <font>
      <b/>
      <sz val="6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sz val="12"/>
      <color theme="0"/>
      <name val="Arial Narrow"/>
      <family val="2"/>
    </font>
    <font>
      <sz val="6.5"/>
      <color theme="1"/>
      <name val="Arial Narrow"/>
      <family val="2"/>
    </font>
    <font>
      <b/>
      <sz val="6.5"/>
      <color theme="1"/>
      <name val="Arial Narrow"/>
      <family val="2"/>
    </font>
    <font>
      <b/>
      <sz val="9"/>
      <color theme="0"/>
      <name val="Arial Narrow"/>
      <family val="2"/>
    </font>
    <font>
      <b/>
      <i/>
      <sz val="9"/>
      <color theme="3" tint="0.39997558519241921"/>
      <name val="Arial Narrow"/>
      <family val="2"/>
    </font>
    <font>
      <b/>
      <i/>
      <sz val="9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70C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8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top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" fontId="12" fillId="0" borderId="0" xfId="0" applyNumberFormat="1" applyFont="1" applyAlignment="1" applyProtection="1">
      <alignment vertical="center"/>
      <protection locked="0"/>
    </xf>
    <xf numFmtId="4" fontId="12" fillId="0" borderId="0" xfId="0" applyNumberFormat="1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2" xfId="0" applyNumberFormat="1" applyFont="1" applyBorder="1" applyAlignment="1" applyProtection="1">
      <alignment vertical="center"/>
      <protection locked="0"/>
    </xf>
    <xf numFmtId="4" fontId="7" fillId="0" borderId="3" xfId="0" applyNumberFormat="1" applyFont="1" applyBorder="1" applyAlignment="1" applyProtection="1">
      <alignment horizontal="right" vertical="center" wrapText="1"/>
      <protection locked="0"/>
    </xf>
    <xf numFmtId="4" fontId="9" fillId="0" borderId="4" xfId="0" applyNumberFormat="1" applyFont="1" applyBorder="1" applyAlignment="1" applyProtection="1">
      <alignment horizontal="right" vertical="center" wrapText="1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3" fontId="10" fillId="0" borderId="5" xfId="0" applyNumberFormat="1" applyFont="1" applyBorder="1" applyAlignment="1">
      <alignment horizontal="right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3" fontId="3" fillId="0" borderId="6" xfId="0" applyNumberFormat="1" applyFont="1" applyBorder="1" applyAlignment="1" applyProtection="1">
      <alignment horizontal="right" vertical="center"/>
      <protection locked="0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3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3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 applyProtection="1">
      <alignment horizontal="justify" vertical="center" wrapText="1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3" fontId="18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justify"/>
      <protection locked="0"/>
    </xf>
    <xf numFmtId="3" fontId="3" fillId="0" borderId="8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 indent="1"/>
      <protection locked="0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3" fontId="3" fillId="0" borderId="9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left" vertical="center" indent="1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justify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3" fontId="9" fillId="0" borderId="4" xfId="0" applyNumberFormat="1" applyFont="1" applyBorder="1" applyAlignment="1" applyProtection="1">
      <alignment horizontal="justify" vertical="center" wrapText="1"/>
      <protection locked="0"/>
    </xf>
    <xf numFmtId="0" fontId="9" fillId="0" borderId="4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>
      <alignment vertical="center"/>
    </xf>
    <xf numFmtId="3" fontId="10" fillId="0" borderId="6" xfId="0" applyNumberFormat="1" applyFont="1" applyBorder="1" applyAlignment="1">
      <alignment horizontal="right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 applyProtection="1">
      <alignment horizontal="right" vertical="center" wrapText="1"/>
      <protection locked="0"/>
    </xf>
    <xf numFmtId="0" fontId="3" fillId="0" borderId="17" xfId="0" applyFont="1" applyBorder="1" applyAlignment="1" applyProtection="1">
      <alignment horizontal="justify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3" fontId="3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 applyProtection="1">
      <alignment horizontal="justify" vertical="center" wrapText="1"/>
      <protection locked="0"/>
    </xf>
    <xf numFmtId="0" fontId="3" fillId="0" borderId="10" xfId="0" applyFont="1" applyBorder="1" applyAlignment="1" applyProtection="1">
      <alignment horizontal="justify" vertical="center" wrapText="1"/>
      <protection locked="0"/>
    </xf>
    <xf numFmtId="4" fontId="10" fillId="0" borderId="8" xfId="0" applyNumberFormat="1" applyFont="1" applyBorder="1" applyAlignment="1">
      <alignment horizontal="right" vertical="center" wrapText="1"/>
    </xf>
    <xf numFmtId="4" fontId="10" fillId="0" borderId="8" xfId="0" applyNumberFormat="1" applyFont="1" applyBorder="1" applyAlignment="1" applyProtection="1">
      <alignment horizontal="right" vertical="center" wrapText="1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right" vertical="top"/>
      <protection locked="0"/>
    </xf>
    <xf numFmtId="0" fontId="20" fillId="0" borderId="17" xfId="0" applyFont="1" applyBorder="1" applyAlignment="1" applyProtection="1">
      <alignment vertical="center" wrapText="1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43" fontId="24" fillId="0" borderId="5" xfId="0" applyNumberFormat="1" applyFont="1" applyBorder="1" applyAlignment="1">
      <alignment horizontal="right" vertical="center"/>
    </xf>
    <xf numFmtId="0" fontId="25" fillId="0" borderId="24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43" fontId="26" fillId="0" borderId="9" xfId="0" applyNumberFormat="1" applyFont="1" applyBorder="1" applyAlignment="1">
      <alignment horizontal="right" vertical="center"/>
    </xf>
    <xf numFmtId="0" fontId="26" fillId="0" borderId="2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43" fontId="24" fillId="0" borderId="9" xfId="0" applyNumberFormat="1" applyFont="1" applyBorder="1" applyAlignment="1">
      <alignment horizontal="right" vertical="center"/>
    </xf>
    <xf numFmtId="43" fontId="24" fillId="0" borderId="9" xfId="0" applyNumberFormat="1" applyFont="1" applyBorder="1" applyAlignment="1" applyProtection="1">
      <alignment horizontal="right" vertical="center"/>
      <protection locked="0"/>
    </xf>
    <xf numFmtId="0" fontId="24" fillId="0" borderId="25" xfId="0" applyFont="1" applyBorder="1" applyAlignment="1">
      <alignment horizontal="left" vertical="justify"/>
    </xf>
    <xf numFmtId="0" fontId="24" fillId="0" borderId="0" xfId="0" applyFont="1" applyAlignment="1">
      <alignment horizontal="left" vertical="justify"/>
    </xf>
    <xf numFmtId="0" fontId="24" fillId="0" borderId="25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43" fontId="24" fillId="0" borderId="8" xfId="0" applyNumberFormat="1" applyFont="1" applyBorder="1" applyAlignment="1" applyProtection="1">
      <alignment horizontal="right" vertical="center"/>
      <protection locked="0"/>
    </xf>
    <xf numFmtId="0" fontId="24" fillId="0" borderId="25" xfId="0" applyFont="1" applyBorder="1" applyAlignment="1">
      <alignment horizontal="left" vertical="justify"/>
    </xf>
    <xf numFmtId="0" fontId="24" fillId="0" borderId="0" xfId="0" applyFont="1" applyAlignment="1">
      <alignment horizontal="left" vertical="center"/>
    </xf>
    <xf numFmtId="43" fontId="24" fillId="0" borderId="5" xfId="0" applyNumberFormat="1" applyFont="1" applyBorder="1" applyAlignment="1" applyProtection="1">
      <alignment horizontal="right" vertical="center"/>
      <protection locked="0"/>
    </xf>
    <xf numFmtId="0" fontId="24" fillId="0" borderId="24" xfId="0" applyFont="1" applyBorder="1" applyAlignment="1">
      <alignment horizontal="left" vertical="justify"/>
    </xf>
    <xf numFmtId="0" fontId="24" fillId="0" borderId="17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43" fontId="24" fillId="3" borderId="9" xfId="0" applyNumberFormat="1" applyFont="1" applyFill="1" applyBorder="1" applyAlignment="1">
      <alignment horizontal="right" vertical="center"/>
    </xf>
    <xf numFmtId="43" fontId="26" fillId="0" borderId="26" xfId="0" applyNumberFormat="1" applyFont="1" applyBorder="1" applyAlignment="1">
      <alignment horizontal="right" vertical="center"/>
    </xf>
    <xf numFmtId="0" fontId="24" fillId="0" borderId="25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10" xfId="0" applyFont="1" applyBorder="1" applyAlignment="1">
      <alignment vertical="center"/>
    </xf>
    <xf numFmtId="43" fontId="24" fillId="0" borderId="8" xfId="0" applyNumberFormat="1" applyFont="1" applyBorder="1" applyAlignment="1">
      <alignment horizontal="right" vertical="center"/>
    </xf>
    <xf numFmtId="0" fontId="24" fillId="0" borderId="25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24" xfId="0" applyFont="1" applyBorder="1" applyAlignment="1">
      <alignment horizontal="left" vertical="center"/>
    </xf>
    <xf numFmtId="43" fontId="24" fillId="0" borderId="26" xfId="0" applyNumberFormat="1" applyFont="1" applyBorder="1" applyAlignment="1">
      <alignment horizontal="right" vertical="center"/>
    </xf>
    <xf numFmtId="0" fontId="24" fillId="0" borderId="10" xfId="0" applyFont="1" applyBorder="1" applyAlignment="1">
      <alignment horizontal="left" vertical="center"/>
    </xf>
    <xf numFmtId="0" fontId="24" fillId="0" borderId="9" xfId="0" applyFont="1" applyBorder="1" applyAlignment="1">
      <alignment horizontal="right" vertical="center"/>
    </xf>
    <xf numFmtId="0" fontId="26" fillId="0" borderId="9" xfId="0" applyFont="1" applyBorder="1" applyAlignment="1">
      <alignment horizontal="left" vertical="center"/>
    </xf>
    <xf numFmtId="0" fontId="25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justify" vertical="center"/>
    </xf>
    <xf numFmtId="0" fontId="24" fillId="0" borderId="4" xfId="0" applyFont="1" applyBorder="1" applyAlignment="1">
      <alignment horizontal="justify" vertical="center"/>
    </xf>
    <xf numFmtId="0" fontId="24" fillId="0" borderId="11" xfId="0" applyFont="1" applyBorder="1" applyAlignment="1">
      <alignment horizontal="justify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justify"/>
    </xf>
    <xf numFmtId="0" fontId="26" fillId="2" borderId="5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justify"/>
    </xf>
    <xf numFmtId="0" fontId="26" fillId="2" borderId="9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0" fontId="29" fillId="2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0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4" fontId="20" fillId="4" borderId="27" xfId="0" applyNumberFormat="1" applyFont="1" applyFill="1" applyBorder="1" applyAlignment="1">
      <alignment horizontal="right" vertical="center" wrapText="1"/>
    </xf>
    <xf numFmtId="0" fontId="31" fillId="4" borderId="28" xfId="0" applyFont="1" applyFill="1" applyBorder="1" applyAlignment="1" applyProtection="1">
      <alignment horizontal="justify" vertical="center"/>
      <protection locked="0"/>
    </xf>
    <xf numFmtId="0" fontId="32" fillId="4" borderId="28" xfId="0" applyFont="1" applyFill="1" applyBorder="1" applyAlignment="1" applyProtection="1">
      <alignment vertical="center"/>
      <protection locked="0"/>
    </xf>
    <xf numFmtId="0" fontId="32" fillId="4" borderId="16" xfId="0" applyFont="1" applyFill="1" applyBorder="1" applyAlignment="1" applyProtection="1">
      <alignment vertical="center"/>
      <protection locked="0"/>
    </xf>
    <xf numFmtId="4" fontId="31" fillId="5" borderId="29" xfId="0" applyNumberFormat="1" applyFont="1" applyFill="1" applyBorder="1" applyAlignment="1">
      <alignment horizontal="right" vertical="center"/>
    </xf>
    <xf numFmtId="0" fontId="31" fillId="5" borderId="30" xfId="0" applyFont="1" applyFill="1" applyBorder="1" applyAlignment="1" applyProtection="1">
      <alignment horizontal="right" vertical="center"/>
      <protection locked="0"/>
    </xf>
    <xf numFmtId="0" fontId="33" fillId="5" borderId="31" xfId="0" applyFont="1" applyFill="1" applyBorder="1" applyAlignment="1" applyProtection="1">
      <alignment horizontal="justify" vertical="center"/>
      <protection locked="0"/>
    </xf>
    <xf numFmtId="0" fontId="31" fillId="5" borderId="10" xfId="0" applyFont="1" applyFill="1" applyBorder="1" applyAlignment="1" applyProtection="1">
      <alignment horizontal="justify" vertical="center"/>
      <protection locked="0"/>
    </xf>
    <xf numFmtId="0" fontId="20" fillId="0" borderId="30" xfId="0" applyFont="1" applyBorder="1" applyAlignment="1" applyProtection="1">
      <alignment horizontal="right" vertical="center" wrapText="1"/>
      <protection locked="0"/>
    </xf>
    <xf numFmtId="0" fontId="34" fillId="5" borderId="32" xfId="0" applyFont="1" applyFill="1" applyBorder="1" applyAlignment="1" applyProtection="1">
      <alignment horizontal="justify" vertical="center"/>
      <protection locked="0"/>
    </xf>
    <xf numFmtId="0" fontId="31" fillId="5" borderId="10" xfId="0" applyFont="1" applyFill="1" applyBorder="1" applyAlignment="1" applyProtection="1">
      <alignment vertical="center"/>
      <protection locked="0"/>
    </xf>
    <xf numFmtId="0" fontId="33" fillId="5" borderId="32" xfId="0" applyFont="1" applyFill="1" applyBorder="1" applyAlignment="1" applyProtection="1">
      <alignment horizontal="justify" vertical="center"/>
      <protection locked="0"/>
    </xf>
    <xf numFmtId="0" fontId="33" fillId="5" borderId="33" xfId="0" applyFont="1" applyFill="1" applyBorder="1" applyAlignment="1" applyProtection="1">
      <alignment horizontal="justify" vertical="center"/>
      <protection locked="0"/>
    </xf>
    <xf numFmtId="4" fontId="20" fillId="0" borderId="27" xfId="0" applyNumberFormat="1" applyFont="1" applyBorder="1" applyAlignment="1">
      <alignment horizontal="right" vertical="center" wrapText="1"/>
    </xf>
    <xf numFmtId="0" fontId="31" fillId="5" borderId="28" xfId="0" applyFont="1" applyFill="1" applyBorder="1" applyAlignment="1" applyProtection="1">
      <alignment horizontal="justify" vertical="center"/>
      <protection locked="0"/>
    </xf>
    <xf numFmtId="0" fontId="32" fillId="5" borderId="28" xfId="0" applyFont="1" applyFill="1" applyBorder="1" applyAlignment="1" applyProtection="1">
      <alignment vertical="center"/>
      <protection locked="0"/>
    </xf>
    <xf numFmtId="0" fontId="32" fillId="5" borderId="16" xfId="0" applyFont="1" applyFill="1" applyBorder="1" applyAlignment="1" applyProtection="1">
      <alignment vertical="center"/>
      <protection locked="0"/>
    </xf>
    <xf numFmtId="4" fontId="31" fillId="5" borderId="5" xfId="0" applyNumberFormat="1" applyFont="1" applyFill="1" applyBorder="1" applyAlignment="1" applyProtection="1">
      <alignment horizontal="right" vertical="center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35" fillId="5" borderId="17" xfId="0" applyFont="1" applyFill="1" applyBorder="1" applyAlignment="1" applyProtection="1">
      <alignment horizontal="justify" vertical="center"/>
      <protection locked="0"/>
    </xf>
    <xf numFmtId="0" fontId="32" fillId="5" borderId="7" xfId="0" applyFont="1" applyFill="1" applyBorder="1" applyAlignment="1" applyProtection="1">
      <alignment horizontal="left" vertical="center"/>
      <protection locked="0"/>
    </xf>
    <xf numFmtId="4" fontId="31" fillId="5" borderId="3" xfId="0" applyNumberFormat="1" applyFont="1" applyFill="1" applyBorder="1" applyAlignment="1" applyProtection="1">
      <alignment horizontal="right" vertical="center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33" fillId="5" borderId="4" xfId="0" applyFont="1" applyFill="1" applyBorder="1" applyAlignment="1" applyProtection="1">
      <alignment horizontal="justify" vertical="center"/>
      <protection locked="0"/>
    </xf>
    <xf numFmtId="0" fontId="31" fillId="5" borderId="11" xfId="0" applyFont="1" applyFill="1" applyBorder="1" applyAlignment="1" applyProtection="1">
      <alignment horizontal="justify" vertical="center"/>
      <protection locked="0"/>
    </xf>
    <xf numFmtId="4" fontId="31" fillId="5" borderId="34" xfId="0" applyNumberFormat="1" applyFont="1" applyFill="1" applyBorder="1" applyAlignment="1">
      <alignment horizontal="right" vertical="center"/>
    </xf>
    <xf numFmtId="43" fontId="20" fillId="0" borderId="35" xfId="0" applyNumberFormat="1" applyFont="1" applyBorder="1" applyAlignment="1" applyProtection="1">
      <alignment horizontal="right" vertical="center" wrapText="1"/>
      <protection locked="0"/>
    </xf>
    <xf numFmtId="0" fontId="34" fillId="5" borderId="31" xfId="0" applyFont="1" applyFill="1" applyBorder="1" applyAlignment="1" applyProtection="1">
      <alignment horizontal="justify" vertical="center"/>
      <protection locked="0"/>
    </xf>
    <xf numFmtId="0" fontId="31" fillId="5" borderId="7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left"/>
    </xf>
    <xf numFmtId="43" fontId="20" fillId="0" borderId="30" xfId="0" applyNumberFormat="1" applyFont="1" applyBorder="1" applyAlignment="1" applyProtection="1">
      <alignment horizontal="right" vertical="center" wrapText="1"/>
      <protection locked="0"/>
    </xf>
    <xf numFmtId="0" fontId="32" fillId="5" borderId="10" xfId="0" applyFont="1" applyFill="1" applyBorder="1" applyAlignment="1" applyProtection="1">
      <alignment horizontal="justify"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4" fontId="20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20" fillId="2" borderId="17" xfId="0" applyFont="1" applyFill="1" applyBorder="1" applyAlignment="1" applyProtection="1">
      <alignment horizontal="center" vertical="center" wrapText="1"/>
      <protection locked="0"/>
    </xf>
    <xf numFmtId="0" fontId="20" fillId="2" borderId="17" xfId="0" applyFont="1" applyFill="1" applyBorder="1" applyAlignment="1" applyProtection="1">
      <alignment horizontal="left" vertical="center"/>
      <protection locked="0"/>
    </xf>
    <xf numFmtId="0" fontId="20" fillId="2" borderId="7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vertical="center" wrapText="1"/>
    </xf>
    <xf numFmtId="4" fontId="20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left" vertical="center"/>
      <protection locked="0"/>
    </xf>
    <xf numFmtId="0" fontId="20" fillId="2" borderId="1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0" fillId="4" borderId="28" xfId="0" applyFont="1" applyFill="1" applyBorder="1" applyAlignment="1" applyProtection="1">
      <alignment horizontal="center" vertical="center" wrapText="1"/>
      <protection locked="0"/>
    </xf>
    <xf numFmtId="0" fontId="20" fillId="4" borderId="28" xfId="0" applyFont="1" applyFill="1" applyBorder="1" applyAlignment="1" applyProtection="1">
      <alignment horizontal="left" vertical="center"/>
      <protection locked="0"/>
    </xf>
    <xf numFmtId="0" fontId="20" fillId="4" borderId="16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top"/>
      <protection locked="0"/>
    </xf>
    <xf numFmtId="0" fontId="21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3" fontId="10" fillId="0" borderId="27" xfId="0" applyNumberFormat="1" applyFont="1" applyBorder="1" applyAlignment="1">
      <alignment horizontal="right" vertical="center" wrapText="1"/>
    </xf>
    <xf numFmtId="3" fontId="10" fillId="0" borderId="28" xfId="0" applyNumberFormat="1" applyFont="1" applyBorder="1" applyAlignment="1">
      <alignment horizontal="right" vertical="center" wrapText="1"/>
    </xf>
    <xf numFmtId="0" fontId="10" fillId="0" borderId="16" xfId="0" applyFont="1" applyBorder="1" applyAlignment="1">
      <alignment vertical="center" wrapText="1"/>
    </xf>
    <xf numFmtId="3" fontId="3" fillId="0" borderId="34" xfId="0" applyNumberFormat="1" applyFont="1" applyBorder="1" applyAlignment="1">
      <alignment horizontal="right" vertical="center" wrapText="1"/>
    </xf>
    <xf numFmtId="3" fontId="3" fillId="0" borderId="35" xfId="0" applyNumberFormat="1" applyFont="1" applyBorder="1" applyAlignment="1" applyProtection="1">
      <alignment horizontal="right" vertical="center" wrapText="1"/>
      <protection locked="0"/>
    </xf>
    <xf numFmtId="3" fontId="3" fillId="0" borderId="35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 wrapText="1" indent="3"/>
    </xf>
    <xf numFmtId="3" fontId="3" fillId="0" borderId="29" xfId="0" applyNumberFormat="1" applyFont="1" applyBorder="1" applyAlignment="1">
      <alignment horizontal="right" vertical="center" wrapText="1"/>
    </xf>
    <xf numFmtId="3" fontId="3" fillId="0" borderId="30" xfId="0" applyNumberFormat="1" applyFont="1" applyBorder="1" applyAlignment="1" applyProtection="1">
      <alignment horizontal="right" vertical="center" wrapText="1"/>
      <protection locked="0"/>
    </xf>
    <xf numFmtId="3" fontId="3" fillId="0" borderId="30" xfId="0" applyNumberFormat="1" applyFont="1" applyBorder="1" applyAlignment="1">
      <alignment horizontal="right" vertical="center" wrapText="1"/>
    </xf>
    <xf numFmtId="0" fontId="3" fillId="0" borderId="21" xfId="0" applyFont="1" applyBorder="1" applyAlignment="1">
      <alignment horizontal="left" vertical="center" wrapText="1" indent="3"/>
    </xf>
    <xf numFmtId="0" fontId="3" fillId="0" borderId="21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49" fontId="10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5" xfId="0" applyNumberFormat="1" applyFont="1" applyBorder="1" applyAlignment="1">
      <alignment horizontal="center" vertical="center" wrapText="1"/>
    </xf>
    <xf numFmtId="49" fontId="10" fillId="0" borderId="35" xfId="0" applyNumberFormat="1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2" borderId="37" xfId="0" applyFont="1" applyFill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>
      <alignment horizontal="center" vertical="center" wrapText="1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left" vertical="center"/>
      <protection locked="0"/>
    </xf>
    <xf numFmtId="0" fontId="37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17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43" fontId="38" fillId="0" borderId="8" xfId="0" applyNumberFormat="1" applyFont="1" applyBorder="1" applyAlignment="1">
      <alignment vertical="center"/>
    </xf>
    <xf numFmtId="0" fontId="38" fillId="0" borderId="9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43" fontId="37" fillId="0" borderId="9" xfId="0" applyNumberFormat="1" applyFont="1" applyBorder="1" applyAlignment="1">
      <alignment vertical="center"/>
    </xf>
    <xf numFmtId="43" fontId="37" fillId="0" borderId="8" xfId="0" applyNumberFormat="1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43" fontId="37" fillId="0" borderId="8" xfId="0" applyNumberFormat="1" applyFont="1" applyBorder="1" applyAlignment="1" applyProtection="1">
      <alignment vertical="center"/>
      <protection locked="0"/>
    </xf>
    <xf numFmtId="0" fontId="37" fillId="0" borderId="9" xfId="0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43" fontId="37" fillId="0" borderId="5" xfId="0" applyNumberFormat="1" applyFont="1" applyBorder="1" applyAlignment="1">
      <alignment vertical="center"/>
    </xf>
    <xf numFmtId="43" fontId="37" fillId="0" borderId="6" xfId="0" applyNumberFormat="1" applyFont="1" applyBorder="1" applyAlignment="1" applyProtection="1">
      <alignment vertical="center"/>
      <protection locked="0"/>
    </xf>
    <xf numFmtId="43" fontId="37" fillId="0" borderId="6" xfId="0" applyNumberFormat="1" applyFont="1" applyBorder="1" applyAlignment="1">
      <alignment vertical="center"/>
    </xf>
    <xf numFmtId="0" fontId="38" fillId="0" borderId="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9" fillId="0" borderId="0" xfId="0" applyFont="1" applyAlignment="1" applyProtection="1">
      <alignment vertical="center"/>
      <protection locked="0"/>
    </xf>
    <xf numFmtId="0" fontId="40" fillId="0" borderId="0" xfId="0" applyFont="1" applyAlignment="1" applyProtection="1">
      <alignment horizontal="right"/>
      <protection locked="0"/>
    </xf>
    <xf numFmtId="0" fontId="39" fillId="0" borderId="0" xfId="0" applyFont="1" applyAlignment="1" applyProtection="1">
      <alignment horizontal="left" vertical="justify" indent="3"/>
      <protection locked="0"/>
    </xf>
    <xf numFmtId="0" fontId="39" fillId="0" borderId="0" xfId="0" applyFont="1" applyAlignment="1" applyProtection="1">
      <alignment horizontal="justify"/>
      <protection locked="0"/>
    </xf>
    <xf numFmtId="0" fontId="39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/>
      <protection locked="0"/>
    </xf>
    <xf numFmtId="3" fontId="8" fillId="0" borderId="0" xfId="0" applyNumberFormat="1" applyFont="1" applyAlignment="1">
      <alignment horizontal="right" vertical="center" wrapText="1"/>
    </xf>
    <xf numFmtId="3" fontId="41" fillId="0" borderId="0" xfId="0" applyNumberFormat="1" applyFont="1" applyAlignment="1">
      <alignment horizontal="right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3" fontId="41" fillId="0" borderId="35" xfId="0" applyNumberFormat="1" applyFont="1" applyBorder="1" applyAlignment="1">
      <alignment horizontal="right" vertical="center" wrapText="1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3" fontId="30" fillId="0" borderId="34" xfId="0" applyNumberFormat="1" applyFont="1" applyBorder="1" applyAlignment="1">
      <alignment horizontal="right" vertical="center" wrapText="1"/>
    </xf>
    <xf numFmtId="3" fontId="30" fillId="0" borderId="35" xfId="0" applyNumberFormat="1" applyFont="1" applyBorder="1" applyAlignment="1" applyProtection="1">
      <alignment horizontal="right" vertical="center" wrapText="1"/>
      <protection locked="0"/>
    </xf>
    <xf numFmtId="3" fontId="30" fillId="0" borderId="35" xfId="0" applyNumberFormat="1" applyFont="1" applyBorder="1" applyAlignment="1">
      <alignment horizontal="right" vertical="center" wrapText="1"/>
    </xf>
    <xf numFmtId="0" fontId="3" fillId="0" borderId="19" xfId="0" applyFont="1" applyBorder="1" applyAlignment="1" applyProtection="1">
      <alignment horizontal="justify" vertical="center" wrapText="1"/>
      <protection locked="0"/>
    </xf>
    <xf numFmtId="3" fontId="30" fillId="0" borderId="29" xfId="0" applyNumberFormat="1" applyFont="1" applyBorder="1" applyAlignment="1">
      <alignment horizontal="right" vertical="center" wrapText="1"/>
    </xf>
    <xf numFmtId="3" fontId="30" fillId="0" borderId="30" xfId="0" applyNumberFormat="1" applyFont="1" applyBorder="1" applyAlignment="1" applyProtection="1">
      <alignment horizontal="right" vertical="center" wrapText="1"/>
      <protection locked="0"/>
    </xf>
    <xf numFmtId="3" fontId="30" fillId="0" borderId="30" xfId="0" applyNumberFormat="1" applyFont="1" applyBorder="1" applyAlignment="1">
      <alignment horizontal="right" vertical="center" wrapText="1"/>
    </xf>
    <xf numFmtId="0" fontId="3" fillId="0" borderId="21" xfId="0" applyFont="1" applyBorder="1" applyAlignment="1" applyProtection="1">
      <alignment horizontal="left" vertical="center" wrapText="1" indent="2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49" fontId="10" fillId="0" borderId="34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36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top"/>
      <protection locked="0"/>
    </xf>
    <xf numFmtId="43" fontId="42" fillId="0" borderId="0" xfId="1" applyFont="1" applyFill="1" applyAlignment="1" applyProtection="1">
      <alignment vertical="center"/>
      <protection locked="0"/>
    </xf>
    <xf numFmtId="0" fontId="10" fillId="0" borderId="16" xfId="0" applyFont="1" applyBorder="1" applyAlignment="1" applyProtection="1">
      <alignment horizontal="justify" vertical="center" wrapText="1"/>
      <protection locked="0"/>
    </xf>
    <xf numFmtId="3" fontId="30" fillId="0" borderId="29" xfId="0" applyNumberFormat="1" applyFont="1" applyBorder="1" applyAlignment="1" applyProtection="1">
      <alignment horizontal="right" vertical="center" wrapText="1"/>
      <protection locked="0"/>
    </xf>
    <xf numFmtId="0" fontId="30" fillId="0" borderId="21" xfId="0" applyFont="1" applyBorder="1" applyAlignment="1" applyProtection="1">
      <alignment horizontal="justify" vertical="center" wrapText="1"/>
      <protection locked="0"/>
    </xf>
    <xf numFmtId="3" fontId="30" fillId="2" borderId="29" xfId="0" applyNumberFormat="1" applyFont="1" applyFill="1" applyBorder="1" applyAlignment="1" applyProtection="1">
      <alignment horizontal="right" vertical="center" wrapText="1"/>
      <protection locked="0"/>
    </xf>
    <xf numFmtId="3" fontId="30" fillId="2" borderId="30" xfId="0" applyNumberFormat="1" applyFont="1" applyFill="1" applyBorder="1" applyAlignment="1" applyProtection="1">
      <alignment horizontal="right" vertical="center" wrapText="1"/>
      <protection locked="0"/>
    </xf>
    <xf numFmtId="164" fontId="30" fillId="0" borderId="0" xfId="0" applyNumberFormat="1" applyFont="1" applyAlignment="1" applyProtection="1">
      <alignment vertical="center"/>
      <protection locked="0"/>
    </xf>
    <xf numFmtId="3" fontId="30" fillId="6" borderId="30" xfId="0" applyNumberFormat="1" applyFont="1" applyFill="1" applyBorder="1" applyAlignment="1" applyProtection="1">
      <alignment horizontal="right" vertical="center" wrapText="1"/>
      <protection locked="0"/>
    </xf>
    <xf numFmtId="0" fontId="30" fillId="6" borderId="21" xfId="0" applyFont="1" applyFill="1" applyBorder="1" applyAlignment="1" applyProtection="1">
      <alignment horizontal="justify" vertical="center" wrapText="1"/>
      <protection locked="0"/>
    </xf>
    <xf numFmtId="3" fontId="30" fillId="7" borderId="30" xfId="0" applyNumberFormat="1" applyFont="1" applyFill="1" applyBorder="1" applyAlignment="1" applyProtection="1">
      <alignment horizontal="right" vertical="center" wrapText="1"/>
      <protection locked="0"/>
    </xf>
    <xf numFmtId="0" fontId="30" fillId="7" borderId="21" xfId="0" applyFont="1" applyFill="1" applyBorder="1" applyAlignment="1" applyProtection="1">
      <alignment horizontal="justify" vertical="center" wrapTex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17" fillId="0" borderId="34" xfId="0" applyNumberFormat="1" applyFont="1" applyBorder="1" applyAlignment="1" applyProtection="1">
      <alignment horizontal="center" vertical="center" wrapText="1"/>
      <protection locked="0"/>
    </xf>
    <xf numFmtId="49" fontId="17" fillId="0" borderId="35" xfId="0" applyNumberFormat="1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43" fontId="9" fillId="0" borderId="5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justify" vertical="center" wrapText="1"/>
    </xf>
    <xf numFmtId="0" fontId="43" fillId="0" borderId="0" xfId="0" applyFont="1"/>
    <xf numFmtId="0" fontId="17" fillId="0" borderId="0" xfId="0" applyFont="1" applyAlignment="1">
      <alignment vertical="center"/>
    </xf>
    <xf numFmtId="43" fontId="42" fillId="0" borderId="9" xfId="0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42" fillId="0" borderId="8" xfId="0" applyFont="1" applyBorder="1" applyAlignment="1">
      <alignment horizontal="justify" vertical="center" wrapText="1"/>
    </xf>
    <xf numFmtId="0" fontId="42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42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" fontId="10" fillId="0" borderId="34" xfId="0" applyNumberFormat="1" applyFont="1" applyBorder="1" applyAlignment="1">
      <alignment horizontal="right" vertical="center" wrapText="1"/>
    </xf>
    <xf numFmtId="3" fontId="10" fillId="0" borderId="35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justify" vertical="center" wrapText="1"/>
    </xf>
    <xf numFmtId="4" fontId="3" fillId="0" borderId="29" xfId="0" applyNumberFormat="1" applyFont="1" applyBorder="1" applyAlignment="1">
      <alignment horizontal="justify" vertical="center" wrapText="1"/>
    </xf>
    <xf numFmtId="4" fontId="3" fillId="0" borderId="30" xfId="0" applyNumberFormat="1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49" fontId="17" fillId="0" borderId="0" xfId="0" applyNumberFormat="1" applyFont="1" applyAlignment="1" applyProtection="1">
      <alignment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36" xfId="0" applyFont="1" applyBorder="1" applyAlignment="1" applyProtection="1">
      <alignment horizontal="center" vertical="center" wrapText="1"/>
      <protection locked="0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justify" vertical="center" wrapText="1"/>
      <protection locked="0"/>
    </xf>
    <xf numFmtId="3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 applyProtection="1">
      <alignment horizontal="right" vertical="center" wrapText="1"/>
      <protection locked="0"/>
    </xf>
    <xf numFmtId="3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 applyProtection="1">
      <alignment horizontal="justify" vertical="center" wrapText="1"/>
      <protection locked="0"/>
    </xf>
    <xf numFmtId="0" fontId="3" fillId="0" borderId="21" xfId="0" applyFont="1" applyBorder="1" applyAlignment="1" applyProtection="1">
      <alignment horizontal="left" vertical="center" wrapText="1" indent="1"/>
      <protection locked="0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 applyProtection="1">
      <alignment horizontal="right" vertical="center" wrapText="1"/>
      <protection locked="0"/>
    </xf>
    <xf numFmtId="4" fontId="3" fillId="0" borderId="30" xfId="0" applyNumberFormat="1" applyFont="1" applyBorder="1" applyAlignment="1">
      <alignment horizontal="right" vertical="center" wrapText="1"/>
    </xf>
    <xf numFmtId="0" fontId="3" fillId="0" borderId="21" xfId="0" applyFont="1" applyBorder="1" applyAlignment="1" applyProtection="1">
      <alignment horizontal="justify" vertical="center" wrapText="1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 indent="2"/>
      <protection locked="0"/>
    </xf>
    <xf numFmtId="3" fontId="3" fillId="0" borderId="27" xfId="0" applyNumberFormat="1" applyFont="1" applyBorder="1" applyAlignment="1">
      <alignment horizontal="right" vertical="center" wrapText="1"/>
    </xf>
    <xf numFmtId="3" fontId="3" fillId="0" borderId="28" xfId="0" applyNumberFormat="1" applyFont="1" applyBorder="1" applyAlignment="1">
      <alignment horizontal="right" vertical="center" wrapText="1"/>
    </xf>
    <xf numFmtId="0" fontId="3" fillId="0" borderId="21" xfId="0" applyFont="1" applyBorder="1" applyAlignment="1" applyProtection="1">
      <alignment horizontal="left" vertical="top" wrapText="1" indent="2"/>
      <protection locked="0"/>
    </xf>
    <xf numFmtId="3" fontId="10" fillId="0" borderId="29" xfId="0" applyNumberFormat="1" applyFont="1" applyBorder="1" applyAlignment="1">
      <alignment horizontal="right" vertical="center" wrapText="1"/>
    </xf>
    <xf numFmtId="3" fontId="10" fillId="0" borderId="30" xfId="0" applyNumberFormat="1" applyFont="1" applyBorder="1" applyAlignment="1">
      <alignment horizontal="right" vertical="center" wrapText="1"/>
    </xf>
    <xf numFmtId="0" fontId="10" fillId="0" borderId="21" xfId="0" applyFont="1" applyBorder="1" applyAlignment="1" applyProtection="1">
      <alignment vertical="center" wrapText="1"/>
      <protection locked="0"/>
    </xf>
    <xf numFmtId="4" fontId="2" fillId="0" borderId="29" xfId="0" applyNumberFormat="1" applyFont="1" applyBorder="1" applyAlignment="1" applyProtection="1">
      <alignment horizontal="justify" vertical="center" wrapText="1"/>
      <protection locked="0"/>
    </xf>
    <xf numFmtId="4" fontId="2" fillId="0" borderId="30" xfId="0" applyNumberFormat="1" applyFont="1" applyBorder="1" applyAlignment="1" applyProtection="1">
      <alignment horizontal="justify" vertical="center" wrapText="1"/>
      <protection locked="0"/>
    </xf>
    <xf numFmtId="0" fontId="2" fillId="0" borderId="21" xfId="0" applyFont="1" applyBorder="1" applyAlignment="1" applyProtection="1">
      <alignment horizontal="justify" vertical="center" wrapText="1"/>
      <protection locked="0"/>
    </xf>
    <xf numFmtId="4" fontId="8" fillId="0" borderId="34" xfId="0" applyNumberFormat="1" applyFont="1" applyBorder="1" applyAlignment="1" applyProtection="1">
      <alignment horizontal="center" vertical="center" wrapText="1"/>
      <protection locked="0"/>
    </xf>
    <xf numFmtId="4" fontId="8" fillId="0" borderId="35" xfId="0" applyNumberFormat="1" applyFont="1" applyBorder="1" applyAlignment="1" applyProtection="1">
      <alignment horizontal="center" vertical="center" wrapText="1"/>
      <protection locked="0"/>
    </xf>
    <xf numFmtId="4" fontId="8" fillId="0" borderId="36" xfId="0" applyNumberFormat="1" applyFont="1" applyBorder="1" applyAlignment="1" applyProtection="1">
      <alignment horizontal="center" vertical="center" wrapText="1"/>
      <protection locked="0"/>
    </xf>
    <xf numFmtId="4" fontId="8" fillId="0" borderId="37" xfId="0" applyNumberFormat="1" applyFont="1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4" fontId="20" fillId="0" borderId="0" xfId="0" applyNumberFormat="1" applyFont="1" applyAlignment="1" applyProtection="1">
      <alignment horizontal="right" vertical="top"/>
      <protection locked="0"/>
    </xf>
    <xf numFmtId="4" fontId="8" fillId="0" borderId="17" xfId="0" applyNumberFormat="1" applyFont="1" applyBorder="1" applyAlignment="1" applyProtection="1">
      <alignment horizontal="left" vertical="center"/>
      <protection locked="0"/>
    </xf>
    <xf numFmtId="43" fontId="42" fillId="0" borderId="0" xfId="0" applyNumberFormat="1" applyFont="1" applyAlignment="1">
      <alignment vertical="center"/>
    </xf>
    <xf numFmtId="43" fontId="42" fillId="0" borderId="0" xfId="0" applyNumberFormat="1" applyFont="1" applyAlignment="1" applyProtection="1">
      <alignment vertical="center"/>
      <protection locked="0"/>
    </xf>
    <xf numFmtId="0" fontId="42" fillId="0" borderId="0" xfId="0" applyFont="1" applyAlignment="1">
      <alignment horizontal="left" vertical="center"/>
    </xf>
    <xf numFmtId="43" fontId="42" fillId="0" borderId="5" xfId="0" applyNumberFormat="1" applyFont="1" applyBorder="1" applyAlignment="1">
      <alignment vertical="center"/>
    </xf>
    <xf numFmtId="0" fontId="42" fillId="0" borderId="5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43" fontId="42" fillId="0" borderId="9" xfId="0" applyNumberFormat="1" applyFont="1" applyBorder="1" applyAlignment="1">
      <alignment vertical="center"/>
    </xf>
    <xf numFmtId="43" fontId="42" fillId="0" borderId="9" xfId="0" applyNumberFormat="1" applyFont="1" applyBorder="1" applyAlignment="1" applyProtection="1">
      <alignment vertical="center"/>
      <protection locked="0"/>
    </xf>
    <xf numFmtId="0" fontId="42" fillId="0" borderId="9" xfId="0" applyFont="1" applyBorder="1" applyAlignment="1">
      <alignment horizontal="left" vertical="center"/>
    </xf>
    <xf numFmtId="0" fontId="42" fillId="0" borderId="10" xfId="0" applyFont="1" applyBorder="1" applyAlignment="1">
      <alignment horizontal="left" vertical="center"/>
    </xf>
    <xf numFmtId="43" fontId="42" fillId="0" borderId="5" xfId="0" applyNumberFormat="1" applyFont="1" applyBorder="1" applyAlignment="1" applyProtection="1">
      <alignment vertical="center"/>
      <protection locked="0"/>
    </xf>
    <xf numFmtId="0" fontId="17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43" fontId="17" fillId="0" borderId="9" xfId="0" applyNumberFormat="1" applyFont="1" applyBorder="1" applyAlignment="1" applyProtection="1">
      <alignment vertical="center"/>
      <protection locked="0"/>
    </xf>
    <xf numFmtId="0" fontId="17" fillId="0" borderId="9" xfId="0" applyFont="1" applyBorder="1" applyAlignment="1">
      <alignment horizontal="justify" vertical="center"/>
    </xf>
    <xf numFmtId="0" fontId="17" fillId="0" borderId="10" xfId="0" applyFont="1" applyBorder="1" applyAlignment="1">
      <alignment horizontal="justify" vertical="center"/>
    </xf>
    <xf numFmtId="43" fontId="17" fillId="0" borderId="9" xfId="0" applyNumberFormat="1" applyFont="1" applyBorder="1" applyAlignment="1">
      <alignment vertical="center"/>
    </xf>
    <xf numFmtId="0" fontId="17" fillId="0" borderId="25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44" fillId="0" borderId="0" xfId="0" applyFont="1"/>
    <xf numFmtId="43" fontId="44" fillId="0" borderId="0" xfId="3" applyFont="1"/>
    <xf numFmtId="0" fontId="0" fillId="2" borderId="0" xfId="0" applyFill="1"/>
    <xf numFmtId="43" fontId="0" fillId="2" borderId="0" xfId="0" applyNumberFormat="1" applyFill="1"/>
    <xf numFmtId="165" fontId="0" fillId="2" borderId="0" xfId="0" applyNumberFormat="1" applyFill="1"/>
    <xf numFmtId="9" fontId="0" fillId="2" borderId="0" xfId="2" applyFont="1" applyFill="1"/>
    <xf numFmtId="0" fontId="42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4" fillId="2" borderId="0" xfId="0" applyFont="1" applyFill="1"/>
    <xf numFmtId="165" fontId="44" fillId="2" borderId="0" xfId="0" applyNumberFormat="1" applyFont="1" applyFill="1"/>
    <xf numFmtId="165" fontId="28" fillId="2" borderId="0" xfId="0" applyNumberFormat="1" applyFont="1" applyFill="1"/>
    <xf numFmtId="43" fontId="42" fillId="2" borderId="39" xfId="0" applyNumberFormat="1" applyFont="1" applyFill="1" applyBorder="1" applyAlignment="1">
      <alignment vertical="center"/>
    </xf>
    <xf numFmtId="166" fontId="45" fillId="2" borderId="39" xfId="3" applyNumberFormat="1" applyFont="1" applyFill="1" applyBorder="1" applyAlignment="1">
      <alignment horizontal="right" vertical="center" indent="1"/>
    </xf>
    <xf numFmtId="166" fontId="46" fillId="2" borderId="39" xfId="3" applyNumberFormat="1" applyFont="1" applyFill="1" applyBorder="1" applyAlignment="1">
      <alignment horizontal="right" vertical="center" indent="1"/>
    </xf>
    <xf numFmtId="0" fontId="44" fillId="0" borderId="39" xfId="0" applyFont="1" applyBorder="1" applyAlignment="1">
      <alignment horizontal="left" vertical="center" wrapText="1"/>
    </xf>
    <xf numFmtId="0" fontId="44" fillId="0" borderId="39" xfId="0" applyFont="1" applyBorder="1" applyAlignment="1">
      <alignment horizontal="right" vertical="center"/>
    </xf>
    <xf numFmtId="0" fontId="28" fillId="0" borderId="39" xfId="0" applyFont="1" applyBorder="1" applyAlignment="1">
      <alignment horizontal="left" vertical="center" wrapText="1"/>
    </xf>
    <xf numFmtId="0" fontId="45" fillId="0" borderId="39" xfId="0" applyFont="1" applyBorder="1" applyAlignment="1">
      <alignment horizontal="right" vertical="center"/>
    </xf>
    <xf numFmtId="0" fontId="45" fillId="0" borderId="39" xfId="0" applyFont="1" applyBorder="1" applyAlignment="1">
      <alignment horizontal="left" vertical="center"/>
    </xf>
    <xf numFmtId="0" fontId="46" fillId="0" borderId="39" xfId="0" applyFont="1" applyBorder="1" applyAlignment="1">
      <alignment horizontal="right" vertical="center"/>
    </xf>
    <xf numFmtId="166" fontId="47" fillId="2" borderId="39" xfId="3" applyNumberFormat="1" applyFont="1" applyFill="1" applyBorder="1" applyAlignment="1">
      <alignment horizontal="right" vertical="center" indent="1"/>
    </xf>
    <xf numFmtId="0" fontId="45" fillId="0" borderId="39" xfId="0" applyFont="1" applyBorder="1" applyAlignment="1">
      <alignment horizontal="center" vertical="center"/>
    </xf>
    <xf numFmtId="0" fontId="46" fillId="0" borderId="39" xfId="0" applyFont="1" applyBorder="1" applyAlignment="1">
      <alignment horizontal="left" vertical="center" wrapText="1"/>
    </xf>
    <xf numFmtId="0" fontId="45" fillId="0" borderId="39" xfId="0" applyFont="1" applyBorder="1" applyAlignment="1">
      <alignment horizontal="left" vertical="center" wrapText="1"/>
    </xf>
    <xf numFmtId="166" fontId="44" fillId="0" borderId="0" xfId="0" applyNumberFormat="1" applyFont="1"/>
    <xf numFmtId="167" fontId="44" fillId="0" borderId="0" xfId="0" applyNumberFormat="1" applyFont="1"/>
    <xf numFmtId="0" fontId="28" fillId="0" borderId="39" xfId="0" applyFont="1" applyBorder="1" applyAlignment="1">
      <alignment horizontal="center" vertical="center"/>
    </xf>
    <xf numFmtId="0" fontId="28" fillId="0" borderId="39" xfId="0" applyFont="1" applyBorder="1" applyAlignment="1">
      <alignment horizontal="left" vertical="center"/>
    </xf>
    <xf numFmtId="4" fontId="46" fillId="0" borderId="39" xfId="0" applyNumberFormat="1" applyFont="1" applyBorder="1" applyAlignment="1">
      <alignment horizontal="left" vertical="center" wrapText="1"/>
    </xf>
    <xf numFmtId="0" fontId="46" fillId="0" borderId="39" xfId="0" applyFont="1" applyBorder="1" applyAlignment="1">
      <alignment vertical="center" wrapText="1"/>
    </xf>
    <xf numFmtId="4" fontId="44" fillId="0" borderId="39" xfId="0" applyNumberFormat="1" applyFont="1" applyBorder="1" applyAlignment="1">
      <alignment horizontal="left" vertical="center" wrapText="1"/>
    </xf>
    <xf numFmtId="4" fontId="28" fillId="0" borderId="39" xfId="0" applyNumberFormat="1" applyFont="1" applyBorder="1" applyAlignment="1">
      <alignment horizontal="left" vertical="center" wrapText="1"/>
    </xf>
    <xf numFmtId="0" fontId="45" fillId="0" borderId="39" xfId="0" applyFont="1" applyBorder="1" applyAlignment="1">
      <alignment horizontal="left" vertical="center" wrapText="1" indent="4"/>
    </xf>
    <xf numFmtId="0" fontId="45" fillId="0" borderId="39" xfId="0" applyFont="1" applyBorder="1" applyAlignment="1">
      <alignment horizontal="left" vertical="center" wrapText="1" indent="2"/>
    </xf>
    <xf numFmtId="0" fontId="44" fillId="0" borderId="39" xfId="0" applyFont="1" applyBorder="1" applyAlignment="1">
      <alignment vertical="center" wrapText="1"/>
    </xf>
    <xf numFmtId="0" fontId="45" fillId="0" borderId="39" xfId="0" applyFont="1" applyBorder="1" applyAlignment="1">
      <alignment horizontal="center" vertical="center" wrapText="1"/>
    </xf>
    <xf numFmtId="4" fontId="45" fillId="0" borderId="39" xfId="0" applyNumberFormat="1" applyFont="1" applyBorder="1" applyAlignment="1">
      <alignment horizontal="left" vertical="center" wrapText="1"/>
    </xf>
    <xf numFmtId="4" fontId="45" fillId="2" borderId="39" xfId="0" applyNumberFormat="1" applyFont="1" applyFill="1" applyBorder="1" applyAlignment="1">
      <alignment horizontal="left" vertical="center" wrapText="1"/>
    </xf>
    <xf numFmtId="0" fontId="45" fillId="2" borderId="39" xfId="0" applyFont="1" applyFill="1" applyBorder="1" applyAlignment="1">
      <alignment horizontal="left" vertical="center" wrapText="1" indent="4"/>
    </xf>
    <xf numFmtId="0" fontId="45" fillId="2" borderId="39" xfId="0" applyFont="1" applyFill="1" applyBorder="1" applyAlignment="1">
      <alignment horizontal="left" vertical="center" wrapText="1" indent="2"/>
    </xf>
    <xf numFmtId="4" fontId="46" fillId="2" borderId="39" xfId="0" applyNumberFormat="1" applyFont="1" applyFill="1" applyBorder="1" applyAlignment="1">
      <alignment horizontal="left" vertical="center" wrapText="1"/>
    </xf>
    <xf numFmtId="0" fontId="46" fillId="2" borderId="39" xfId="0" applyFont="1" applyFill="1" applyBorder="1" applyAlignment="1">
      <alignment vertical="center" wrapText="1"/>
    </xf>
    <xf numFmtId="0" fontId="45" fillId="2" borderId="39" xfId="0" applyFont="1" applyFill="1" applyBorder="1" applyAlignment="1">
      <alignment horizontal="left" vertical="center" wrapText="1"/>
    </xf>
    <xf numFmtId="43" fontId="45" fillId="2" borderId="39" xfId="3" applyFont="1" applyFill="1" applyBorder="1" applyAlignment="1">
      <alignment horizontal="right" vertical="center" indent="1"/>
    </xf>
    <xf numFmtId="0" fontId="44" fillId="2" borderId="39" xfId="0" applyFont="1" applyFill="1" applyBorder="1"/>
    <xf numFmtId="0" fontId="45" fillId="2" borderId="39" xfId="0" applyFont="1" applyFill="1" applyBorder="1" applyAlignment="1">
      <alignment horizontal="center" vertical="center" wrapText="1"/>
    </xf>
    <xf numFmtId="43" fontId="44" fillId="0" borderId="0" xfId="3" applyFont="1" applyFill="1"/>
    <xf numFmtId="9" fontId="48" fillId="2" borderId="40" xfId="2" applyFont="1" applyFill="1" applyBorder="1" applyAlignment="1">
      <alignment horizontal="center" vertical="center" wrapText="1"/>
    </xf>
    <xf numFmtId="43" fontId="48" fillId="2" borderId="41" xfId="0" applyNumberFormat="1" applyFont="1" applyFill="1" applyBorder="1" applyAlignment="1">
      <alignment horizontal="center" vertical="center" wrapText="1"/>
    </xf>
    <xf numFmtId="165" fontId="48" fillId="2" borderId="41" xfId="0" applyNumberFormat="1" applyFont="1" applyFill="1" applyBorder="1" applyAlignment="1">
      <alignment horizontal="center" vertical="center" wrapText="1"/>
    </xf>
    <xf numFmtId="165" fontId="48" fillId="2" borderId="41" xfId="0" applyNumberFormat="1" applyFont="1" applyFill="1" applyBorder="1" applyAlignment="1">
      <alignment horizontal="center" vertical="center"/>
    </xf>
    <xf numFmtId="165" fontId="48" fillId="2" borderId="41" xfId="3" applyNumberFormat="1" applyFont="1" applyFill="1" applyBorder="1" applyAlignment="1">
      <alignment horizontal="center" vertical="center"/>
    </xf>
    <xf numFmtId="0" fontId="48" fillId="0" borderId="41" xfId="0" applyFont="1" applyBorder="1" applyAlignment="1">
      <alignment horizontal="center" vertical="center" wrapText="1"/>
    </xf>
    <xf numFmtId="0" fontId="48" fillId="0" borderId="42" xfId="0" applyFont="1" applyBorder="1" applyAlignment="1">
      <alignment horizontal="center" vertical="center"/>
    </xf>
    <xf numFmtId="9" fontId="48" fillId="2" borderId="43" xfId="2" applyFont="1" applyFill="1" applyBorder="1" applyAlignment="1">
      <alignment horizontal="center" vertical="center" wrapText="1"/>
    </xf>
    <xf numFmtId="43" fontId="48" fillId="2" borderId="44" xfId="0" applyNumberFormat="1" applyFont="1" applyFill="1" applyBorder="1" applyAlignment="1">
      <alignment horizontal="center" vertical="center" wrapText="1"/>
    </xf>
    <xf numFmtId="165" fontId="48" fillId="2" borderId="44" xfId="0" applyNumberFormat="1" applyFont="1" applyFill="1" applyBorder="1" applyAlignment="1">
      <alignment horizontal="center" vertical="center" wrapText="1"/>
    </xf>
    <xf numFmtId="165" fontId="48" fillId="2" borderId="44" xfId="3" applyNumberFormat="1" applyFont="1" applyFill="1" applyBorder="1" applyAlignment="1">
      <alignment horizontal="center" vertical="center" wrapText="1"/>
    </xf>
    <xf numFmtId="0" fontId="48" fillId="0" borderId="44" xfId="0" applyFont="1" applyBorder="1" applyAlignment="1">
      <alignment horizontal="center" vertical="center" wrapText="1"/>
    </xf>
    <xf numFmtId="0" fontId="48" fillId="0" borderId="45" xfId="0" applyFont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top"/>
    </xf>
    <xf numFmtId="168" fontId="49" fillId="0" borderId="0" xfId="0" applyNumberFormat="1" applyFont="1" applyAlignment="1">
      <alignment horizontal="center"/>
    </xf>
    <xf numFmtId="168" fontId="50" fillId="0" borderId="0" xfId="0" applyNumberFormat="1" applyFont="1" applyAlignment="1">
      <alignment horizont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center" wrapText="1"/>
    </xf>
    <xf numFmtId="43" fontId="26" fillId="0" borderId="8" xfId="0" applyNumberFormat="1" applyFont="1" applyBorder="1" applyAlignment="1">
      <alignment horizontal="right" wrapText="1"/>
    </xf>
    <xf numFmtId="0" fontId="26" fillId="0" borderId="10" xfId="0" applyFont="1" applyBorder="1" applyAlignment="1">
      <alignment horizontal="left" vertical="center" wrapText="1"/>
    </xf>
    <xf numFmtId="43" fontId="26" fillId="0" borderId="9" xfId="0" applyNumberFormat="1" applyFont="1" applyBorder="1" applyAlignment="1">
      <alignment horizontal="right" wrapText="1"/>
    </xf>
    <xf numFmtId="43" fontId="26" fillId="0" borderId="9" xfId="0" applyNumberFormat="1" applyFont="1" applyBorder="1" applyAlignment="1" applyProtection="1">
      <alignment horizontal="right" wrapText="1"/>
      <protection locked="0"/>
    </xf>
    <xf numFmtId="43" fontId="26" fillId="0" borderId="8" xfId="0" applyNumberFormat="1" applyFont="1" applyBorder="1" applyAlignment="1" applyProtection="1">
      <alignment horizontal="right" wrapText="1"/>
      <protection locked="0"/>
    </xf>
    <xf numFmtId="0" fontId="24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 inden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0" fontId="28" fillId="2" borderId="0" xfId="0" applyFont="1" applyFill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Protection="1"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31" fillId="0" borderId="0" xfId="0" applyNumberFormat="1" applyFont="1" applyAlignment="1">
      <alignment horizontal="right" vertical="center"/>
    </xf>
    <xf numFmtId="0" fontId="31" fillId="0" borderId="0" xfId="0" applyFont="1" applyAlignment="1" applyProtection="1">
      <alignment horizontal="justify"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horizontal="justify" vertical="center"/>
      <protection locked="0"/>
    </xf>
    <xf numFmtId="43" fontId="31" fillId="0" borderId="28" xfId="1" applyFont="1" applyFill="1" applyBorder="1" applyAlignment="1" applyProtection="1">
      <alignment horizontal="justify" vertical="center"/>
      <protection locked="0"/>
    </xf>
    <xf numFmtId="0" fontId="32" fillId="0" borderId="16" xfId="0" applyFont="1" applyBorder="1" applyAlignment="1" applyProtection="1">
      <alignment vertical="center"/>
      <protection locked="0"/>
    </xf>
    <xf numFmtId="4" fontId="31" fillId="0" borderId="34" xfId="0" applyNumberFormat="1" applyFont="1" applyBorder="1" applyAlignment="1">
      <alignment horizontal="right" vertical="center"/>
    </xf>
    <xf numFmtId="43" fontId="31" fillId="0" borderId="35" xfId="1" applyFont="1" applyFill="1" applyBorder="1" applyAlignment="1" applyProtection="1">
      <alignment horizontal="justify" vertical="center"/>
      <protection locked="0"/>
    </xf>
    <xf numFmtId="0" fontId="33" fillId="0" borderId="19" xfId="0" applyFont="1" applyBorder="1" applyAlignment="1" applyProtection="1">
      <alignment horizontal="justify" vertical="center"/>
      <protection locked="0"/>
    </xf>
    <xf numFmtId="4" fontId="31" fillId="0" borderId="29" xfId="0" applyNumberFormat="1" applyFont="1" applyBorder="1" applyAlignment="1">
      <alignment horizontal="right" vertical="center"/>
    </xf>
    <xf numFmtId="43" fontId="2" fillId="0" borderId="30" xfId="1" applyFont="1" applyFill="1" applyBorder="1" applyAlignment="1" applyProtection="1">
      <alignment horizontal="right" vertical="center"/>
      <protection locked="0"/>
    </xf>
    <xf numFmtId="0" fontId="33" fillId="0" borderId="21" xfId="0" applyFont="1" applyBorder="1" applyAlignment="1" applyProtection="1">
      <alignment horizontal="left" vertical="center" indent="3"/>
      <protection locked="0"/>
    </xf>
    <xf numFmtId="4" fontId="20" fillId="4" borderId="36" xfId="0" applyNumberFormat="1" applyFont="1" applyFill="1" applyBorder="1" applyAlignment="1">
      <alignment horizontal="right" vertical="center" wrapText="1"/>
    </xf>
    <xf numFmtId="43" fontId="31" fillId="0" borderId="37" xfId="1" applyFont="1" applyFill="1" applyBorder="1" applyAlignment="1" applyProtection="1">
      <alignment horizontal="justify" vertical="center"/>
      <protection locked="0"/>
    </xf>
    <xf numFmtId="0" fontId="32" fillId="0" borderId="23" xfId="0" applyFont="1" applyBorder="1" applyAlignment="1" applyProtection="1">
      <alignment vertical="center"/>
      <protection locked="0"/>
    </xf>
    <xf numFmtId="4" fontId="31" fillId="0" borderId="17" xfId="0" applyNumberFormat="1" applyFont="1" applyBorder="1" applyAlignment="1">
      <alignment horizontal="right" vertical="center"/>
    </xf>
    <xf numFmtId="0" fontId="32" fillId="0" borderId="17" xfId="0" applyFont="1" applyBorder="1" applyAlignment="1" applyProtection="1">
      <alignment horizontal="left" vertical="center"/>
      <protection locked="0"/>
    </xf>
    <xf numFmtId="4" fontId="31" fillId="0" borderId="4" xfId="0" applyNumberFormat="1" applyFont="1" applyBorder="1" applyAlignment="1">
      <alignment horizontal="right" vertical="center"/>
    </xf>
    <xf numFmtId="0" fontId="33" fillId="0" borderId="4" xfId="0" applyFont="1" applyBorder="1" applyAlignment="1" applyProtection="1">
      <alignment horizontal="justify" vertical="center"/>
      <protection locked="0"/>
    </xf>
    <xf numFmtId="43" fontId="2" fillId="0" borderId="35" xfId="1" applyFont="1" applyFill="1" applyBorder="1" applyAlignment="1" applyProtection="1">
      <alignment horizontal="right" vertical="center"/>
      <protection locked="0"/>
    </xf>
    <xf numFmtId="0" fontId="31" fillId="0" borderId="37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4" fontId="20" fillId="0" borderId="17" xfId="0" applyNumberFormat="1" applyFont="1" applyBorder="1" applyAlignment="1">
      <alignment horizontal="right" vertical="center" wrapText="1"/>
    </xf>
    <xf numFmtId="0" fontId="20" fillId="0" borderId="17" xfId="0" applyFont="1" applyBorder="1" applyAlignment="1" applyProtection="1">
      <alignment horizontal="left" vertical="center"/>
      <protection locked="0"/>
    </xf>
    <xf numFmtId="4" fontId="20" fillId="0" borderId="4" xfId="0" applyNumberFormat="1" applyFont="1" applyBorder="1" applyAlignment="1">
      <alignment horizontal="right" vertical="center" wrapText="1"/>
    </xf>
    <xf numFmtId="0" fontId="20" fillId="0" borderId="4" xfId="0" applyFont="1" applyBorder="1" applyAlignment="1" applyProtection="1">
      <alignment horizontal="left" vertical="center"/>
      <protection locked="0"/>
    </xf>
    <xf numFmtId="0" fontId="20" fillId="0" borderId="28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vertical="center"/>
      <protection locked="0"/>
    </xf>
    <xf numFmtId="4" fontId="20" fillId="0" borderId="17" xfId="0" applyNumberFormat="1" applyFont="1" applyBorder="1" applyAlignment="1" applyProtection="1">
      <alignment horizontal="left" vertical="top"/>
      <protection locked="0"/>
    </xf>
    <xf numFmtId="4" fontId="20" fillId="0" borderId="17" xfId="0" applyNumberFormat="1" applyFont="1" applyBorder="1" applyAlignment="1" applyProtection="1">
      <alignment horizontal="right" vertical="top"/>
      <protection locked="0"/>
    </xf>
    <xf numFmtId="0" fontId="8" fillId="0" borderId="0" xfId="0" applyFont="1" applyAlignment="1" applyProtection="1">
      <alignment vertical="center"/>
      <protection locked="0"/>
    </xf>
    <xf numFmtId="0" fontId="51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52" fillId="0" borderId="0" xfId="0" applyFont="1" applyProtection="1">
      <protection locked="0"/>
    </xf>
    <xf numFmtId="4" fontId="53" fillId="0" borderId="0" xfId="0" applyNumberFormat="1" applyFont="1" applyAlignment="1">
      <alignment horizontal="right" vertical="center"/>
    </xf>
    <xf numFmtId="0" fontId="53" fillId="0" borderId="0" xfId="0" applyFont="1" applyAlignment="1" applyProtection="1">
      <alignment vertical="center"/>
      <protection locked="0"/>
    </xf>
    <xf numFmtId="0" fontId="53" fillId="0" borderId="0" xfId="0" applyFont="1" applyAlignment="1" applyProtection="1">
      <alignment horizontal="center" vertical="center"/>
      <protection locked="0"/>
    </xf>
    <xf numFmtId="0" fontId="30" fillId="0" borderId="0" xfId="0" applyFont="1" applyProtection="1">
      <protection locked="0"/>
    </xf>
    <xf numFmtId="4" fontId="53" fillId="0" borderId="27" xfId="0" applyNumberFormat="1" applyFont="1" applyBorder="1" applyAlignment="1">
      <alignment horizontal="right" vertical="center"/>
    </xf>
    <xf numFmtId="4" fontId="53" fillId="0" borderId="28" xfId="0" applyNumberFormat="1" applyFont="1" applyBorder="1" applyAlignment="1">
      <alignment horizontal="right" vertical="center"/>
    </xf>
    <xf numFmtId="0" fontId="53" fillId="0" borderId="47" xfId="0" applyFont="1" applyBorder="1" applyAlignment="1" applyProtection="1">
      <alignment vertical="center"/>
      <protection locked="0"/>
    </xf>
    <xf numFmtId="0" fontId="53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wrapText="1"/>
      <protection locked="0"/>
    </xf>
    <xf numFmtId="4" fontId="53" fillId="0" borderId="9" xfId="0" applyNumberFormat="1" applyFont="1" applyBorder="1" applyAlignment="1">
      <alignment horizontal="right" vertical="center"/>
    </xf>
    <xf numFmtId="4" fontId="53" fillId="0" borderId="32" xfId="0" applyNumberFormat="1" applyFont="1" applyBorder="1" applyAlignment="1">
      <alignment horizontal="right" vertical="center"/>
    </xf>
    <xf numFmtId="4" fontId="53" fillId="0" borderId="30" xfId="0" applyNumberFormat="1" applyFont="1" applyBorder="1" applyAlignment="1">
      <alignment horizontal="right" vertical="center"/>
    </xf>
    <xf numFmtId="0" fontId="53" fillId="0" borderId="32" xfId="0" applyFont="1" applyBorder="1" applyAlignment="1" applyProtection="1">
      <alignment horizontal="left" vertical="center" wrapText="1"/>
      <protection locked="0"/>
    </xf>
    <xf numFmtId="0" fontId="53" fillId="0" borderId="10" xfId="0" applyFont="1" applyBorder="1" applyAlignment="1" applyProtection="1">
      <alignment horizontal="center" vertical="center"/>
      <protection locked="0"/>
    </xf>
    <xf numFmtId="4" fontId="53" fillId="0" borderId="32" xfId="0" applyNumberFormat="1" applyFont="1" applyBorder="1" applyAlignment="1" applyProtection="1">
      <alignment horizontal="right" vertical="center"/>
      <protection locked="0"/>
    </xf>
    <xf numFmtId="4" fontId="53" fillId="0" borderId="30" xfId="0" applyNumberFormat="1" applyFont="1" applyBorder="1" applyAlignment="1" applyProtection="1">
      <alignment horizontal="right" vertical="center"/>
      <protection locked="0"/>
    </xf>
    <xf numFmtId="0" fontId="53" fillId="0" borderId="32" xfId="0" applyFont="1" applyBorder="1" applyAlignment="1" applyProtection="1">
      <alignment horizontal="center" vertical="center"/>
      <protection locked="0"/>
    </xf>
    <xf numFmtId="0" fontId="53" fillId="4" borderId="48" xfId="0" applyFont="1" applyFill="1" applyBorder="1" applyAlignment="1" applyProtection="1">
      <alignment horizontal="center" vertical="center"/>
      <protection locked="0"/>
    </xf>
    <xf numFmtId="0" fontId="53" fillId="4" borderId="49" xfId="0" applyFont="1" applyFill="1" applyBorder="1" applyAlignment="1" applyProtection="1">
      <alignment horizontal="center" vertical="center"/>
      <protection locked="0"/>
    </xf>
    <xf numFmtId="0" fontId="53" fillId="4" borderId="50" xfId="0" applyFont="1" applyFill="1" applyBorder="1" applyAlignment="1" applyProtection="1">
      <alignment horizontal="center" vertical="center"/>
      <protection locked="0"/>
    </xf>
    <xf numFmtId="0" fontId="53" fillId="0" borderId="32" xfId="0" applyFont="1" applyBorder="1" applyAlignment="1" applyProtection="1">
      <alignment horizontal="left" vertical="center"/>
      <protection locked="0"/>
    </xf>
    <xf numFmtId="0" fontId="53" fillId="4" borderId="51" xfId="0" applyFont="1" applyFill="1" applyBorder="1" applyAlignment="1" applyProtection="1">
      <alignment horizontal="center" vertical="center"/>
      <protection locked="0"/>
    </xf>
    <xf numFmtId="0" fontId="53" fillId="4" borderId="52" xfId="0" applyFont="1" applyFill="1" applyBorder="1" applyAlignment="1" applyProtection="1">
      <alignment horizontal="center" vertical="center"/>
      <protection locked="0"/>
    </xf>
    <xf numFmtId="0" fontId="53" fillId="4" borderId="53" xfId="0" applyFont="1" applyFill="1" applyBorder="1" applyAlignment="1" applyProtection="1">
      <alignment horizontal="center" vertical="center"/>
      <protection locked="0"/>
    </xf>
    <xf numFmtId="0" fontId="53" fillId="0" borderId="54" xfId="0" applyFont="1" applyBorder="1" applyAlignment="1" applyProtection="1">
      <alignment horizontal="center" vertical="center"/>
      <protection locked="0"/>
    </xf>
    <xf numFmtId="0" fontId="53" fillId="0" borderId="55" xfId="0" applyFont="1" applyBorder="1" applyAlignment="1" applyProtection="1">
      <alignment horizontal="center" vertical="center"/>
      <protection locked="0"/>
    </xf>
    <xf numFmtId="0" fontId="53" fillId="0" borderId="31" xfId="0" applyFont="1" applyBorder="1" applyAlignment="1" applyProtection="1">
      <alignment horizontal="center" vertical="center"/>
      <protection locked="0"/>
    </xf>
    <xf numFmtId="0" fontId="53" fillId="0" borderId="7" xfId="0" applyFont="1" applyBorder="1" applyAlignment="1" applyProtection="1">
      <alignment horizontal="center" vertical="center"/>
      <protection locked="0"/>
    </xf>
    <xf numFmtId="0" fontId="53" fillId="0" borderId="36" xfId="0" applyFont="1" applyBorder="1" applyAlignment="1" applyProtection="1">
      <alignment horizontal="center" vertical="center" wrapText="1"/>
      <protection locked="0"/>
    </xf>
    <xf numFmtId="0" fontId="53" fillId="0" borderId="37" xfId="0" applyFont="1" applyBorder="1" applyAlignment="1" applyProtection="1">
      <alignment horizontal="center" vertical="center" wrapText="1"/>
      <protection locked="0"/>
    </xf>
    <xf numFmtId="0" fontId="53" fillId="0" borderId="22" xfId="0" applyFont="1" applyBorder="1" applyAlignment="1" applyProtection="1">
      <alignment horizontal="center" vertical="center" wrapText="1"/>
      <protection locked="0"/>
    </xf>
    <xf numFmtId="0" fontId="53" fillId="0" borderId="33" xfId="0" applyFont="1" applyBorder="1" applyAlignment="1" applyProtection="1">
      <alignment horizontal="center" vertical="center"/>
      <protection locked="0"/>
    </xf>
    <xf numFmtId="0" fontId="53" fillId="0" borderId="11" xfId="0" applyFont="1" applyBorder="1" applyAlignment="1" applyProtection="1">
      <alignment horizontal="center" vertical="center"/>
      <protection locked="0"/>
    </xf>
    <xf numFmtId="0" fontId="54" fillId="0" borderId="0" xfId="0" applyFont="1" applyProtection="1">
      <protection locked="0"/>
    </xf>
    <xf numFmtId="0" fontId="54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 vertical="top"/>
    </xf>
    <xf numFmtId="4" fontId="53" fillId="0" borderId="1" xfId="0" applyNumberFormat="1" applyFont="1" applyBorder="1" applyAlignment="1">
      <alignment horizontal="right" vertical="center"/>
    </xf>
    <xf numFmtId="0" fontId="53" fillId="0" borderId="9" xfId="0" applyFont="1" applyBorder="1" applyAlignment="1" applyProtection="1">
      <alignment horizontal="center" vertical="center"/>
      <protection locked="0"/>
    </xf>
    <xf numFmtId="0" fontId="53" fillId="0" borderId="30" xfId="0" applyFont="1" applyBorder="1" applyAlignment="1" applyProtection="1">
      <alignment horizontal="center" vertical="center"/>
      <protection locked="0"/>
    </xf>
    <xf numFmtId="0" fontId="53" fillId="0" borderId="34" xfId="0" applyFont="1" applyBorder="1" applyAlignment="1" applyProtection="1">
      <alignment horizontal="center" vertical="center"/>
      <protection locked="0"/>
    </xf>
    <xf numFmtId="0" fontId="53" fillId="0" borderId="35" xfId="0" applyFont="1" applyBorder="1" applyAlignment="1" applyProtection="1">
      <alignment horizontal="center" vertical="center"/>
      <protection locked="0"/>
    </xf>
    <xf numFmtId="0" fontId="53" fillId="0" borderId="36" xfId="0" applyFont="1" applyBorder="1" applyAlignment="1" applyProtection="1">
      <alignment horizontal="center" vertical="center"/>
      <protection locked="0"/>
    </xf>
    <xf numFmtId="0" fontId="53" fillId="0" borderId="37" xfId="0" applyFont="1" applyBorder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left"/>
      <protection locked="0"/>
    </xf>
    <xf numFmtId="0" fontId="54" fillId="0" borderId="0" xfId="0" applyFont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21" fillId="0" borderId="0" xfId="0" applyFont="1" applyProtection="1">
      <protection locked="0"/>
    </xf>
  </cellXfs>
  <cellStyles count="4">
    <cellStyle name="Millares" xfId="1" builtinId="3"/>
    <cellStyle name="Millares 5" xfId="3" xr:uid="{0B536CFE-7F1D-49C4-A048-9E86C663C86F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A1C960BC-B2A1-47F8-82A0-01D81AA73978}"/>
            </a:ext>
          </a:extLst>
        </xdr:cNvPr>
        <xdr:cNvSpPr txBox="1"/>
      </xdr:nvSpPr>
      <xdr:spPr>
        <a:xfrm>
          <a:off x="0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FD214DE-22E0-4E4B-857A-E6B3DA98490A}"/>
            </a:ext>
          </a:extLst>
        </xdr:cNvPr>
        <xdr:cNvSpPr txBox="1"/>
      </xdr:nvSpPr>
      <xdr:spPr>
        <a:xfrm>
          <a:off x="0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987260</xdr:colOff>
      <xdr:row>0</xdr:row>
      <xdr:rowOff>0</xdr:rowOff>
    </xdr:from>
    <xdr:ext cx="898002" cy="254557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5E7ECEE0-375A-458E-B6CC-A7CE89D74015}"/>
            </a:ext>
          </a:extLst>
        </xdr:cNvPr>
        <xdr:cNvSpPr txBox="1"/>
      </xdr:nvSpPr>
      <xdr:spPr>
        <a:xfrm>
          <a:off x="5263985" y="0"/>
          <a:ext cx="89800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ETCA-II-01</a:t>
          </a:r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55CCD157-67FF-42C4-A28D-9FB5C1D23B76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CB4D4F2D-996B-4992-AAFB-AEFD85E2898D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</xdr:row>
      <xdr:rowOff>142875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4F277C78-C52C-49BA-A656-C7DE05D2E5B2}"/>
            </a:ext>
          </a:extLst>
        </xdr:cNvPr>
        <xdr:cNvSpPr txBox="1"/>
      </xdr:nvSpPr>
      <xdr:spPr>
        <a:xfrm>
          <a:off x="52673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45</xdr:row>
      <xdr:rowOff>9524</xdr:rowOff>
    </xdr:from>
    <xdr:ext cx="3019425" cy="695325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2A472302-F7FF-4AFB-9EA7-32323F9936A5}"/>
            </a:ext>
          </a:extLst>
        </xdr:cNvPr>
        <xdr:cNvSpPr txBox="1"/>
      </xdr:nvSpPr>
      <xdr:spPr>
        <a:xfrm>
          <a:off x="752475" y="8582024"/>
          <a:ext cx="3019425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LEONOR AMPARO LANDAVAZO GUTIERREZ</a:t>
          </a:r>
        </a:p>
        <a:p>
          <a:pPr algn="ctr"/>
          <a:r>
            <a:rPr lang="es-MX" sz="1100"/>
            <a:t>DIRECTOR  ADMINISTRATIVO </a:t>
          </a:r>
        </a:p>
      </xdr:txBody>
    </xdr:sp>
    <xdr:clientData/>
  </xdr:oneCellAnchor>
  <xdr:oneCellAnchor>
    <xdr:from>
      <xdr:col>4</xdr:col>
      <xdr:colOff>0</xdr:colOff>
      <xdr:row>45</xdr:row>
      <xdr:rowOff>19049</xdr:rowOff>
    </xdr:from>
    <xdr:ext cx="3276600" cy="619125"/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F951EEB3-DDDC-476A-94D8-B15EE07D1673}"/>
            </a:ext>
          </a:extLst>
        </xdr:cNvPr>
        <xdr:cNvSpPr txBox="1"/>
      </xdr:nvSpPr>
      <xdr:spPr>
        <a:xfrm>
          <a:off x="3009900" y="8591549"/>
          <a:ext cx="3276600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 </a:t>
          </a:r>
        </a:p>
      </xdr:txBody>
    </xdr:sp>
    <xdr:clientData/>
  </xdr:oneCellAnchor>
  <xdr:oneCellAnchor>
    <xdr:from>
      <xdr:col>5</xdr:col>
      <xdr:colOff>47625</xdr:colOff>
      <xdr:row>2</xdr:row>
      <xdr:rowOff>133350</xdr:rowOff>
    </xdr:from>
    <xdr:ext cx="2790824" cy="254557"/>
    <xdr:sp macro="" textlink="">
      <xdr:nvSpPr>
        <xdr:cNvPr id="10" name="10 CuadroTexto">
          <a:extLst>
            <a:ext uri="{FF2B5EF4-FFF2-40B4-BE49-F238E27FC236}">
              <a16:creationId xmlns:a16="http://schemas.microsoft.com/office/drawing/2014/main" id="{B2930270-17C2-423A-ADE3-47B19A880AF0}"/>
            </a:ext>
          </a:extLst>
        </xdr:cNvPr>
        <xdr:cNvSpPr txBox="1"/>
      </xdr:nvSpPr>
      <xdr:spPr>
        <a:xfrm>
          <a:off x="3810000" y="5143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</a:t>
          </a:r>
          <a:r>
            <a:rPr lang="es-MX" sz="1100" b="1" u="sng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2FA19114-CECE-47C8-AECB-92EFD2665DB3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DFB00564-62B8-4D0B-80C3-58E8CD049C4E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1912B8C9-24F3-4D6B-8125-61A380047834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BB1071D-E3B2-4F25-9DBD-B32EBAEFA4F2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6B999D5E-B4AF-4B16-9124-FC45C13ECA14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469F7C98-42F0-49AB-BE28-7D3E293BE071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14D87DBB-F2D7-4273-9A9A-3FFA609265A9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C3BA59F4-4C95-4689-8F96-38A7441E000E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32C462D3-A4AB-4C4A-9FF5-430E2896211B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25313723-8E17-48D4-8293-23D6854CD076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C68FA5D5-76E0-41A1-99E2-53A50E089234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13" name="4 CuadroTexto">
          <a:extLst>
            <a:ext uri="{FF2B5EF4-FFF2-40B4-BE49-F238E27FC236}">
              <a16:creationId xmlns:a16="http://schemas.microsoft.com/office/drawing/2014/main" id="{4335B2E5-3FD4-4F9D-86A0-CD7CB3F65E33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EBF19062-78A7-4072-9A94-4BD72D314720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1EC45E91-E442-4EDF-BFA8-60C2DECF1985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3B7C4B63-926F-497C-AEED-64175CA2DB17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A038A495-65BB-4F5F-9938-83729D503063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3</xdr:row>
      <xdr:rowOff>142875</xdr:rowOff>
    </xdr:from>
    <xdr:ext cx="184731" cy="264560"/>
    <xdr:sp macro="" textlink="">
      <xdr:nvSpPr>
        <xdr:cNvPr id="18" name="4 CuadroTexto">
          <a:extLst>
            <a:ext uri="{FF2B5EF4-FFF2-40B4-BE49-F238E27FC236}">
              <a16:creationId xmlns:a16="http://schemas.microsoft.com/office/drawing/2014/main" id="{B09C8588-AB05-4B97-87B9-90F9F94DC5A1}"/>
            </a:ext>
          </a:extLst>
        </xdr:cNvPr>
        <xdr:cNvSpPr txBox="1"/>
      </xdr:nvSpPr>
      <xdr:spPr>
        <a:xfrm>
          <a:off x="37623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355738</xdr:colOff>
      <xdr:row>0</xdr:row>
      <xdr:rowOff>49695</xdr:rowOff>
    </xdr:from>
    <xdr:ext cx="1478446" cy="254557"/>
    <xdr:sp macro="" textlink="">
      <xdr:nvSpPr>
        <xdr:cNvPr id="19" name="11 CuadroTexto">
          <a:extLst>
            <a:ext uri="{FF2B5EF4-FFF2-40B4-BE49-F238E27FC236}">
              <a16:creationId xmlns:a16="http://schemas.microsoft.com/office/drawing/2014/main" id="{CC81F2F3-8D91-4C6F-AEBE-04043E3EEFD4}"/>
            </a:ext>
          </a:extLst>
        </xdr:cNvPr>
        <xdr:cNvSpPr txBox="1"/>
      </xdr:nvSpPr>
      <xdr:spPr>
        <a:xfrm>
          <a:off x="4118113" y="49695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ETCA-II-10</a:t>
          </a:r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3429000" cy="666749"/>
    <xdr:sp macro="" textlink="">
      <xdr:nvSpPr>
        <xdr:cNvPr id="20" name="CuadroTexto 5">
          <a:extLst>
            <a:ext uri="{FF2B5EF4-FFF2-40B4-BE49-F238E27FC236}">
              <a16:creationId xmlns:a16="http://schemas.microsoft.com/office/drawing/2014/main" id="{55A6C073-B9C0-4F93-9669-F0C811659689}"/>
            </a:ext>
          </a:extLst>
        </xdr:cNvPr>
        <xdr:cNvSpPr txBox="1"/>
      </xdr:nvSpPr>
      <xdr:spPr>
        <a:xfrm>
          <a:off x="0" y="4572000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3</xdr:col>
      <xdr:colOff>227628</xdr:colOff>
      <xdr:row>24</xdr:row>
      <xdr:rowOff>9525</xdr:rowOff>
    </xdr:from>
    <xdr:ext cx="3181350" cy="628650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4C3FE9A8-1F37-40AA-902C-E40FF9AEA8D7}"/>
            </a:ext>
          </a:extLst>
        </xdr:cNvPr>
        <xdr:cNvSpPr txBox="1"/>
      </xdr:nvSpPr>
      <xdr:spPr>
        <a:xfrm>
          <a:off x="2485053" y="4581525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  <xdr:oneCellAnchor>
    <xdr:from>
      <xdr:col>3</xdr:col>
      <xdr:colOff>809625</xdr:colOff>
      <xdr:row>3</xdr:row>
      <xdr:rowOff>161925</xdr:rowOff>
    </xdr:from>
    <xdr:ext cx="2790824" cy="254557"/>
    <xdr:sp macro="" textlink="">
      <xdr:nvSpPr>
        <xdr:cNvPr id="22" name="25 CuadroTexto">
          <a:extLst>
            <a:ext uri="{FF2B5EF4-FFF2-40B4-BE49-F238E27FC236}">
              <a16:creationId xmlns:a16="http://schemas.microsoft.com/office/drawing/2014/main" id="{44AAAB85-1401-4412-AE4B-1A0BAE8D3822}"/>
            </a:ext>
          </a:extLst>
        </xdr:cNvPr>
        <xdr:cNvSpPr txBox="1"/>
      </xdr:nvSpPr>
      <xdr:spPr>
        <a:xfrm>
          <a:off x="3009900" y="7334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</a:t>
          </a:r>
          <a:r>
            <a:rPr lang="es-MX" sz="1100" b="1" baseline="0">
              <a:latin typeface="Arial" pitchFamily="34" charset="0"/>
              <a:cs typeface="Arial" pitchFamily="34" charset="0"/>
            </a:rPr>
            <a:t>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733425</xdr:colOff>
      <xdr:row>3</xdr:row>
      <xdr:rowOff>142875</xdr:rowOff>
    </xdr:from>
    <xdr:ext cx="838200" cy="264560"/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D5DA6486-41D4-4A72-A385-1FAD5A6B2EBD}"/>
            </a:ext>
          </a:extLst>
        </xdr:cNvPr>
        <xdr:cNvSpPr txBox="1"/>
      </xdr:nvSpPr>
      <xdr:spPr>
        <a:xfrm>
          <a:off x="1495425" y="714375"/>
          <a:ext cx="8382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B74D4FA2-2BC9-4B30-9AF8-9DBE10A1CE56}"/>
            </a:ext>
          </a:extLst>
        </xdr:cNvPr>
        <xdr:cNvSpPr txBox="1"/>
      </xdr:nvSpPr>
      <xdr:spPr>
        <a:xfrm>
          <a:off x="762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A1F1E591-F55C-4537-AC9A-CCE98DA5E125}"/>
            </a:ext>
          </a:extLst>
        </xdr:cNvPr>
        <xdr:cNvSpPr txBox="1"/>
      </xdr:nvSpPr>
      <xdr:spPr>
        <a:xfrm>
          <a:off x="762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2FE05BE4-1002-4FA9-A5FC-801CFF686D8A}"/>
            </a:ext>
          </a:extLst>
        </xdr:cNvPr>
        <xdr:cNvSpPr txBox="1"/>
      </xdr:nvSpPr>
      <xdr:spPr>
        <a:xfrm>
          <a:off x="762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956BA7BE-0F76-49AD-AB13-F9C7ECE9E465}"/>
            </a:ext>
          </a:extLst>
        </xdr:cNvPr>
        <xdr:cNvSpPr txBox="1"/>
      </xdr:nvSpPr>
      <xdr:spPr>
        <a:xfrm>
          <a:off x="762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3</xdr:row>
      <xdr:rowOff>142875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CB158019-8D70-457A-897E-6D25F72CF64B}"/>
            </a:ext>
          </a:extLst>
        </xdr:cNvPr>
        <xdr:cNvSpPr txBox="1"/>
      </xdr:nvSpPr>
      <xdr:spPr>
        <a:xfrm>
          <a:off x="3810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22363</xdr:colOff>
      <xdr:row>0</xdr:row>
      <xdr:rowOff>49695</xdr:rowOff>
    </xdr:from>
    <xdr:ext cx="1478446" cy="254557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17BBF390-2BF7-4590-A9ED-96B366831C33}"/>
            </a:ext>
          </a:extLst>
        </xdr:cNvPr>
        <xdr:cNvSpPr txBox="1"/>
      </xdr:nvSpPr>
      <xdr:spPr>
        <a:xfrm>
          <a:off x="3832363" y="49695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ETCA-II-11</a:t>
          </a:r>
        </a:p>
      </xdr:txBody>
    </xdr:sp>
    <xdr:clientData/>
  </xdr:oneCellAnchor>
  <xdr:oneCellAnchor>
    <xdr:from>
      <xdr:col>0</xdr:col>
      <xdr:colOff>0</xdr:colOff>
      <xdr:row>43</xdr:row>
      <xdr:rowOff>148167</xdr:rowOff>
    </xdr:from>
    <xdr:ext cx="3429000" cy="687915"/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52BE07DF-830C-46E3-AB13-5C73842F8477}"/>
            </a:ext>
          </a:extLst>
        </xdr:cNvPr>
        <xdr:cNvSpPr txBox="1"/>
      </xdr:nvSpPr>
      <xdr:spPr>
        <a:xfrm>
          <a:off x="0" y="8339667"/>
          <a:ext cx="3429000" cy="687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2</xdr:col>
      <xdr:colOff>391583</xdr:colOff>
      <xdr:row>43</xdr:row>
      <xdr:rowOff>158750</xdr:rowOff>
    </xdr:from>
    <xdr:ext cx="3534920" cy="648758"/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5870BBDA-DE86-4F84-9020-0AEE7EDE5318}"/>
            </a:ext>
          </a:extLst>
        </xdr:cNvPr>
        <xdr:cNvSpPr txBox="1"/>
      </xdr:nvSpPr>
      <xdr:spPr>
        <a:xfrm>
          <a:off x="1915583" y="8350250"/>
          <a:ext cx="3534920" cy="6487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  <xdr:oneCellAnchor>
    <xdr:from>
      <xdr:col>3</xdr:col>
      <xdr:colOff>335492</xdr:colOff>
      <xdr:row>3</xdr:row>
      <xdr:rowOff>156633</xdr:rowOff>
    </xdr:from>
    <xdr:ext cx="2790824" cy="254557"/>
    <xdr:sp macro="" textlink="">
      <xdr:nvSpPr>
        <xdr:cNvPr id="11" name="25 CuadroTexto">
          <a:extLst>
            <a:ext uri="{FF2B5EF4-FFF2-40B4-BE49-F238E27FC236}">
              <a16:creationId xmlns:a16="http://schemas.microsoft.com/office/drawing/2014/main" id="{43D18D99-F53B-4A3A-A807-936EC1C1B765}"/>
            </a:ext>
          </a:extLst>
        </xdr:cNvPr>
        <xdr:cNvSpPr txBox="1"/>
      </xdr:nvSpPr>
      <xdr:spPr>
        <a:xfrm>
          <a:off x="2621492" y="728133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</a:t>
          </a:r>
          <a:r>
            <a:rPr lang="es-MX" sz="1100" b="1" baseline="0">
              <a:latin typeface="Arial" pitchFamily="34" charset="0"/>
              <a:cs typeface="Arial" pitchFamily="34" charset="0"/>
            </a:rPr>
            <a:t>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561975</xdr:colOff>
      <xdr:row>1</xdr:row>
      <xdr:rowOff>0</xdr:rowOff>
    </xdr:from>
    <xdr:ext cx="923924" cy="306917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F2EC-DE1A-4521-8313-D7E65FDF0431}"/>
            </a:ext>
          </a:extLst>
        </xdr:cNvPr>
        <xdr:cNvSpPr txBox="1"/>
      </xdr:nvSpPr>
      <xdr:spPr>
        <a:xfrm>
          <a:off x="5133975" y="190500"/>
          <a:ext cx="923924" cy="3069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ETCA-II-12</a:t>
          </a:r>
        </a:p>
      </xdr:txBody>
    </xdr:sp>
    <xdr:clientData/>
  </xdr:oneCellAnchor>
  <xdr:oneCellAnchor>
    <xdr:from>
      <xdr:col>1</xdr:col>
      <xdr:colOff>127000</xdr:colOff>
      <xdr:row>82</xdr:row>
      <xdr:rowOff>21166</xdr:rowOff>
    </xdr:from>
    <xdr:ext cx="3429000" cy="666749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F187DE50-1871-4927-A972-42E510063FB5}"/>
            </a:ext>
          </a:extLst>
        </xdr:cNvPr>
        <xdr:cNvSpPr txBox="1"/>
      </xdr:nvSpPr>
      <xdr:spPr>
        <a:xfrm>
          <a:off x="889000" y="15642166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3</xdr:col>
      <xdr:colOff>36069</xdr:colOff>
      <xdr:row>82</xdr:row>
      <xdr:rowOff>30691</xdr:rowOff>
    </xdr:from>
    <xdr:ext cx="3181350" cy="628650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F1D9FB3B-CD36-40E2-8B97-6AE1222563DA}"/>
            </a:ext>
          </a:extLst>
        </xdr:cNvPr>
        <xdr:cNvSpPr txBox="1"/>
      </xdr:nvSpPr>
      <xdr:spPr>
        <a:xfrm>
          <a:off x="2322069" y="15651691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  <xdr:oneCellAnchor>
    <xdr:from>
      <xdr:col>4</xdr:col>
      <xdr:colOff>878417</xdr:colOff>
      <xdr:row>3</xdr:row>
      <xdr:rowOff>74083</xdr:rowOff>
    </xdr:from>
    <xdr:ext cx="2790824" cy="254557"/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7658A277-2BCF-4402-90C6-27D9292DC3B0}"/>
            </a:ext>
          </a:extLst>
        </xdr:cNvPr>
        <xdr:cNvSpPr txBox="1"/>
      </xdr:nvSpPr>
      <xdr:spPr>
        <a:xfrm>
          <a:off x="3812117" y="645583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</a:t>
          </a:r>
          <a:r>
            <a:rPr lang="es-MX" sz="1100" b="1" baseline="0">
              <a:latin typeface="Arial" pitchFamily="34" charset="0"/>
              <a:cs typeface="Arial" pitchFamily="34" charset="0"/>
            </a:rPr>
            <a:t>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266700</xdr:colOff>
      <xdr:row>0</xdr:row>
      <xdr:rowOff>133350</xdr:rowOff>
    </xdr:from>
    <xdr:ext cx="1226791" cy="255134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A8FB0361-7F6F-4085-A238-32AB9CC836D5}"/>
            </a:ext>
          </a:extLst>
        </xdr:cNvPr>
        <xdr:cNvSpPr txBox="1"/>
      </xdr:nvSpPr>
      <xdr:spPr>
        <a:xfrm>
          <a:off x="5600700" y="133350"/>
          <a:ext cx="1226791" cy="25513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ETCA-II-13</a:t>
          </a:r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6593109D-B15D-4DF3-A28A-74F72D301EF5}"/>
            </a:ext>
          </a:extLst>
        </xdr:cNvPr>
        <xdr:cNvSpPr txBox="1"/>
      </xdr:nvSpPr>
      <xdr:spPr>
        <a:xfrm>
          <a:off x="5334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971550</xdr:colOff>
      <xdr:row>4</xdr:row>
      <xdr:rowOff>133350</xdr:rowOff>
    </xdr:from>
    <xdr:ext cx="2790824" cy="254557"/>
    <xdr:sp macro="" textlink="">
      <xdr:nvSpPr>
        <xdr:cNvPr id="4" name="25 CuadroTexto">
          <a:extLst>
            <a:ext uri="{FF2B5EF4-FFF2-40B4-BE49-F238E27FC236}">
              <a16:creationId xmlns:a16="http://schemas.microsoft.com/office/drawing/2014/main" id="{EA219563-16C3-4C83-B57C-D7F93C863E21}"/>
            </a:ext>
          </a:extLst>
        </xdr:cNvPr>
        <xdr:cNvSpPr txBox="1"/>
      </xdr:nvSpPr>
      <xdr:spPr>
        <a:xfrm>
          <a:off x="4572000" y="8953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</a:t>
          </a:r>
          <a:r>
            <a:rPr lang="es-MX" sz="1100" b="1" baseline="0">
              <a:latin typeface="Arial" pitchFamily="34" charset="0"/>
              <a:cs typeface="Arial" pitchFamily="34" charset="0"/>
            </a:rPr>
            <a:t>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457201</xdr:colOff>
      <xdr:row>0</xdr:row>
      <xdr:rowOff>21668</xdr:rowOff>
    </xdr:from>
    <xdr:ext cx="1087426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E6FC0016-B530-4904-922E-1900D2730952}"/>
            </a:ext>
          </a:extLst>
        </xdr:cNvPr>
        <xdr:cNvSpPr txBox="1"/>
      </xdr:nvSpPr>
      <xdr:spPr>
        <a:xfrm>
          <a:off x="4267201" y="21668"/>
          <a:ext cx="108742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ETCA-II-14</a:t>
          </a:r>
        </a:p>
      </xdr:txBody>
    </xdr:sp>
    <xdr:clientData/>
  </xdr:oneCellAnchor>
  <xdr:oneCellAnchor>
    <xdr:from>
      <xdr:col>0</xdr:col>
      <xdr:colOff>0</xdr:colOff>
      <xdr:row>33</xdr:row>
      <xdr:rowOff>152400</xdr:rowOff>
    </xdr:from>
    <xdr:ext cx="3429000" cy="666749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FC96D2C0-23B4-40F0-B112-65287EAAD726}"/>
            </a:ext>
          </a:extLst>
        </xdr:cNvPr>
        <xdr:cNvSpPr txBox="1"/>
      </xdr:nvSpPr>
      <xdr:spPr>
        <a:xfrm>
          <a:off x="0" y="6438900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2</xdr:col>
      <xdr:colOff>646728</xdr:colOff>
      <xdr:row>33</xdr:row>
      <xdr:rowOff>152400</xdr:rowOff>
    </xdr:from>
    <xdr:ext cx="3181350" cy="628650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0E2A459C-088D-478F-909E-00D2995B2C2F}"/>
            </a:ext>
          </a:extLst>
        </xdr:cNvPr>
        <xdr:cNvSpPr txBox="1"/>
      </xdr:nvSpPr>
      <xdr:spPr>
        <a:xfrm>
          <a:off x="2170728" y="6438900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  <xdr:oneCellAnchor>
    <xdr:from>
      <xdr:col>3</xdr:col>
      <xdr:colOff>209550</xdr:colOff>
      <xdr:row>3</xdr:row>
      <xdr:rowOff>142875</xdr:rowOff>
    </xdr:from>
    <xdr:ext cx="2790824" cy="254557"/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B655B3B0-2CA3-4FB7-85D8-B23BF229A20E}"/>
            </a:ext>
          </a:extLst>
        </xdr:cNvPr>
        <xdr:cNvSpPr txBox="1"/>
      </xdr:nvSpPr>
      <xdr:spPr>
        <a:xfrm>
          <a:off x="2495550" y="71437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</a:t>
          </a:r>
          <a:r>
            <a:rPr lang="es-MX" sz="1100" b="1" baseline="0">
              <a:latin typeface="Arial" pitchFamily="34" charset="0"/>
              <a:cs typeface="Arial" pitchFamily="34" charset="0"/>
            </a:rPr>
            <a:t>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41D15CCC-09FE-441C-863C-1610EE9D63C9}"/>
            </a:ext>
          </a:extLst>
        </xdr:cNvPr>
        <xdr:cNvSpPr txBox="1"/>
      </xdr:nvSpPr>
      <xdr:spPr>
        <a:xfrm>
          <a:off x="0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776459</xdr:colOff>
      <xdr:row>0</xdr:row>
      <xdr:rowOff>0</xdr:rowOff>
    </xdr:from>
    <xdr:ext cx="898003" cy="254557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A0161CAC-5E65-4F88-BB85-6A738E03DFB7}"/>
            </a:ext>
          </a:extLst>
        </xdr:cNvPr>
        <xdr:cNvSpPr txBox="1"/>
      </xdr:nvSpPr>
      <xdr:spPr>
        <a:xfrm>
          <a:off x="2252834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ETCA-II-15</a:t>
          </a:r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6C56D6BB-22DF-412A-A44B-48F5B86B49CB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3426892</xdr:colOff>
      <xdr:row>2</xdr:row>
      <xdr:rowOff>195723</xdr:rowOff>
    </xdr:from>
    <xdr:ext cx="647870" cy="239809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94589833-7AA2-42C2-AA54-A6A7B8AAD3E3}"/>
            </a:ext>
          </a:extLst>
        </xdr:cNvPr>
        <xdr:cNvSpPr txBox="1"/>
      </xdr:nvSpPr>
      <xdr:spPr>
        <a:xfrm>
          <a:off x="750367" y="567198"/>
          <a:ext cx="647870" cy="23980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000" b="1">
              <a:latin typeface="Arial" pitchFamily="34" charset="0"/>
              <a:cs typeface="Arial" pitchFamily="34" charset="0"/>
            </a:rPr>
            <a:t>(Pesos)</a:t>
          </a:r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C542F4AD-CC30-4106-854A-851A1A1AEB4C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42</xdr:row>
      <xdr:rowOff>103909</xdr:rowOff>
    </xdr:from>
    <xdr:ext cx="3429000" cy="666749"/>
    <xdr:sp macro="" textlink="">
      <xdr:nvSpPr>
        <xdr:cNvPr id="7" name="CuadroTexto 5">
          <a:extLst>
            <a:ext uri="{FF2B5EF4-FFF2-40B4-BE49-F238E27FC236}">
              <a16:creationId xmlns:a16="http://schemas.microsoft.com/office/drawing/2014/main" id="{49FD1CC0-AB16-4A20-A9CD-FFB1300F950D}"/>
            </a:ext>
          </a:extLst>
        </xdr:cNvPr>
        <xdr:cNvSpPr txBox="1"/>
      </xdr:nvSpPr>
      <xdr:spPr>
        <a:xfrm>
          <a:off x="0" y="8104909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0</xdr:col>
      <xdr:colOff>4289607</xdr:colOff>
      <xdr:row>42</xdr:row>
      <xdr:rowOff>130753</xdr:rowOff>
    </xdr:from>
    <xdr:ext cx="3181350" cy="628650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F0A2D26F-0E52-4140-8356-3FC94F6B8D8B}"/>
            </a:ext>
          </a:extLst>
        </xdr:cNvPr>
        <xdr:cNvSpPr txBox="1"/>
      </xdr:nvSpPr>
      <xdr:spPr>
        <a:xfrm>
          <a:off x="755832" y="8131753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  <xdr:oneCellAnchor>
    <xdr:from>
      <xdr:col>1</xdr:col>
      <xdr:colOff>692727</xdr:colOff>
      <xdr:row>2</xdr:row>
      <xdr:rowOff>155863</xdr:rowOff>
    </xdr:from>
    <xdr:ext cx="2790824" cy="254557"/>
    <xdr:sp macro="" textlink="">
      <xdr:nvSpPr>
        <xdr:cNvPr id="9" name="25 CuadroTexto">
          <a:extLst>
            <a:ext uri="{FF2B5EF4-FFF2-40B4-BE49-F238E27FC236}">
              <a16:creationId xmlns:a16="http://schemas.microsoft.com/office/drawing/2014/main" id="{FD36900D-C13F-48F0-88D9-9695AD00B522}"/>
            </a:ext>
          </a:extLst>
        </xdr:cNvPr>
        <xdr:cNvSpPr txBox="1"/>
      </xdr:nvSpPr>
      <xdr:spPr>
        <a:xfrm>
          <a:off x="1445202" y="536863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</a:t>
          </a:r>
          <a:r>
            <a:rPr lang="es-MX" sz="1100" b="1" baseline="0">
              <a:latin typeface="Arial" pitchFamily="34" charset="0"/>
              <a:cs typeface="Arial" pitchFamily="34" charset="0"/>
            </a:rPr>
            <a:t>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131706</xdr:colOff>
      <xdr:row>0</xdr:row>
      <xdr:rowOff>0</xdr:rowOff>
    </xdr:from>
    <xdr:ext cx="898003" cy="254557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28D7EA16-876A-4FA3-8BEA-8A6CD0057696}"/>
            </a:ext>
          </a:extLst>
        </xdr:cNvPr>
        <xdr:cNvSpPr txBox="1"/>
      </xdr:nvSpPr>
      <xdr:spPr>
        <a:xfrm>
          <a:off x="3141606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ETCA-II-16</a:t>
          </a:r>
        </a:p>
      </xdr:txBody>
    </xdr:sp>
    <xdr:clientData/>
  </xdr:oneCellAnchor>
  <xdr:oneCellAnchor>
    <xdr:from>
      <xdr:col>3</xdr:col>
      <xdr:colOff>0</xdr:colOff>
      <xdr:row>2</xdr:row>
      <xdr:rowOff>142875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62D77480-50B5-4203-9CBA-36BDE7F172A5}"/>
            </a:ext>
          </a:extLst>
        </xdr:cNvPr>
        <xdr:cNvSpPr txBox="1"/>
      </xdr:nvSpPr>
      <xdr:spPr>
        <a:xfrm>
          <a:off x="22574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301942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79851D41-E998-465D-AD07-83AA40528760}"/>
            </a:ext>
          </a:extLst>
        </xdr:cNvPr>
        <xdr:cNvSpPr txBox="1"/>
      </xdr:nvSpPr>
      <xdr:spPr>
        <a:xfrm>
          <a:off x="752475" y="6286500"/>
          <a:ext cx="301942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LEONOR AMPARO LANDAVAZO GUTIERREZ</a:t>
          </a:r>
        </a:p>
        <a:p>
          <a:pPr algn="ctr"/>
          <a:r>
            <a:rPr lang="es-MX" sz="1100"/>
            <a:t>DIRECTOR  ADMINISTRATIVO </a:t>
          </a:r>
        </a:p>
      </xdr:txBody>
    </xdr:sp>
    <xdr:clientData/>
  </xdr:oneCellAnchor>
  <xdr:oneCellAnchor>
    <xdr:from>
      <xdr:col>2</xdr:col>
      <xdr:colOff>133351</xdr:colOff>
      <xdr:row>33</xdr:row>
      <xdr:rowOff>0</xdr:rowOff>
    </xdr:from>
    <xdr:ext cx="3162300" cy="662517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691F1B1E-8790-4875-B907-27B505291A0E}"/>
            </a:ext>
          </a:extLst>
        </xdr:cNvPr>
        <xdr:cNvSpPr txBox="1"/>
      </xdr:nvSpPr>
      <xdr:spPr>
        <a:xfrm>
          <a:off x="1638301" y="6286500"/>
          <a:ext cx="31623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 </a:t>
          </a:r>
        </a:p>
        <a:p>
          <a:pPr algn="ctr"/>
          <a:endParaRPr lang="es-MX" sz="1100"/>
        </a:p>
      </xdr:txBody>
    </xdr:sp>
    <xdr:clientData/>
  </xdr:oneCellAnchor>
  <xdr:oneCellAnchor>
    <xdr:from>
      <xdr:col>2</xdr:col>
      <xdr:colOff>514350</xdr:colOff>
      <xdr:row>2</xdr:row>
      <xdr:rowOff>152400</xdr:rowOff>
    </xdr:from>
    <xdr:ext cx="2790824" cy="254557"/>
    <xdr:sp macro="" textlink="">
      <xdr:nvSpPr>
        <xdr:cNvPr id="6" name="9 CuadroTexto">
          <a:extLst>
            <a:ext uri="{FF2B5EF4-FFF2-40B4-BE49-F238E27FC236}">
              <a16:creationId xmlns:a16="http://schemas.microsoft.com/office/drawing/2014/main" id="{5A87A1EA-446C-4955-B5E2-E3C01991CC1E}"/>
            </a:ext>
          </a:extLst>
        </xdr:cNvPr>
        <xdr:cNvSpPr txBox="1"/>
      </xdr:nvSpPr>
      <xdr:spPr>
        <a:xfrm>
          <a:off x="2019300" y="5334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  SEGUNDO</a:t>
          </a:r>
          <a:r>
            <a:rPr lang="es-MX" sz="1100" b="1" u="sng" baseline="0">
              <a:latin typeface="Arial" pitchFamily="34" charset="0"/>
              <a:cs typeface="Arial" pitchFamily="34" charset="0"/>
            </a:rPr>
            <a:t>  </a:t>
          </a:r>
          <a:endParaRPr lang="es-MX" sz="1100" b="1" u="sng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767764</xdr:colOff>
      <xdr:row>0</xdr:row>
      <xdr:rowOff>0</xdr:rowOff>
    </xdr:from>
    <xdr:ext cx="898003" cy="254557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B247F2DB-E695-4777-816D-CA57BAD893A8}"/>
            </a:ext>
          </a:extLst>
        </xdr:cNvPr>
        <xdr:cNvSpPr txBox="1"/>
      </xdr:nvSpPr>
      <xdr:spPr>
        <a:xfrm>
          <a:off x="3006139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ETCA-II-17</a:t>
          </a:r>
        </a:p>
      </xdr:txBody>
    </xdr:sp>
    <xdr:clientData/>
  </xdr:oneCellAnchor>
  <xdr:oneCellAnchor>
    <xdr:from>
      <xdr:col>3</xdr:col>
      <xdr:colOff>0</xdr:colOff>
      <xdr:row>2</xdr:row>
      <xdr:rowOff>142875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11B5E5BD-F003-49C7-A355-D6A8D124472C}"/>
            </a:ext>
          </a:extLst>
        </xdr:cNvPr>
        <xdr:cNvSpPr txBox="1"/>
      </xdr:nvSpPr>
      <xdr:spPr>
        <a:xfrm>
          <a:off x="22574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322791</xdr:colOff>
      <xdr:row>34</xdr:row>
      <xdr:rowOff>42334</xdr:rowOff>
    </xdr:from>
    <xdr:ext cx="2925416" cy="609013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A6D20E5-867B-415F-A273-95D08793EBD9}"/>
            </a:ext>
          </a:extLst>
        </xdr:cNvPr>
        <xdr:cNvSpPr txBox="1"/>
      </xdr:nvSpPr>
      <xdr:spPr>
        <a:xfrm>
          <a:off x="322791" y="6519334"/>
          <a:ext cx="292541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C.P. LEONOR AMPARO LANDAVAZO GUTIERREZ</a:t>
          </a:r>
        </a:p>
        <a:p>
          <a:pPr algn="ctr"/>
          <a:r>
            <a:rPr lang="es-MX" sz="1100"/>
            <a:t>DIRECTOR  ADMINISTRATIVO </a:t>
          </a:r>
        </a:p>
      </xdr:txBody>
    </xdr:sp>
    <xdr:clientData/>
  </xdr:oneCellAnchor>
  <xdr:oneCellAnchor>
    <xdr:from>
      <xdr:col>2</xdr:col>
      <xdr:colOff>169334</xdr:colOff>
      <xdr:row>34</xdr:row>
      <xdr:rowOff>46565</xdr:rowOff>
    </xdr:from>
    <xdr:ext cx="3409707" cy="662517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97DB542-12A4-4999-A6AD-D1AF72F6E684}"/>
            </a:ext>
          </a:extLst>
        </xdr:cNvPr>
        <xdr:cNvSpPr txBox="1"/>
      </xdr:nvSpPr>
      <xdr:spPr>
        <a:xfrm>
          <a:off x="1674284" y="6523565"/>
          <a:ext cx="3409707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 </a:t>
          </a:r>
        </a:p>
      </xdr:txBody>
    </xdr:sp>
    <xdr:clientData/>
  </xdr:oneCellAnchor>
  <xdr:oneCellAnchor>
    <xdr:from>
      <xdr:col>2</xdr:col>
      <xdr:colOff>582083</xdr:colOff>
      <xdr:row>2</xdr:row>
      <xdr:rowOff>201084</xdr:rowOff>
    </xdr:from>
    <xdr:ext cx="2790824" cy="254557"/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AB827DE0-FD86-43C2-9A3C-789737699C67}"/>
            </a:ext>
          </a:extLst>
        </xdr:cNvPr>
        <xdr:cNvSpPr txBox="1"/>
      </xdr:nvSpPr>
      <xdr:spPr>
        <a:xfrm>
          <a:off x="2087033" y="572559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  SEGUNDO 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190500</xdr:colOff>
      <xdr:row>0</xdr:row>
      <xdr:rowOff>0</xdr:rowOff>
    </xdr:from>
    <xdr:ext cx="1325551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811DF8B3-85A8-40C8-A837-1CB78DD5BDFD}"/>
            </a:ext>
          </a:extLst>
        </xdr:cNvPr>
        <xdr:cNvSpPr txBox="1"/>
      </xdr:nvSpPr>
      <xdr:spPr>
        <a:xfrm>
          <a:off x="5524500" y="0"/>
          <a:ext cx="132555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ETCA-II-02</a:t>
          </a:r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A2660069-8DB4-4259-8EA2-E9E5A9E45FB3}"/>
            </a:ext>
          </a:extLst>
        </xdr:cNvPr>
        <xdr:cNvSpPr txBox="1"/>
      </xdr:nvSpPr>
      <xdr:spPr>
        <a:xfrm>
          <a:off x="1524000" y="156210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200"/>
            <a:t>C.P. LEONOR AMPARO LANDAVAZO GUTIERREZ</a:t>
          </a:r>
        </a:p>
        <a:p>
          <a:pPr algn="ctr"/>
          <a:r>
            <a:rPr lang="es-MX" sz="1200"/>
            <a:t>DIRECTOR  ADMINISTRATIVO </a:t>
          </a:r>
        </a:p>
        <a:p>
          <a:pPr algn="ctr"/>
          <a:endParaRPr lang="es-MX" sz="1200"/>
        </a:p>
      </xdr:txBody>
    </xdr:sp>
    <xdr:clientData/>
  </xdr:oneCellAnchor>
  <xdr:oneCellAnchor>
    <xdr:from>
      <xdr:col>4</xdr:col>
      <xdr:colOff>0</xdr:colOff>
      <xdr:row>82</xdr:row>
      <xdr:rowOff>0</xdr:rowOff>
    </xdr:from>
    <xdr:ext cx="3524250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CF741035-3CCE-4C2B-AFCB-456416607C07}"/>
            </a:ext>
          </a:extLst>
        </xdr:cNvPr>
        <xdr:cNvSpPr txBox="1"/>
      </xdr:nvSpPr>
      <xdr:spPr>
        <a:xfrm>
          <a:off x="3048000" y="15621000"/>
          <a:ext cx="352425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/>
            <a:t>______________________________________</a:t>
          </a:r>
        </a:p>
        <a:p>
          <a:pPr algn="ctr"/>
          <a:r>
            <a:rPr lang="es-MX" sz="1200"/>
            <a:t>C.P. MARIO ALBERTO MERINO DIAZ</a:t>
          </a:r>
        </a:p>
        <a:p>
          <a:pPr algn="ctr"/>
          <a:r>
            <a:rPr lang="es-MX" sz="1200"/>
            <a:t>DIRECTOR GENERAL DE ADMINISTRACION Y FINANZAS </a:t>
          </a:r>
        </a:p>
      </xdr:txBody>
    </xdr:sp>
    <xdr:clientData/>
  </xdr:oneCellAnchor>
  <xdr:oneCellAnchor>
    <xdr:from>
      <xdr:col>5</xdr:col>
      <xdr:colOff>190499</xdr:colOff>
      <xdr:row>2</xdr:row>
      <xdr:rowOff>103188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B992224C-8E1F-4051-A5DC-7F6B9BA1616F}"/>
            </a:ext>
          </a:extLst>
        </xdr:cNvPr>
        <xdr:cNvSpPr txBox="1"/>
      </xdr:nvSpPr>
      <xdr:spPr>
        <a:xfrm>
          <a:off x="4000499" y="484188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lang="es-MX" sz="1100" b="1" u="sng">
              <a:latin typeface="Arial" pitchFamily="34" charset="0"/>
              <a:cs typeface="Arial" pitchFamily="34" charset="0"/>
            </a:rPr>
            <a:t>PRIMERO  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51B418CD-014C-4F4F-82AC-6EA5C4D867FB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542925</xdr:colOff>
      <xdr:row>0</xdr:row>
      <xdr:rowOff>0</xdr:rowOff>
    </xdr:from>
    <xdr:ext cx="1141062" cy="292657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CAD40679-2EA0-44DD-AA6C-F9BA96D770D7}"/>
            </a:ext>
          </a:extLst>
        </xdr:cNvPr>
        <xdr:cNvSpPr txBox="1"/>
      </xdr:nvSpPr>
      <xdr:spPr>
        <a:xfrm>
          <a:off x="2800350" y="0"/>
          <a:ext cx="1141062" cy="2926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ETCA-II-03</a:t>
          </a:r>
        </a:p>
      </xdr:txBody>
    </xdr:sp>
    <xdr:clientData/>
  </xdr:oneCellAnchor>
  <xdr:oneCellAnchor>
    <xdr:from>
      <xdr:col>3</xdr:col>
      <xdr:colOff>0</xdr:colOff>
      <xdr:row>2</xdr:row>
      <xdr:rowOff>142875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F82CCD05-DE9D-4F75-863F-D684FB75F1AD}"/>
            </a:ext>
          </a:extLst>
        </xdr:cNvPr>
        <xdr:cNvSpPr txBox="1"/>
      </xdr:nvSpPr>
      <xdr:spPr>
        <a:xfrm>
          <a:off x="22574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30</xdr:row>
      <xdr:rowOff>152400</xdr:rowOff>
    </xdr:from>
    <xdr:ext cx="3019425" cy="714375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C69D03DE-5482-4753-B6A3-FFF36B345C10}"/>
            </a:ext>
          </a:extLst>
        </xdr:cNvPr>
        <xdr:cNvSpPr txBox="1"/>
      </xdr:nvSpPr>
      <xdr:spPr>
        <a:xfrm>
          <a:off x="752475" y="5867400"/>
          <a:ext cx="3019425" cy="714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LEONOR AMPARO LANDAVAZO GUTIERREZ</a:t>
          </a:r>
        </a:p>
        <a:p>
          <a:pPr algn="ctr"/>
          <a:r>
            <a:rPr lang="es-MX" sz="1100"/>
            <a:t>DIRECTOR  ADMINISTRATIVO </a:t>
          </a:r>
        </a:p>
      </xdr:txBody>
    </xdr:sp>
    <xdr:clientData/>
  </xdr:oneCellAnchor>
  <xdr:oneCellAnchor>
    <xdr:from>
      <xdr:col>2</xdr:col>
      <xdr:colOff>123824</xdr:colOff>
      <xdr:row>30</xdr:row>
      <xdr:rowOff>142876</xdr:rowOff>
    </xdr:from>
    <xdr:ext cx="3209925" cy="68579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60A754-CA01-4E99-ACB1-71C7CD0C1156}"/>
            </a:ext>
          </a:extLst>
        </xdr:cNvPr>
        <xdr:cNvSpPr txBox="1"/>
      </xdr:nvSpPr>
      <xdr:spPr>
        <a:xfrm>
          <a:off x="1628774" y="5857876"/>
          <a:ext cx="3209925" cy="6857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</a:t>
          </a:r>
        </a:p>
        <a:p>
          <a:pPr algn="ctr"/>
          <a:r>
            <a:rPr lang="es-MX" sz="1100"/>
            <a:t>C.P. MARIO ALBERTO MERINO DIAZ</a:t>
          </a:r>
        </a:p>
        <a:p>
          <a:pPr algn="ctr"/>
          <a:r>
            <a:rPr lang="es-MX" sz="1100"/>
            <a:t>DIRECTOR GENERAL DE ADMINISTRACION Y FINANZAS </a:t>
          </a:r>
        </a:p>
      </xdr:txBody>
    </xdr:sp>
    <xdr:clientData/>
  </xdr:oneCellAnchor>
  <xdr:oneCellAnchor>
    <xdr:from>
      <xdr:col>2</xdr:col>
      <xdr:colOff>609600</xdr:colOff>
      <xdr:row>2</xdr:row>
      <xdr:rowOff>104775</xdr:rowOff>
    </xdr:from>
    <xdr:ext cx="2790824" cy="254557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265E2393-C987-493D-BF98-1E03C37DA6F8}"/>
            </a:ext>
          </a:extLst>
        </xdr:cNvPr>
        <xdr:cNvSpPr txBox="1"/>
      </xdr:nvSpPr>
      <xdr:spPr>
        <a:xfrm>
          <a:off x="2114550" y="48577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</a:t>
          </a:r>
          <a:r>
            <a:rPr lang="es-MX" sz="1100" b="1" u="sng">
              <a:latin typeface="Arial" pitchFamily="34" charset="0"/>
              <a:cs typeface="Arial" pitchFamily="34" charset="0"/>
            </a:rPr>
            <a:t>  SEGUNDO  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21 CuadroTexto">
          <a:extLst>
            <a:ext uri="{FF2B5EF4-FFF2-40B4-BE49-F238E27FC236}">
              <a16:creationId xmlns:a16="http://schemas.microsoft.com/office/drawing/2014/main" id="{DE543532-B7B1-4151-8474-38E59B934FCE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853910</xdr:colOff>
      <xdr:row>0</xdr:row>
      <xdr:rowOff>38100</xdr:rowOff>
    </xdr:from>
    <xdr:ext cx="898002" cy="247649"/>
    <xdr:sp macro="" textlink="">
      <xdr:nvSpPr>
        <xdr:cNvPr id="3" name="22 CuadroTexto">
          <a:extLst>
            <a:ext uri="{FF2B5EF4-FFF2-40B4-BE49-F238E27FC236}">
              <a16:creationId xmlns:a16="http://schemas.microsoft.com/office/drawing/2014/main" id="{085E6B3D-3B49-4953-A26A-76EC660E17C1}"/>
            </a:ext>
          </a:extLst>
        </xdr:cNvPr>
        <xdr:cNvSpPr txBox="1"/>
      </xdr:nvSpPr>
      <xdr:spPr>
        <a:xfrm>
          <a:off x="4568660" y="38100"/>
          <a:ext cx="898002" cy="24764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ETCA-II-04</a:t>
          </a:r>
        </a:p>
      </xdr:txBody>
    </xdr:sp>
    <xdr:clientData/>
  </xdr:oneCellAnchor>
  <xdr:oneCellAnchor>
    <xdr:from>
      <xdr:col>0</xdr:col>
      <xdr:colOff>295275</xdr:colOff>
      <xdr:row>86</xdr:row>
      <xdr:rowOff>161926</xdr:rowOff>
    </xdr:from>
    <xdr:ext cx="3429000" cy="666749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7EAD517C-0408-4459-ABD2-CBF39D6B3FF3}"/>
            </a:ext>
          </a:extLst>
        </xdr:cNvPr>
        <xdr:cNvSpPr txBox="1"/>
      </xdr:nvSpPr>
      <xdr:spPr>
        <a:xfrm>
          <a:off x="295275" y="16544926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 AMPARO LANDAVAZO GUTIERREZ</a:t>
          </a:r>
        </a:p>
        <a:p>
          <a:pPr algn="ctr"/>
          <a:r>
            <a:rPr lang="es-MX" sz="1100" b="1"/>
            <a:t>DIRECTOR  ADMINISTRATIVO </a:t>
          </a:r>
        </a:p>
      </xdr:txBody>
    </xdr:sp>
    <xdr:clientData/>
  </xdr:oneCellAnchor>
  <xdr:oneCellAnchor>
    <xdr:from>
      <xdr:col>2</xdr:col>
      <xdr:colOff>771525</xdr:colOff>
      <xdr:row>86</xdr:row>
      <xdr:rowOff>171451</xdr:rowOff>
    </xdr:from>
    <xdr:ext cx="3181350" cy="628650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B5EE900A-6A09-4CE7-925E-D5B920A2AE5C}"/>
            </a:ext>
          </a:extLst>
        </xdr:cNvPr>
        <xdr:cNvSpPr txBox="1"/>
      </xdr:nvSpPr>
      <xdr:spPr>
        <a:xfrm>
          <a:off x="2286000" y="16554451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  <xdr:oneCellAnchor>
    <xdr:from>
      <xdr:col>3</xdr:col>
      <xdr:colOff>781050</xdr:colOff>
      <xdr:row>3</xdr:row>
      <xdr:rowOff>123825</xdr:rowOff>
    </xdr:from>
    <xdr:ext cx="2790824" cy="254557"/>
    <xdr:sp macro="" textlink="">
      <xdr:nvSpPr>
        <xdr:cNvPr id="6" name="25 CuadroTexto">
          <a:extLst>
            <a:ext uri="{FF2B5EF4-FFF2-40B4-BE49-F238E27FC236}">
              <a16:creationId xmlns:a16="http://schemas.microsoft.com/office/drawing/2014/main" id="{8BBAB757-41E3-4044-8010-6DDAAD378E5C}"/>
            </a:ext>
          </a:extLst>
        </xdr:cNvPr>
        <xdr:cNvSpPr txBox="1"/>
      </xdr:nvSpPr>
      <xdr:spPr>
        <a:xfrm>
          <a:off x="3048000" y="69532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</a:t>
          </a:r>
          <a:r>
            <a:rPr lang="es-MX" sz="1100" b="1" baseline="0">
              <a:latin typeface="Arial" pitchFamily="34" charset="0"/>
              <a:cs typeface="Arial" pitchFamily="34" charset="0"/>
            </a:rPr>
            <a:t>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0</xdr:row>
      <xdr:rowOff>19051</xdr:rowOff>
    </xdr:from>
    <xdr:ext cx="1019173" cy="2667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C724020D-6C53-449B-923C-638B6ED4E76E}"/>
            </a:ext>
          </a:extLst>
        </xdr:cNvPr>
        <xdr:cNvSpPr txBox="1"/>
      </xdr:nvSpPr>
      <xdr:spPr>
        <a:xfrm>
          <a:off x="5067300" y="19051"/>
          <a:ext cx="1019173" cy="266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ETCA-II-05</a:t>
          </a:r>
        </a:p>
      </xdr:txBody>
    </xdr:sp>
    <xdr:clientData/>
  </xdr:oneCellAnchor>
  <xdr:oneCellAnchor>
    <xdr:from>
      <xdr:col>0</xdr:col>
      <xdr:colOff>285750</xdr:colOff>
      <xdr:row>160</xdr:row>
      <xdr:rowOff>66675</xdr:rowOff>
    </xdr:from>
    <xdr:ext cx="3429000" cy="666749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2AD4BF99-F61F-4BB0-B358-CDB722422BE0}"/>
            </a:ext>
          </a:extLst>
        </xdr:cNvPr>
        <xdr:cNvSpPr txBox="1"/>
      </xdr:nvSpPr>
      <xdr:spPr>
        <a:xfrm>
          <a:off x="285750" y="30546675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3</xdr:col>
      <xdr:colOff>637203</xdr:colOff>
      <xdr:row>160</xdr:row>
      <xdr:rowOff>76200</xdr:rowOff>
    </xdr:from>
    <xdr:ext cx="3181350" cy="628650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50039AD4-F36F-4167-AFA5-6E494CA3A1A5}"/>
            </a:ext>
          </a:extLst>
        </xdr:cNvPr>
        <xdr:cNvSpPr txBox="1"/>
      </xdr:nvSpPr>
      <xdr:spPr>
        <a:xfrm>
          <a:off x="2923203" y="30556200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  <xdr:oneCellAnchor>
    <xdr:from>
      <xdr:col>4</xdr:col>
      <xdr:colOff>771525</xdr:colOff>
      <xdr:row>3</xdr:row>
      <xdr:rowOff>114300</xdr:rowOff>
    </xdr:from>
    <xdr:ext cx="2790824" cy="254557"/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9D94818B-B666-4F99-B801-23E08C18DE8A}"/>
            </a:ext>
          </a:extLst>
        </xdr:cNvPr>
        <xdr:cNvSpPr txBox="1"/>
      </xdr:nvSpPr>
      <xdr:spPr>
        <a:xfrm>
          <a:off x="3810000" y="6858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</a:t>
          </a:r>
          <a:r>
            <a:rPr lang="es-MX" sz="1100" b="1" baseline="0">
              <a:latin typeface="Arial" pitchFamily="34" charset="0"/>
              <a:cs typeface="Arial" pitchFamily="34" charset="0"/>
            </a:rPr>
            <a:t>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834F914D-81F5-4B99-96B2-3D4DB3EABE27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371475</xdr:colOff>
      <xdr:row>0</xdr:row>
      <xdr:rowOff>85725</xdr:rowOff>
    </xdr:from>
    <xdr:ext cx="1447112" cy="254557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28606116-5D9C-49F5-8E9E-16EA7DD9F696}"/>
            </a:ext>
          </a:extLst>
        </xdr:cNvPr>
        <xdr:cNvSpPr txBox="1"/>
      </xdr:nvSpPr>
      <xdr:spPr>
        <a:xfrm>
          <a:off x="4133850" y="85725"/>
          <a:ext cx="144711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ETCA-II-06</a:t>
          </a:r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37821391-060D-4040-AB93-489116644F47}"/>
            </a:ext>
          </a:extLst>
        </xdr:cNvPr>
        <xdr:cNvSpPr txBox="1"/>
      </xdr:nvSpPr>
      <xdr:spPr>
        <a:xfrm>
          <a:off x="752475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275C8C0F-BB77-4D77-8229-55DBE9F1A028}"/>
            </a:ext>
          </a:extLst>
        </xdr:cNvPr>
        <xdr:cNvSpPr txBox="1"/>
      </xdr:nvSpPr>
      <xdr:spPr>
        <a:xfrm>
          <a:off x="752475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596830</xdr:colOff>
      <xdr:row>28</xdr:row>
      <xdr:rowOff>0</xdr:rowOff>
    </xdr:from>
    <xdr:ext cx="184731" cy="254557"/>
    <xdr:sp macro="" textlink="">
      <xdr:nvSpPr>
        <xdr:cNvPr id="6" name="9 CuadroTexto">
          <a:extLst>
            <a:ext uri="{FF2B5EF4-FFF2-40B4-BE49-F238E27FC236}">
              <a16:creationId xmlns:a16="http://schemas.microsoft.com/office/drawing/2014/main" id="{74658498-9CDA-4C2B-B435-171128768751}"/>
            </a:ext>
          </a:extLst>
        </xdr:cNvPr>
        <xdr:cNvSpPr txBox="1"/>
      </xdr:nvSpPr>
      <xdr:spPr>
        <a:xfrm>
          <a:off x="5111680" y="5334000"/>
          <a:ext cx="18473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6B07D0C1-A026-4460-818B-5EABC4C0A617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F59378D-227D-4CBD-98F6-55580C9CAFF6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</xdr:row>
      <xdr:rowOff>142875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4A5ECF55-6DEF-415A-A229-830187DF8C8B}"/>
            </a:ext>
          </a:extLst>
        </xdr:cNvPr>
        <xdr:cNvSpPr txBox="1"/>
      </xdr:nvSpPr>
      <xdr:spPr>
        <a:xfrm>
          <a:off x="451485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21</xdr:row>
      <xdr:rowOff>76200</xdr:rowOff>
    </xdr:from>
    <xdr:ext cx="3429000" cy="666749"/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6B850682-3623-42BC-8566-F110CAC04255}"/>
            </a:ext>
          </a:extLst>
        </xdr:cNvPr>
        <xdr:cNvSpPr txBox="1"/>
      </xdr:nvSpPr>
      <xdr:spPr>
        <a:xfrm>
          <a:off x="0" y="4076700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3</xdr:col>
      <xdr:colOff>246678</xdr:colOff>
      <xdr:row>21</xdr:row>
      <xdr:rowOff>76200</xdr:rowOff>
    </xdr:from>
    <xdr:ext cx="3181350" cy="628650"/>
    <xdr:sp macro="" textlink="">
      <xdr:nvSpPr>
        <xdr:cNvPr id="11" name="CuadroTexto 5">
          <a:extLst>
            <a:ext uri="{FF2B5EF4-FFF2-40B4-BE49-F238E27FC236}">
              <a16:creationId xmlns:a16="http://schemas.microsoft.com/office/drawing/2014/main" id="{71840BC7-3130-4989-93F2-A13B8774E09F}"/>
            </a:ext>
          </a:extLst>
        </xdr:cNvPr>
        <xdr:cNvSpPr txBox="1"/>
      </xdr:nvSpPr>
      <xdr:spPr>
        <a:xfrm>
          <a:off x="2504103" y="4076700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  <xdr:oneCellAnchor>
    <xdr:from>
      <xdr:col>3</xdr:col>
      <xdr:colOff>847725</xdr:colOff>
      <xdr:row>3</xdr:row>
      <xdr:rowOff>142875</xdr:rowOff>
    </xdr:from>
    <xdr:ext cx="2790824" cy="254557"/>
    <xdr:sp macro="" textlink="">
      <xdr:nvSpPr>
        <xdr:cNvPr id="12" name="25 CuadroTexto">
          <a:extLst>
            <a:ext uri="{FF2B5EF4-FFF2-40B4-BE49-F238E27FC236}">
              <a16:creationId xmlns:a16="http://schemas.microsoft.com/office/drawing/2014/main" id="{43B01C3E-7A28-4E53-8806-6E3562565FCA}"/>
            </a:ext>
          </a:extLst>
        </xdr:cNvPr>
        <xdr:cNvSpPr txBox="1"/>
      </xdr:nvSpPr>
      <xdr:spPr>
        <a:xfrm>
          <a:off x="3009900" y="71437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</a:t>
          </a:r>
          <a:r>
            <a:rPr lang="es-MX" sz="1100" b="1" baseline="0">
              <a:latin typeface="Arial" pitchFamily="34" charset="0"/>
              <a:cs typeface="Arial" pitchFamily="34" charset="0"/>
            </a:rPr>
            <a:t>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27862854-C0B1-43CB-84F3-B78A9CD33339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7AC67FDF-437E-4960-992A-A6DA85A40C04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F9F1C408-FC81-401E-BED6-5711BCC1C343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397532</xdr:colOff>
      <xdr:row>0</xdr:row>
      <xdr:rowOff>0</xdr:rowOff>
    </xdr:from>
    <xdr:ext cx="1478446" cy="254557"/>
    <xdr:sp macro="" textlink="">
      <xdr:nvSpPr>
        <xdr:cNvPr id="5" name="11 CuadroTexto">
          <a:extLst>
            <a:ext uri="{FF2B5EF4-FFF2-40B4-BE49-F238E27FC236}">
              <a16:creationId xmlns:a16="http://schemas.microsoft.com/office/drawing/2014/main" id="{B351DD76-7736-44A3-A639-A267EBF70614}"/>
            </a:ext>
          </a:extLst>
        </xdr:cNvPr>
        <xdr:cNvSpPr txBox="1"/>
      </xdr:nvSpPr>
      <xdr:spPr>
        <a:xfrm>
          <a:off x="4159907" y="0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ETCA-II-07</a:t>
          </a:r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55517EA4-1483-4B32-92FB-B627C28C60DD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C71D4DF8-C6A6-42B0-B325-85D0CFC3F567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6EE37887-23F6-4BAA-BF79-D615C13D4503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</xdr:row>
      <xdr:rowOff>142875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0B88B7E2-3B58-4BD9-9952-CC07396C2F4E}"/>
            </a:ext>
          </a:extLst>
        </xdr:cNvPr>
        <xdr:cNvSpPr txBox="1"/>
      </xdr:nvSpPr>
      <xdr:spPr>
        <a:xfrm>
          <a:off x="451485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DCCA5726-E977-4CCC-9CC0-6C908AC6CFC6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38734F66-0D4E-4214-87DB-D37E2C96705C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67636D94-E634-4978-AEBA-F3ADE883B0B0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A03D4C7A-BB11-4CD9-8AE8-DE0159BF83DC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14" name="4 CuadroTexto">
          <a:extLst>
            <a:ext uri="{FF2B5EF4-FFF2-40B4-BE49-F238E27FC236}">
              <a16:creationId xmlns:a16="http://schemas.microsoft.com/office/drawing/2014/main" id="{E7BC2316-3407-4AAC-878A-6F8D6FED55EC}"/>
            </a:ext>
          </a:extLst>
        </xdr:cNvPr>
        <xdr:cNvSpPr txBox="1"/>
      </xdr:nvSpPr>
      <xdr:spPr>
        <a:xfrm>
          <a:off x="4514850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AEF1C716-EFC3-45E6-8AEF-C084C37AD8B4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94F753BB-F396-4832-AEE2-C81F1E29E785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54ADEC94-1940-47C3-A3CE-41E3037EC663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39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9FD5DB57-52FB-48C9-8CB6-75DA7A37048D}"/>
            </a:ext>
          </a:extLst>
        </xdr:cNvPr>
        <xdr:cNvSpPr txBox="1"/>
      </xdr:nvSpPr>
      <xdr:spPr>
        <a:xfrm>
          <a:off x="752475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64560"/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F156A339-6CB3-44B0-AFE9-342D4A84AF13}"/>
            </a:ext>
          </a:extLst>
        </xdr:cNvPr>
        <xdr:cNvSpPr txBox="1"/>
      </xdr:nvSpPr>
      <xdr:spPr>
        <a:xfrm>
          <a:off x="4514850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8283</xdr:colOff>
      <xdr:row>33</xdr:row>
      <xdr:rowOff>0</xdr:rowOff>
    </xdr:from>
    <xdr:ext cx="3429000" cy="666749"/>
    <xdr:sp macro="" textlink="">
      <xdr:nvSpPr>
        <xdr:cNvPr id="20" name="CuadroTexto 5">
          <a:extLst>
            <a:ext uri="{FF2B5EF4-FFF2-40B4-BE49-F238E27FC236}">
              <a16:creationId xmlns:a16="http://schemas.microsoft.com/office/drawing/2014/main" id="{7F127D12-8A2A-49E5-A5D8-6BF6BFDA20DB}"/>
            </a:ext>
          </a:extLst>
        </xdr:cNvPr>
        <xdr:cNvSpPr txBox="1"/>
      </xdr:nvSpPr>
      <xdr:spPr>
        <a:xfrm>
          <a:off x="8283" y="6286500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3</xdr:col>
      <xdr:colOff>241295</xdr:colOff>
      <xdr:row>33</xdr:row>
      <xdr:rowOff>9525</xdr:rowOff>
    </xdr:from>
    <xdr:ext cx="3181350" cy="628650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8E61367E-2BEA-4836-BB3F-F4389408E113}"/>
            </a:ext>
          </a:extLst>
        </xdr:cNvPr>
        <xdr:cNvSpPr txBox="1"/>
      </xdr:nvSpPr>
      <xdr:spPr>
        <a:xfrm>
          <a:off x="2498720" y="6296025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  <xdr:oneCellAnchor>
    <xdr:from>
      <xdr:col>4</xdr:col>
      <xdr:colOff>0</xdr:colOff>
      <xdr:row>3</xdr:row>
      <xdr:rowOff>132521</xdr:rowOff>
    </xdr:from>
    <xdr:ext cx="2790824" cy="254557"/>
    <xdr:sp macro="" textlink="">
      <xdr:nvSpPr>
        <xdr:cNvPr id="22" name="25 CuadroTexto">
          <a:extLst>
            <a:ext uri="{FF2B5EF4-FFF2-40B4-BE49-F238E27FC236}">
              <a16:creationId xmlns:a16="http://schemas.microsoft.com/office/drawing/2014/main" id="{A8B4D780-E7E2-4E6D-94DC-BBAEE7F4321C}"/>
            </a:ext>
          </a:extLst>
        </xdr:cNvPr>
        <xdr:cNvSpPr txBox="1"/>
      </xdr:nvSpPr>
      <xdr:spPr>
        <a:xfrm>
          <a:off x="3009900" y="704021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</a:t>
          </a:r>
          <a:r>
            <a:rPr lang="es-MX" sz="1100" b="1" baseline="0">
              <a:latin typeface="Arial" pitchFamily="34" charset="0"/>
              <a:cs typeface="Arial" pitchFamily="34" charset="0"/>
            </a:rPr>
            <a:t>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685801</xdr:colOff>
      <xdr:row>0</xdr:row>
      <xdr:rowOff>19050</xdr:rowOff>
    </xdr:from>
    <xdr:ext cx="1228724" cy="26670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ACAD2D40-AF99-4CAB-9131-D56D60AA4925}"/>
            </a:ext>
          </a:extLst>
        </xdr:cNvPr>
        <xdr:cNvSpPr txBox="1"/>
      </xdr:nvSpPr>
      <xdr:spPr>
        <a:xfrm>
          <a:off x="4495801" y="19050"/>
          <a:ext cx="1228724" cy="266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ETCA-II-08</a:t>
          </a:r>
        </a:p>
      </xdr:txBody>
    </xdr:sp>
    <xdr:clientData/>
  </xdr:oneCellAnchor>
  <xdr:oneCellAnchor>
    <xdr:from>
      <xdr:col>0</xdr:col>
      <xdr:colOff>0</xdr:colOff>
      <xdr:row>39</xdr:row>
      <xdr:rowOff>0</xdr:rowOff>
    </xdr:from>
    <xdr:ext cx="3429000" cy="666749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2F961549-2975-444A-97B1-927587426343}"/>
            </a:ext>
          </a:extLst>
        </xdr:cNvPr>
        <xdr:cNvSpPr txBox="1"/>
      </xdr:nvSpPr>
      <xdr:spPr>
        <a:xfrm>
          <a:off x="0" y="7429500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3</xdr:col>
      <xdr:colOff>189528</xdr:colOff>
      <xdr:row>39</xdr:row>
      <xdr:rowOff>19050</xdr:rowOff>
    </xdr:from>
    <xdr:ext cx="3181350" cy="628650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5A8118BF-5CDA-4DAD-BD9A-6EB90665BBF0}"/>
            </a:ext>
          </a:extLst>
        </xdr:cNvPr>
        <xdr:cNvSpPr txBox="1"/>
      </xdr:nvSpPr>
      <xdr:spPr>
        <a:xfrm>
          <a:off x="2475528" y="7448550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  <xdr:oneCellAnchor>
    <xdr:from>
      <xdr:col>4</xdr:col>
      <xdr:colOff>28575</xdr:colOff>
      <xdr:row>3</xdr:row>
      <xdr:rowOff>95250</xdr:rowOff>
    </xdr:from>
    <xdr:ext cx="2790824" cy="254557"/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1E1A4A4B-A3F4-4239-A6AD-01E4E123B535}"/>
            </a:ext>
          </a:extLst>
        </xdr:cNvPr>
        <xdr:cNvSpPr txBox="1"/>
      </xdr:nvSpPr>
      <xdr:spPr>
        <a:xfrm>
          <a:off x="3076575" y="6667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</a:t>
          </a:r>
          <a:r>
            <a:rPr lang="es-MX" sz="1100" b="1" baseline="0">
              <a:latin typeface="Arial" pitchFamily="34" charset="0"/>
              <a:cs typeface="Arial" pitchFamily="34" charset="0"/>
            </a:rPr>
            <a:t>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F1B4D2DD-24F6-4A21-A795-7D4746F1F30F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EDC3C4F-031D-4DD7-A1E7-837036580EFC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BFFECBC8-C482-4B37-80A9-077C9717F78D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A383A900-804B-4D15-811C-A30D0BBFE9F5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7194E4B3-45A8-4C53-8CC1-E52DCA5FE7A0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DB8E2D3F-6B8E-4A2E-A45F-1560B8C16A31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09D0599D-33F8-4CFF-8C4C-5B466105137A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301073</xdr:colOff>
      <xdr:row>0</xdr:row>
      <xdr:rowOff>16566</xdr:rowOff>
    </xdr:from>
    <xdr:ext cx="1478446" cy="254557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3D006B09-F1D0-443F-940F-A8363C80B0F0}"/>
            </a:ext>
          </a:extLst>
        </xdr:cNvPr>
        <xdr:cNvSpPr txBox="1"/>
      </xdr:nvSpPr>
      <xdr:spPr>
        <a:xfrm>
          <a:off x="4063448" y="16566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ETCA-II-09</a:t>
          </a:r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EB5E4B97-470B-4FC3-9891-C1912B2273B8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12C86D62-F564-464D-A91D-D811F3E3987D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6A6AECE9-A2AC-4F38-9481-1C468634393A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A55B97DD-2538-4072-B9ED-1D5B120A799F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3</xdr:row>
      <xdr:rowOff>142875</xdr:rowOff>
    </xdr:from>
    <xdr:ext cx="184731" cy="264560"/>
    <xdr:sp macro="" textlink="">
      <xdr:nvSpPr>
        <xdr:cNvPr id="14" name="4 CuadroTexto">
          <a:extLst>
            <a:ext uri="{FF2B5EF4-FFF2-40B4-BE49-F238E27FC236}">
              <a16:creationId xmlns:a16="http://schemas.microsoft.com/office/drawing/2014/main" id="{46D96392-F224-4E5B-A764-3EA54CE767B9}"/>
            </a:ext>
          </a:extLst>
        </xdr:cNvPr>
        <xdr:cNvSpPr txBox="1"/>
      </xdr:nvSpPr>
      <xdr:spPr>
        <a:xfrm>
          <a:off x="37623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F0F29662-9AE1-4660-8901-E4575E29DC62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FA4DACAB-72DD-4DA2-8E9C-06BBCFCA02E7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A8E1B39A-7C1D-44CB-B7E0-A9463C82E009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423D49A7-2E3A-44E2-87B0-19C1C08DEBF9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D34985FF-26EC-4BA6-8038-05C0AFE6AE3B}"/>
            </a:ext>
          </a:extLst>
        </xdr:cNvPr>
        <xdr:cNvSpPr txBox="1"/>
      </xdr:nvSpPr>
      <xdr:spPr>
        <a:xfrm>
          <a:off x="4514850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16</xdr:row>
      <xdr:rowOff>85725</xdr:rowOff>
    </xdr:from>
    <xdr:ext cx="3429000" cy="666749"/>
    <xdr:sp macro="" textlink="">
      <xdr:nvSpPr>
        <xdr:cNvPr id="20" name="CuadroTexto 5">
          <a:extLst>
            <a:ext uri="{FF2B5EF4-FFF2-40B4-BE49-F238E27FC236}">
              <a16:creationId xmlns:a16="http://schemas.microsoft.com/office/drawing/2014/main" id="{6EC9CF18-2084-4931-A290-A8FA06E5D14C}"/>
            </a:ext>
          </a:extLst>
        </xdr:cNvPr>
        <xdr:cNvSpPr txBox="1"/>
      </xdr:nvSpPr>
      <xdr:spPr>
        <a:xfrm>
          <a:off x="0" y="3133725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</a:t>
          </a:r>
        </a:p>
        <a:p>
          <a:pPr algn="ctr"/>
          <a:r>
            <a:rPr lang="es-MX" sz="1100" b="1"/>
            <a:t>C.P. LEONOR</a:t>
          </a:r>
          <a:r>
            <a:rPr lang="es-MX" sz="1100" b="1" baseline="0"/>
            <a:t> AMPARO LANDAVAZO GUTIERREZ</a:t>
          </a:r>
          <a:endParaRPr lang="es-MX" sz="1100" b="1"/>
        </a:p>
        <a:p>
          <a:pPr algn="ctr"/>
          <a:r>
            <a:rPr lang="es-MX" sz="1100" b="1"/>
            <a:t>DIRECTOR</a:t>
          </a:r>
          <a:r>
            <a:rPr lang="es-MX" sz="1100" b="1" baseline="0"/>
            <a:t> DE ADMINISTRACION</a:t>
          </a:r>
          <a:endParaRPr lang="es-MX" sz="1100" b="1"/>
        </a:p>
      </xdr:txBody>
    </xdr:sp>
    <xdr:clientData/>
  </xdr:oneCellAnchor>
  <xdr:oneCellAnchor>
    <xdr:from>
      <xdr:col>3</xdr:col>
      <xdr:colOff>227628</xdr:colOff>
      <xdr:row>16</xdr:row>
      <xdr:rowOff>95250</xdr:rowOff>
    </xdr:from>
    <xdr:ext cx="3181350" cy="628650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2FAAED7A-2800-4A95-92EB-3334FA538789}"/>
            </a:ext>
          </a:extLst>
        </xdr:cNvPr>
        <xdr:cNvSpPr txBox="1"/>
      </xdr:nvSpPr>
      <xdr:spPr>
        <a:xfrm>
          <a:off x="2485053" y="3143250"/>
          <a:ext cx="3181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 b="1"/>
            <a:t>______________________________________</a:t>
          </a:r>
        </a:p>
        <a:p>
          <a:pPr algn="ctr"/>
          <a:r>
            <a:rPr lang="es-MX" sz="1100" b="1"/>
            <a:t>C.P. MARIO ALBERTO MERINO DIAZ</a:t>
          </a:r>
        </a:p>
        <a:p>
          <a:pPr algn="ctr"/>
          <a:r>
            <a:rPr lang="es-MX" sz="1100" b="1"/>
            <a:t>DIRECTOR</a:t>
          </a:r>
          <a:r>
            <a:rPr lang="es-MX" sz="1100" b="1" baseline="0"/>
            <a:t> GENERAL DE ADMINISTRACION Y FINANZAS</a:t>
          </a:r>
          <a:endParaRPr lang="es-MX" sz="1100" b="1"/>
        </a:p>
      </xdr:txBody>
    </xdr:sp>
    <xdr:clientData/>
  </xdr:oneCellAnchor>
  <xdr:oneCellAnchor>
    <xdr:from>
      <xdr:col>3</xdr:col>
      <xdr:colOff>895350</xdr:colOff>
      <xdr:row>3</xdr:row>
      <xdr:rowOff>133350</xdr:rowOff>
    </xdr:from>
    <xdr:ext cx="2790824" cy="254557"/>
    <xdr:sp macro="" textlink="">
      <xdr:nvSpPr>
        <xdr:cNvPr id="22" name="25 CuadroTexto">
          <a:extLst>
            <a:ext uri="{FF2B5EF4-FFF2-40B4-BE49-F238E27FC236}">
              <a16:creationId xmlns:a16="http://schemas.microsoft.com/office/drawing/2014/main" id="{12786B68-B00A-423C-B75D-957799A8EE07}"/>
            </a:ext>
          </a:extLst>
        </xdr:cNvPr>
        <xdr:cNvSpPr txBox="1"/>
      </xdr:nvSpPr>
      <xdr:spPr>
        <a:xfrm>
          <a:off x="3009900" y="7048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SEGUNDO </a:t>
          </a:r>
          <a:r>
            <a:rPr lang="es-MX" sz="1100" b="1" baseline="0">
              <a:latin typeface="Arial" pitchFamily="34" charset="0"/>
              <a:cs typeface="Arial" pitchFamily="34" charset="0"/>
            </a:rPr>
            <a:t>2020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esktop\Cuenta%20publica\CEA\2020\2T\CTA%20CONTABLE%202T20.xlsx" TargetMode="External"/><Relationship Id="rId1" Type="http://schemas.openxmlformats.org/officeDocument/2006/relationships/externalLinkPath" Target="CTA%20CONTABLE%202T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esktop\Cuenta%20publica\CEA\2020\2T\Formatos-ETCA-2DO-TRIM-2020%20%20CEA-y-anexos.xlsx" TargetMode="External"/><Relationship Id="rId1" Type="http://schemas.openxmlformats.org/officeDocument/2006/relationships/externalLinkPath" Target="Formatos-ETCA-2DO-TRIM-2020%20%20CEA-y-anex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ica%20Encinas/AppData/Roaming/Microsoft/Excel/PT%20Gastos%20x%20partida%20pp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  <sheetName val="ETCA-I-02"/>
      <sheetName val="ETCA-I-03"/>
      <sheetName val="ETCA-I-04"/>
      <sheetName val="ETCA-I-05"/>
      <sheetName val="ETCA-I-06"/>
      <sheetName val="ETCA-I-07"/>
      <sheetName val="ETCA-I-08"/>
      <sheetName val="ETCA-I-09"/>
      <sheetName val="ETCA-I-10"/>
      <sheetName val="ETCA-I-11"/>
      <sheetName val="ETCA-I-12 (NOTAS)"/>
    </sheetNames>
    <sheetDataSet>
      <sheetData sheetId="0">
        <row r="1">
          <cell r="A1" t="str">
            <v xml:space="preserve">Comision Estatal del Agua  </v>
          </cell>
        </row>
        <row r="3">
          <cell r="A3" t="str">
            <v>Al 30 de Junio de 2020</v>
          </cell>
        </row>
      </sheetData>
      <sheetData sheetId="1">
        <row r="10">
          <cell r="B10">
            <v>53026794.380000003</v>
          </cell>
        </row>
      </sheetData>
      <sheetData sheetId="2">
        <row r="3">
          <cell r="A3" t="str">
            <v>Del 01 de Enero al 30 de Junio de 2020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4">
          <cell r="C24">
            <v>229366508.36000001</v>
          </cell>
        </row>
        <row r="52">
          <cell r="C52">
            <v>3353973.41</v>
          </cell>
        </row>
        <row r="61">
          <cell r="C61">
            <v>246877061.17999998</v>
          </cell>
        </row>
      </sheetData>
      <sheetData sheetId="3"/>
      <sheetData sheetId="4" refreshError="1"/>
      <sheetData sheetId="5"/>
      <sheetData sheetId="6"/>
      <sheetData sheetId="7"/>
      <sheetData sheetId="8"/>
      <sheetData sheetId="9">
        <row r="3">
          <cell r="A3" t="str">
            <v>Del 01 de Enero al 30 de Junio de 2020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 FORMATOS  "/>
      <sheetName val="ETCA-III-01"/>
      <sheetName val="ETCA-III-03"/>
      <sheetName val="ETCA-III-04"/>
      <sheetName val="ETCA-III-05"/>
      <sheetName val="ETCA-IV-01"/>
      <sheetName val="ETCA-IV-02"/>
      <sheetName val="ETCA-IV-03"/>
      <sheetName val="ETCA-IV-04"/>
      <sheetName val="ANEXO A"/>
      <sheetName val="ANEXO B"/>
      <sheetName val="ANEXO 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AF62D-27FF-40DC-B01C-6B4FF08EBDD0}">
  <sheetPr>
    <tabColor theme="0" tint="-0.14999847407452621"/>
  </sheetPr>
  <dimension ref="A1:H57"/>
  <sheetViews>
    <sheetView tabSelected="1" view="pageBreakPreview" topLeftCell="A28" zoomScaleNormal="100" zoomScaleSheetLayoutView="100" workbookViewId="0">
      <selection activeCell="T27" sqref="T27"/>
    </sheetView>
  </sheetViews>
  <sheetFormatPr baseColWidth="10" defaultColWidth="11.28515625" defaultRowHeight="16.5" x14ac:dyDescent="0.25"/>
  <cols>
    <col min="1" max="1" width="1.140625" style="2" customWidth="1"/>
    <col min="2" max="2" width="31.7109375" style="2" customWidth="1"/>
    <col min="3" max="4" width="14.28515625" style="1" customWidth="1"/>
    <col min="5" max="5" width="13.140625" style="1" customWidth="1"/>
    <col min="6" max="6" width="14" style="1" customWidth="1"/>
    <col min="7" max="7" width="15" style="1" customWidth="1"/>
    <col min="8" max="8" width="14.28515625" style="1" customWidth="1"/>
    <col min="9" max="16384" width="11.28515625" style="1"/>
  </cols>
  <sheetData>
    <row r="1" spans="1:8" x14ac:dyDescent="0.25">
      <c r="A1" s="105" t="str">
        <f>'[1]ETCA-I-01'!A1:G1</f>
        <v xml:space="preserve">Comision Estatal del Agua  </v>
      </c>
      <c r="B1" s="105"/>
      <c r="C1" s="105"/>
      <c r="D1" s="105"/>
      <c r="E1" s="105"/>
      <c r="F1" s="105"/>
      <c r="G1" s="105"/>
      <c r="H1" s="105"/>
    </row>
    <row r="2" spans="1:8" s="103" customFormat="1" ht="15.75" x14ac:dyDescent="0.25">
      <c r="A2" s="105" t="s">
        <v>40</v>
      </c>
      <c r="B2" s="105"/>
      <c r="C2" s="105"/>
      <c r="D2" s="105"/>
      <c r="E2" s="105"/>
      <c r="F2" s="105"/>
      <c r="G2" s="105"/>
      <c r="H2" s="105"/>
    </row>
    <row r="3" spans="1:8" s="103" customFormat="1" x14ac:dyDescent="0.25">
      <c r="A3" s="104" t="str">
        <f>'[1]ETCA-I-03'!A3:D3</f>
        <v>Del 01 de Enero al 30 de Junio de 2020</v>
      </c>
      <c r="B3" s="104"/>
      <c r="C3" s="104"/>
      <c r="D3" s="104"/>
      <c r="E3" s="104"/>
      <c r="F3" s="104"/>
      <c r="G3" s="104"/>
      <c r="H3" s="104"/>
    </row>
    <row r="4" spans="1:8" s="26" customFormat="1" ht="17.25" thickBot="1" x14ac:dyDescent="0.3">
      <c r="A4" s="102"/>
      <c r="B4" s="102"/>
      <c r="C4" s="101"/>
      <c r="D4" s="101"/>
      <c r="E4" s="101"/>
      <c r="F4" s="101"/>
      <c r="G4" s="100"/>
      <c r="H4" s="99"/>
    </row>
    <row r="5" spans="1:8" s="55" customFormat="1" ht="17.25" thickBot="1" x14ac:dyDescent="0.3">
      <c r="A5" s="98" t="s">
        <v>39</v>
      </c>
      <c r="B5" s="97"/>
      <c r="C5" s="68" t="s">
        <v>33</v>
      </c>
      <c r="D5" s="67"/>
      <c r="E5" s="67"/>
      <c r="F5" s="67"/>
      <c r="G5" s="66"/>
      <c r="H5" s="65"/>
    </row>
    <row r="6" spans="1:8" s="55" customFormat="1" ht="39" thickBot="1" x14ac:dyDescent="0.3">
      <c r="A6" s="96"/>
      <c r="B6" s="95"/>
      <c r="C6" s="62" t="s">
        <v>32</v>
      </c>
      <c r="D6" s="62" t="s">
        <v>31</v>
      </c>
      <c r="E6" s="62" t="s">
        <v>30</v>
      </c>
      <c r="F6" s="61" t="s">
        <v>29</v>
      </c>
      <c r="G6" s="61" t="s">
        <v>28</v>
      </c>
      <c r="H6" s="60" t="s">
        <v>27</v>
      </c>
    </row>
    <row r="7" spans="1:8" s="55" customFormat="1" ht="17.25" thickBot="1" x14ac:dyDescent="0.3">
      <c r="A7" s="94"/>
      <c r="B7" s="93"/>
      <c r="C7" s="56" t="s">
        <v>26</v>
      </c>
      <c r="D7" s="56" t="s">
        <v>25</v>
      </c>
      <c r="E7" s="56" t="s">
        <v>24</v>
      </c>
      <c r="F7" s="57" t="s">
        <v>23</v>
      </c>
      <c r="G7" s="57" t="s">
        <v>22</v>
      </c>
      <c r="H7" s="56" t="s">
        <v>21</v>
      </c>
    </row>
    <row r="8" spans="1:8" s="55" customFormat="1" ht="8.25" customHeight="1" x14ac:dyDescent="0.25">
      <c r="A8" s="92"/>
      <c r="B8" s="11"/>
      <c r="C8" s="91"/>
      <c r="D8" s="91"/>
      <c r="E8" s="90"/>
      <c r="F8" s="91"/>
      <c r="G8" s="91"/>
      <c r="H8" s="90"/>
    </row>
    <row r="9" spans="1:8" ht="17.100000000000001" customHeight="1" x14ac:dyDescent="0.25">
      <c r="A9" s="89"/>
      <c r="B9" s="88" t="s">
        <v>38</v>
      </c>
      <c r="C9" s="42"/>
      <c r="D9" s="42"/>
      <c r="E9" s="87">
        <f>C9+D9</f>
        <v>0</v>
      </c>
      <c r="F9" s="42"/>
      <c r="G9" s="42"/>
      <c r="H9" s="87">
        <f>G9-C9</f>
        <v>0</v>
      </c>
    </row>
    <row r="10" spans="1:8" ht="17.100000000000001" customHeight="1" x14ac:dyDescent="0.25">
      <c r="A10" s="89"/>
      <c r="B10" s="88" t="s">
        <v>12</v>
      </c>
      <c r="C10" s="42">
        <v>0</v>
      </c>
      <c r="D10" s="42">
        <v>0</v>
      </c>
      <c r="E10" s="87">
        <f>C10+D10</f>
        <v>0</v>
      </c>
      <c r="F10" s="42">
        <v>0</v>
      </c>
      <c r="G10" s="42">
        <v>0</v>
      </c>
      <c r="H10" s="87">
        <f>G10-C10</f>
        <v>0</v>
      </c>
    </row>
    <row r="11" spans="1:8" ht="17.100000000000001" customHeight="1" x14ac:dyDescent="0.25">
      <c r="A11" s="89"/>
      <c r="B11" s="88" t="s">
        <v>18</v>
      </c>
      <c r="C11" s="42">
        <v>0</v>
      </c>
      <c r="D11" s="42"/>
      <c r="E11" s="87">
        <f>C11+D11</f>
        <v>0</v>
      </c>
      <c r="F11" s="42"/>
      <c r="G11" s="42"/>
      <c r="H11" s="87">
        <f>G11-C11</f>
        <v>0</v>
      </c>
    </row>
    <row r="12" spans="1:8" ht="17.100000000000001" customHeight="1" x14ac:dyDescent="0.25">
      <c r="A12" s="89"/>
      <c r="B12" s="88" t="s">
        <v>17</v>
      </c>
      <c r="C12" s="42">
        <v>0</v>
      </c>
      <c r="D12" s="42"/>
      <c r="E12" s="87">
        <f>C12+D12</f>
        <v>0</v>
      </c>
      <c r="F12" s="42"/>
      <c r="G12" s="42"/>
      <c r="H12" s="87">
        <f>G12-C12</f>
        <v>0</v>
      </c>
    </row>
    <row r="13" spans="1:8" ht="17.100000000000001" customHeight="1" x14ac:dyDescent="0.25">
      <c r="A13" s="89"/>
      <c r="B13" s="88" t="s">
        <v>37</v>
      </c>
      <c r="C13" s="42">
        <v>0</v>
      </c>
      <c r="D13" s="42">
        <v>353853.81</v>
      </c>
      <c r="E13" s="87">
        <f>C13+D13</f>
        <v>353853.81</v>
      </c>
      <c r="F13" s="42">
        <v>353853.81</v>
      </c>
      <c r="G13" s="42">
        <v>353853.81</v>
      </c>
      <c r="H13" s="87">
        <f>G13-C13</f>
        <v>353853.81</v>
      </c>
    </row>
    <row r="14" spans="1:8" ht="17.100000000000001" customHeight="1" x14ac:dyDescent="0.25">
      <c r="A14" s="89"/>
      <c r="B14" s="88" t="s">
        <v>36</v>
      </c>
      <c r="C14" s="42">
        <v>0</v>
      </c>
      <c r="D14" s="42"/>
      <c r="E14" s="87">
        <f>C14+D14</f>
        <v>0</v>
      </c>
      <c r="F14" s="42"/>
      <c r="G14" s="42"/>
      <c r="H14" s="87">
        <f>G14-C14</f>
        <v>0</v>
      </c>
    </row>
    <row r="15" spans="1:8" ht="29.25" customHeight="1" x14ac:dyDescent="0.25">
      <c r="A15" s="89"/>
      <c r="B15" s="88" t="s">
        <v>35</v>
      </c>
      <c r="C15" s="42">
        <v>236101777</v>
      </c>
      <c r="D15" s="42">
        <v>14014376.059999999</v>
      </c>
      <c r="E15" s="87">
        <f>C15+D15</f>
        <v>250116153.06</v>
      </c>
      <c r="F15" s="42">
        <f>91817930.58+0.72</f>
        <v>91817931.299999997</v>
      </c>
      <c r="G15" s="42">
        <f>91817930.58+0.72</f>
        <v>91817931.299999997</v>
      </c>
      <c r="H15" s="87">
        <f>G15-C15</f>
        <v>-144283845.69999999</v>
      </c>
    </row>
    <row r="16" spans="1:8" ht="55.5" customHeight="1" x14ac:dyDescent="0.25">
      <c r="A16" s="89"/>
      <c r="B16" s="88" t="s">
        <v>14</v>
      </c>
      <c r="C16" s="42">
        <v>88275234</v>
      </c>
      <c r="D16" s="42"/>
      <c r="E16" s="87">
        <f>C16+D16</f>
        <v>88275234</v>
      </c>
      <c r="F16" s="42">
        <v>6004275.1500000004</v>
      </c>
      <c r="G16" s="42">
        <v>6004275.1500000004</v>
      </c>
      <c r="H16" s="87">
        <f>G16-C16</f>
        <v>-82270958.849999994</v>
      </c>
    </row>
    <row r="17" spans="1:8" ht="25.5" x14ac:dyDescent="0.25">
      <c r="A17" s="89"/>
      <c r="B17" s="88" t="s">
        <v>9</v>
      </c>
      <c r="C17" s="42">
        <v>299012407</v>
      </c>
      <c r="D17" s="42">
        <v>27609252.969999999</v>
      </c>
      <c r="E17" s="87">
        <f>C17+D17</f>
        <v>326621659.97000003</v>
      </c>
      <c r="F17" s="42">
        <v>131190448.09999999</v>
      </c>
      <c r="G17" s="42">
        <v>131190448.09999999</v>
      </c>
      <c r="H17" s="87">
        <f>G17-C17</f>
        <v>-167821958.90000001</v>
      </c>
    </row>
    <row r="18" spans="1:8" ht="17.100000000000001" customHeight="1" thickBot="1" x14ac:dyDescent="0.3">
      <c r="A18" s="86"/>
      <c r="B18" s="85" t="s">
        <v>7</v>
      </c>
      <c r="C18" s="84"/>
      <c r="D18" s="84"/>
      <c r="E18" s="83">
        <f>C18+D18</f>
        <v>0</v>
      </c>
      <c r="F18" s="84"/>
      <c r="G18" s="84"/>
      <c r="H18" s="83">
        <f>G18-C18</f>
        <v>0</v>
      </c>
    </row>
    <row r="19" spans="1:8" s="79" customFormat="1" ht="28.5" customHeight="1" thickBot="1" x14ac:dyDescent="0.3">
      <c r="A19" s="82" t="s">
        <v>6</v>
      </c>
      <c r="B19" s="81"/>
      <c r="C19" s="80">
        <f>C9+C10+C11+C12+C13+C14+C15+C16+C17+C18</f>
        <v>623389418</v>
      </c>
      <c r="D19" s="80">
        <f>D9+D10+D11+D12+D13+D14+D15+D16+D17+D18</f>
        <v>41977482.839999996</v>
      </c>
      <c r="E19" s="80">
        <f>E9+E10+E11+E12+E13+E14+E15+E16+E17+E18</f>
        <v>665366900.84000003</v>
      </c>
      <c r="F19" s="80">
        <f>F9+F10+F11+F12+F13+F14+F15+F16+F17+F18</f>
        <v>229366508.36000001</v>
      </c>
      <c r="G19" s="80">
        <f>G9+G10+G11+G12+G13+G14+G15+G16+G17+G18</f>
        <v>229366508.36000001</v>
      </c>
      <c r="H19" s="80">
        <f>G19-C19</f>
        <v>-394022909.63999999</v>
      </c>
    </row>
    <row r="20" spans="1:8" ht="22.5" customHeight="1" thickBot="1" x14ac:dyDescent="0.3">
      <c r="A20" s="22"/>
      <c r="B20" s="22"/>
      <c r="C20" s="78"/>
      <c r="D20" s="78"/>
      <c r="E20" s="77"/>
      <c r="F20" s="71"/>
      <c r="G20" s="76" t="s">
        <v>5</v>
      </c>
      <c r="H20" s="75" t="str">
        <f>IF(($G$19-$C$19)&lt;=0,"",$G$19-$C$19)</f>
        <v/>
      </c>
    </row>
    <row r="21" spans="1:8" ht="10.5" customHeight="1" thickBot="1" x14ac:dyDescent="0.3">
      <c r="A21" s="11"/>
      <c r="B21" s="11"/>
      <c r="C21" s="74"/>
      <c r="D21" s="74"/>
      <c r="E21" s="74"/>
      <c r="F21" s="73"/>
      <c r="G21" s="72"/>
      <c r="H21" s="71"/>
    </row>
    <row r="22" spans="1:8" s="55" customFormat="1" ht="17.25" thickBot="1" x14ac:dyDescent="0.3">
      <c r="A22" s="70" t="s">
        <v>34</v>
      </c>
      <c r="B22" s="69"/>
      <c r="C22" s="68" t="s">
        <v>33</v>
      </c>
      <c r="D22" s="67"/>
      <c r="E22" s="67"/>
      <c r="F22" s="67"/>
      <c r="G22" s="66"/>
      <c r="H22" s="65"/>
    </row>
    <row r="23" spans="1:8" s="55" customFormat="1" ht="39" thickBot="1" x14ac:dyDescent="0.3">
      <c r="A23" s="64"/>
      <c r="B23" s="63"/>
      <c r="C23" s="62" t="s">
        <v>32</v>
      </c>
      <c r="D23" s="62" t="s">
        <v>31</v>
      </c>
      <c r="E23" s="62" t="s">
        <v>30</v>
      </c>
      <c r="F23" s="61" t="s">
        <v>29</v>
      </c>
      <c r="G23" s="61" t="s">
        <v>28</v>
      </c>
      <c r="H23" s="60" t="s">
        <v>27</v>
      </c>
    </row>
    <row r="24" spans="1:8" s="55" customFormat="1" ht="17.25" thickBot="1" x14ac:dyDescent="0.3">
      <c r="A24" s="59"/>
      <c r="B24" s="58"/>
      <c r="C24" s="56" t="s">
        <v>26</v>
      </c>
      <c r="D24" s="56" t="s">
        <v>25</v>
      </c>
      <c r="E24" s="56" t="s">
        <v>24</v>
      </c>
      <c r="F24" s="57" t="s">
        <v>23</v>
      </c>
      <c r="G24" s="57" t="s">
        <v>22</v>
      </c>
      <c r="H24" s="56" t="s">
        <v>21</v>
      </c>
    </row>
    <row r="25" spans="1:8" s="26" customFormat="1" ht="48" customHeight="1" x14ac:dyDescent="0.25">
      <c r="A25" s="54" t="s">
        <v>20</v>
      </c>
      <c r="B25" s="53"/>
      <c r="C25" s="37">
        <f>SUM(C26,C27,C28,C29,C30,C31,C32,C33)</f>
        <v>88275234</v>
      </c>
      <c r="D25" s="37">
        <f>SUM(D26,D27,D28,D29,D30,D31,D32,D33)</f>
        <v>0</v>
      </c>
      <c r="E25" s="37">
        <f>SUM(E26,E27,E28,E29,E30,E31,E32,E33)</f>
        <v>88275234</v>
      </c>
      <c r="F25" s="37">
        <f>SUM(F26,F27,F28,F29,F30,F31,F32,F33)</f>
        <v>6004275.1500000004</v>
      </c>
      <c r="G25" s="37">
        <f>SUM(G26,G27,G28,G29,G30,G31,G32,G33)</f>
        <v>6004275.1500000004</v>
      </c>
      <c r="H25" s="37">
        <f>SUM(H26,H27,H28,H29,H30,H31,H32,H33)</f>
        <v>-82270958.849999994</v>
      </c>
    </row>
    <row r="26" spans="1:8" s="26" customFormat="1" ht="17.100000000000001" customHeight="1" x14ac:dyDescent="0.25">
      <c r="A26" s="52" t="s">
        <v>19</v>
      </c>
      <c r="B26" s="51"/>
      <c r="C26" s="33">
        <v>0</v>
      </c>
      <c r="D26" s="33">
        <v>0</v>
      </c>
      <c r="E26" s="34">
        <f>C26+D26</f>
        <v>0</v>
      </c>
      <c r="F26" s="33">
        <v>0</v>
      </c>
      <c r="G26" s="33">
        <v>0</v>
      </c>
      <c r="H26" s="32">
        <f>G26-C26</f>
        <v>0</v>
      </c>
    </row>
    <row r="27" spans="1:8" s="26" customFormat="1" ht="17.100000000000001" customHeight="1" x14ac:dyDescent="0.25">
      <c r="A27" s="52"/>
      <c r="B27" s="39" t="s">
        <v>12</v>
      </c>
      <c r="C27" s="33"/>
      <c r="D27" s="33"/>
      <c r="E27" s="34"/>
      <c r="F27" s="33"/>
      <c r="G27" s="33"/>
      <c r="H27" s="32"/>
    </row>
    <row r="28" spans="1:8" s="26" customFormat="1" ht="17.100000000000001" customHeight="1" x14ac:dyDescent="0.25">
      <c r="A28" s="52" t="s">
        <v>18</v>
      </c>
      <c r="B28" s="51"/>
      <c r="C28" s="33"/>
      <c r="D28" s="33"/>
      <c r="E28" s="34">
        <f>C28+D28</f>
        <v>0</v>
      </c>
      <c r="F28" s="33"/>
      <c r="G28" s="33"/>
      <c r="H28" s="32">
        <f>G28-C28</f>
        <v>0</v>
      </c>
    </row>
    <row r="29" spans="1:8" s="26" customFormat="1" x14ac:dyDescent="0.25">
      <c r="A29" s="47" t="s">
        <v>17</v>
      </c>
      <c r="B29" s="46"/>
      <c r="C29" s="33"/>
      <c r="D29" s="33"/>
      <c r="E29" s="34">
        <f>C29+D29</f>
        <v>0</v>
      </c>
      <c r="F29" s="33"/>
      <c r="G29" s="33"/>
      <c r="H29" s="32">
        <f>G29-C29</f>
        <v>0</v>
      </c>
    </row>
    <row r="30" spans="1:8" s="26" customFormat="1" ht="17.100000000000001" customHeight="1" x14ac:dyDescent="0.25">
      <c r="A30" s="47" t="s">
        <v>11</v>
      </c>
      <c r="B30" s="46"/>
      <c r="C30" s="33"/>
      <c r="D30" s="33"/>
      <c r="E30" s="34">
        <f>C30+D30</f>
        <v>0</v>
      </c>
      <c r="F30" s="33"/>
      <c r="G30" s="33"/>
      <c r="H30" s="32">
        <f>G30-C30</f>
        <v>0</v>
      </c>
    </row>
    <row r="31" spans="1:8" ht="17.100000000000001" customHeight="1" x14ac:dyDescent="0.25">
      <c r="A31" s="47" t="s">
        <v>16</v>
      </c>
      <c r="B31" s="46" t="s">
        <v>15</v>
      </c>
      <c r="C31" s="50"/>
      <c r="D31" s="50"/>
      <c r="E31" s="34">
        <f>C31+D31</f>
        <v>0</v>
      </c>
      <c r="F31" s="50"/>
      <c r="G31" s="50"/>
      <c r="H31" s="32">
        <f>G31-C31</f>
        <v>0</v>
      </c>
    </row>
    <row r="32" spans="1:8" s="26" customFormat="1" ht="51" customHeight="1" x14ac:dyDescent="0.25">
      <c r="A32" s="49"/>
      <c r="B32" s="48" t="s">
        <v>14</v>
      </c>
      <c r="C32" s="33">
        <v>88275234</v>
      </c>
      <c r="D32" s="33"/>
      <c r="E32" s="34">
        <f>C32+D32</f>
        <v>88275234</v>
      </c>
      <c r="F32" s="33">
        <v>6004275.1500000004</v>
      </c>
      <c r="G32" s="33">
        <v>6004275.1500000004</v>
      </c>
      <c r="H32" s="32">
        <f>G32-C32</f>
        <v>-82270958.849999994</v>
      </c>
    </row>
    <row r="33" spans="1:8" s="26" customFormat="1" ht="27.75" customHeight="1" x14ac:dyDescent="0.25">
      <c r="A33" s="47" t="s">
        <v>9</v>
      </c>
      <c r="B33" s="46"/>
      <c r="C33" s="33"/>
      <c r="D33" s="33"/>
      <c r="E33" s="34">
        <f>C33+D33</f>
        <v>0</v>
      </c>
      <c r="F33" s="33"/>
      <c r="G33" s="33"/>
      <c r="H33" s="32">
        <f>G33-C33</f>
        <v>0</v>
      </c>
    </row>
    <row r="34" spans="1:8" s="26" customFormat="1" ht="8.25" customHeight="1" x14ac:dyDescent="0.25">
      <c r="A34" s="36"/>
      <c r="B34" s="38"/>
      <c r="C34" s="33"/>
      <c r="D34" s="33"/>
      <c r="E34" s="34"/>
      <c r="F34" s="33"/>
      <c r="G34" s="33"/>
      <c r="H34" s="32"/>
    </row>
    <row r="35" spans="1:8" s="26" customFormat="1" ht="66.75" customHeight="1" x14ac:dyDescent="0.25">
      <c r="A35" s="45" t="s">
        <v>13</v>
      </c>
      <c r="B35" s="44"/>
      <c r="C35" s="37">
        <f>SUM(C36:C39)</f>
        <v>535114184</v>
      </c>
      <c r="D35" s="37">
        <f>SUM(D36:D39)</f>
        <v>41977482.839999996</v>
      </c>
      <c r="E35" s="37">
        <f>SUM(E36:E39)</f>
        <v>576737813.02999997</v>
      </c>
      <c r="F35" s="37">
        <f>SUM(F36:F39)</f>
        <v>223362233.20999998</v>
      </c>
      <c r="G35" s="37">
        <f>SUM(G36:G39)</f>
        <v>223362233.20999998</v>
      </c>
      <c r="H35" s="37">
        <f>SUM(H36:H39)</f>
        <v>-312105804.60000002</v>
      </c>
    </row>
    <row r="36" spans="1:8" s="26" customFormat="1" ht="17.100000000000001" customHeight="1" x14ac:dyDescent="0.25">
      <c r="A36" s="40"/>
      <c r="B36" s="39" t="s">
        <v>12</v>
      </c>
      <c r="C36" s="33">
        <v>0</v>
      </c>
      <c r="D36" s="33"/>
      <c r="E36" s="34">
        <f>C36+D36</f>
        <v>0</v>
      </c>
      <c r="F36" s="33"/>
      <c r="G36" s="33"/>
      <c r="H36" s="32">
        <f>G36-C36</f>
        <v>0</v>
      </c>
    </row>
    <row r="37" spans="1:8" s="26" customFormat="1" ht="17.100000000000001" customHeight="1" x14ac:dyDescent="0.25">
      <c r="A37" s="40"/>
      <c r="B37" s="39" t="s">
        <v>11</v>
      </c>
      <c r="C37" s="33">
        <v>0</v>
      </c>
      <c r="D37" s="42">
        <v>353853.81</v>
      </c>
      <c r="E37" s="34"/>
      <c r="F37" s="42">
        <v>353853.81</v>
      </c>
      <c r="G37" s="42">
        <v>353853.81</v>
      </c>
      <c r="H37" s="32"/>
    </row>
    <row r="38" spans="1:8" s="26" customFormat="1" ht="30.75" customHeight="1" x14ac:dyDescent="0.25">
      <c r="A38" s="40"/>
      <c r="B38" s="43" t="s">
        <v>10</v>
      </c>
      <c r="C38" s="33">
        <v>236101777</v>
      </c>
      <c r="D38" s="33">
        <v>14014376.059999999</v>
      </c>
      <c r="E38" s="34">
        <f>C38+D38</f>
        <v>250116153.06</v>
      </c>
      <c r="F38" s="42">
        <f>91817930.58+0.72</f>
        <v>91817931.299999997</v>
      </c>
      <c r="G38" s="42">
        <f>91817930.58+0.72</f>
        <v>91817931.299999997</v>
      </c>
      <c r="H38" s="32">
        <f>G38-C38</f>
        <v>-144283845.69999999</v>
      </c>
    </row>
    <row r="39" spans="1:8" s="26" customFormat="1" ht="29.25" customHeight="1" x14ac:dyDescent="0.25">
      <c r="A39" s="40"/>
      <c r="B39" s="41" t="s">
        <v>9</v>
      </c>
      <c r="C39" s="33">
        <v>299012407</v>
      </c>
      <c r="D39" s="33">
        <v>27609252.969999999</v>
      </c>
      <c r="E39" s="34">
        <f>C39+D39</f>
        <v>326621659.97000003</v>
      </c>
      <c r="F39" s="33">
        <v>131190448.09999999</v>
      </c>
      <c r="G39" s="33">
        <v>131190448.09999999</v>
      </c>
      <c r="H39" s="32">
        <f>G39-C39</f>
        <v>-167821958.90000001</v>
      </c>
    </row>
    <row r="40" spans="1:8" s="26" customFormat="1" ht="6" customHeight="1" x14ac:dyDescent="0.25">
      <c r="A40" s="40"/>
      <c r="B40" s="39"/>
      <c r="C40" s="33"/>
      <c r="D40" s="33"/>
      <c r="E40" s="34"/>
      <c r="F40" s="33"/>
      <c r="G40" s="33"/>
      <c r="H40" s="32"/>
    </row>
    <row r="41" spans="1:8" s="26" customFormat="1" ht="17.100000000000001" customHeight="1" x14ac:dyDescent="0.25">
      <c r="A41" s="36" t="s">
        <v>8</v>
      </c>
      <c r="B41" s="38"/>
      <c r="C41" s="37">
        <f>C42</f>
        <v>0</v>
      </c>
      <c r="D41" s="37">
        <f>D42</f>
        <v>0</v>
      </c>
      <c r="E41" s="37">
        <f>E42</f>
        <v>0</v>
      </c>
      <c r="F41" s="37">
        <f>F42</f>
        <v>0</v>
      </c>
      <c r="G41" s="37">
        <f>G42</f>
        <v>0</v>
      </c>
      <c r="H41" s="37">
        <f>H42</f>
        <v>0</v>
      </c>
    </row>
    <row r="42" spans="1:8" s="26" customFormat="1" ht="17.100000000000001" customHeight="1" x14ac:dyDescent="0.25">
      <c r="A42" s="36"/>
      <c r="B42" s="35" t="s">
        <v>7</v>
      </c>
      <c r="C42" s="33">
        <v>0</v>
      </c>
      <c r="D42" s="33"/>
      <c r="E42" s="34">
        <f>C42+D42</f>
        <v>0</v>
      </c>
      <c r="F42" s="33"/>
      <c r="G42" s="33"/>
      <c r="H42" s="32">
        <f>G42-C42</f>
        <v>0</v>
      </c>
    </row>
    <row r="43" spans="1:8" s="26" customFormat="1" ht="12.75" customHeight="1" thickBot="1" x14ac:dyDescent="0.3">
      <c r="A43" s="31"/>
      <c r="B43" s="30"/>
      <c r="C43" s="28"/>
      <c r="D43" s="28"/>
      <c r="E43" s="29"/>
      <c r="F43" s="28"/>
      <c r="G43" s="28"/>
      <c r="H43" s="27"/>
    </row>
    <row r="44" spans="1:8" ht="21.75" customHeight="1" thickBot="1" x14ac:dyDescent="0.3">
      <c r="A44" s="25" t="s">
        <v>6</v>
      </c>
      <c r="B44" s="24"/>
      <c r="C44" s="23">
        <f>C25+C35+C41</f>
        <v>623389418</v>
      </c>
      <c r="D44" s="23">
        <f>D25+D35+D41</f>
        <v>41977482.839999996</v>
      </c>
      <c r="E44" s="23">
        <f>E25+E35+E41</f>
        <v>665013047.02999997</v>
      </c>
      <c r="F44" s="23">
        <f>F25+F35+F41</f>
        <v>229366508.35999998</v>
      </c>
      <c r="G44" s="23">
        <f>G25+G35+G41</f>
        <v>229366508.35999998</v>
      </c>
      <c r="H44" s="23">
        <f>H25+H35+H41</f>
        <v>-394376763.45000005</v>
      </c>
    </row>
    <row r="45" spans="1:8" ht="23.25" customHeight="1" thickBot="1" x14ac:dyDescent="0.3">
      <c r="A45" s="22"/>
      <c r="B45" s="22"/>
      <c r="C45" s="21"/>
      <c r="D45" s="21"/>
      <c r="E45" s="21"/>
      <c r="F45" s="20"/>
      <c r="G45" s="19" t="s">
        <v>5</v>
      </c>
      <c r="H45" s="18" t="str">
        <f>IF(($G$44-$C$44)&lt;=0,"",$G$44-$C$44)</f>
        <v/>
      </c>
    </row>
    <row r="46" spans="1:8" ht="23.25" customHeight="1" x14ac:dyDescent="0.25">
      <c r="A46" s="11"/>
      <c r="B46" s="11"/>
      <c r="C46" s="10"/>
      <c r="D46" s="10"/>
      <c r="E46" s="10"/>
      <c r="F46" s="9"/>
      <c r="G46" s="8"/>
      <c r="H46" s="8"/>
    </row>
    <row r="47" spans="1:8" ht="23.25" customHeight="1" x14ac:dyDescent="0.25">
      <c r="A47" s="11"/>
      <c r="B47" s="11"/>
      <c r="C47" s="10"/>
      <c r="D47" s="10"/>
      <c r="E47" s="10"/>
      <c r="F47" s="9"/>
      <c r="G47" s="8"/>
      <c r="H47" s="8"/>
    </row>
    <row r="48" spans="1:8" ht="23.25" customHeight="1" x14ac:dyDescent="0.25">
      <c r="A48" s="11"/>
      <c r="B48" s="11"/>
      <c r="C48" s="10"/>
      <c r="D48" s="10"/>
      <c r="E48" s="10"/>
      <c r="F48" s="9"/>
      <c r="G48" s="8"/>
      <c r="H48" s="8"/>
    </row>
    <row r="49" spans="1:8" s="12" customFormat="1" ht="15.75" customHeight="1" x14ac:dyDescent="0.25">
      <c r="A49" s="14"/>
      <c r="B49" s="17" t="s">
        <v>4</v>
      </c>
      <c r="C49" s="16"/>
      <c r="D49" s="16"/>
      <c r="E49" s="16"/>
      <c r="F49" s="16"/>
      <c r="G49" s="15"/>
      <c r="H49" s="15"/>
    </row>
    <row r="50" spans="1:8" s="12" customFormat="1" ht="12.75" customHeight="1" x14ac:dyDescent="0.25">
      <c r="A50" s="14"/>
      <c r="B50" s="17" t="s">
        <v>3</v>
      </c>
      <c r="C50" s="16"/>
      <c r="D50" s="16"/>
      <c r="E50" s="16"/>
      <c r="F50" s="16"/>
      <c r="G50" s="15"/>
      <c r="H50" s="15"/>
    </row>
    <row r="51" spans="1:8" s="12" customFormat="1" ht="26.25" customHeight="1" x14ac:dyDescent="0.25">
      <c r="A51" s="14"/>
      <c r="B51" s="13" t="s">
        <v>2</v>
      </c>
      <c r="C51" s="13"/>
      <c r="D51" s="13"/>
      <c r="E51" s="13"/>
      <c r="F51" s="13"/>
      <c r="G51" s="13"/>
      <c r="H51" s="13"/>
    </row>
    <row r="52" spans="1:8" ht="23.25" customHeight="1" x14ac:dyDescent="0.25">
      <c r="A52" s="11"/>
      <c r="B52" s="11"/>
      <c r="C52" s="10"/>
      <c r="D52" s="10"/>
      <c r="E52" s="10"/>
      <c r="F52" s="9"/>
      <c r="G52" s="8"/>
      <c r="H52" s="8"/>
    </row>
    <row r="53" spans="1:8" ht="8.25" customHeight="1" x14ac:dyDescent="0.25">
      <c r="A53" s="7"/>
      <c r="B53" s="1"/>
    </row>
    <row r="54" spans="1:8" x14ac:dyDescent="0.25">
      <c r="B54" s="1"/>
      <c r="H54" s="6"/>
    </row>
    <row r="55" spans="1:8" x14ac:dyDescent="0.25">
      <c r="A55" s="5"/>
      <c r="B55" s="4" t="s">
        <v>1</v>
      </c>
      <c r="C55" s="3"/>
      <c r="D55" s="3"/>
      <c r="E55" s="3"/>
      <c r="F55" s="3"/>
      <c r="G55" s="3"/>
      <c r="H55" s="3"/>
    </row>
    <row r="56" spans="1:8" x14ac:dyDescent="0.25">
      <c r="A56" s="5"/>
      <c r="B56" s="4" t="s">
        <v>0</v>
      </c>
      <c r="C56" s="3"/>
      <c r="D56" s="3"/>
      <c r="E56" s="3"/>
      <c r="F56" s="3"/>
      <c r="G56" s="3"/>
      <c r="H56" s="3"/>
    </row>
    <row r="57" spans="1:8" x14ac:dyDescent="0.25">
      <c r="A57" s="5"/>
      <c r="B57" s="4"/>
      <c r="C57" s="3"/>
      <c r="D57" s="3"/>
      <c r="E57" s="3"/>
      <c r="F57" s="3"/>
      <c r="G57" s="3"/>
      <c r="H57" s="3"/>
    </row>
  </sheetData>
  <sheetProtection password="C195" sheet="1" formatColumns="0" formatRows="0" insertHyperlinks="0"/>
  <mergeCells count="17">
    <mergeCell ref="A30:B30"/>
    <mergeCell ref="A1:H1"/>
    <mergeCell ref="A2:H2"/>
    <mergeCell ref="A3:H3"/>
    <mergeCell ref="C4:F4"/>
    <mergeCell ref="C5:G5"/>
    <mergeCell ref="A5:B7"/>
    <mergeCell ref="B51:H51"/>
    <mergeCell ref="A44:B44"/>
    <mergeCell ref="A35:B35"/>
    <mergeCell ref="A22:B24"/>
    <mergeCell ref="A19:B19"/>
    <mergeCell ref="A29:B29"/>
    <mergeCell ref="A31:B31"/>
    <mergeCell ref="A33:B33"/>
    <mergeCell ref="C22:G22"/>
    <mergeCell ref="A25:B25"/>
  </mergeCells>
  <printOptions horizontalCentered="1"/>
  <pageMargins left="0.39370078740157483" right="0.39370078740157483" top="0.39370078740157483" bottom="0.51181102362204722" header="0.31496062992125984" footer="0.31496062992125984"/>
  <pageSetup scale="88" fitToHeight="2" orientation="landscape" r:id="rId1"/>
  <rowBreaks count="1" manualBreakCount="1">
    <brk id="21" max="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FA240-5B67-4F06-BA12-AF446F9B9483}">
  <sheetPr>
    <tabColor theme="0" tint="-0.14999847407452621"/>
    <pageSetUpPr fitToPage="1"/>
  </sheetPr>
  <dimension ref="A1:H30"/>
  <sheetViews>
    <sheetView view="pageBreakPreview" zoomScaleNormal="100" zoomScaleSheetLayoutView="100" workbookViewId="0">
      <selection activeCell="T27" sqref="T27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6384" width="11.28515625" style="1"/>
  </cols>
  <sheetData>
    <row r="1" spans="1:7" x14ac:dyDescent="0.25">
      <c r="A1" s="375" t="str">
        <f>'[1]ETCA-I-01'!A1:G1</f>
        <v xml:space="preserve">Comision Estatal del Agua  </v>
      </c>
      <c r="B1" s="375"/>
      <c r="C1" s="375"/>
      <c r="D1" s="375"/>
      <c r="E1" s="375"/>
      <c r="F1" s="375"/>
      <c r="G1" s="375"/>
    </row>
    <row r="2" spans="1:7" x14ac:dyDescent="0.25">
      <c r="A2" s="375" t="s">
        <v>213</v>
      </c>
      <c r="B2" s="375"/>
      <c r="C2" s="375"/>
      <c r="D2" s="375"/>
      <c r="E2" s="375"/>
      <c r="F2" s="375"/>
      <c r="G2" s="375"/>
    </row>
    <row r="3" spans="1:7" x14ac:dyDescent="0.25">
      <c r="A3" s="375" t="s">
        <v>350</v>
      </c>
      <c r="B3" s="375"/>
      <c r="C3" s="375"/>
      <c r="D3" s="375"/>
      <c r="E3" s="375"/>
      <c r="F3" s="375"/>
      <c r="G3" s="375"/>
    </row>
    <row r="4" spans="1:7" x14ac:dyDescent="0.25">
      <c r="A4" s="104" t="str">
        <f>'[1]ETCA-I-03'!A3:D3</f>
        <v>Del 01 de Enero al 30 de Junio de 2020</v>
      </c>
      <c r="B4" s="104"/>
      <c r="C4" s="104"/>
      <c r="D4" s="104"/>
      <c r="E4" s="104"/>
      <c r="F4" s="104"/>
      <c r="G4" s="104"/>
    </row>
    <row r="5" spans="1:7" ht="17.25" thickBot="1" x14ac:dyDescent="0.3">
      <c r="A5" s="253" t="s">
        <v>349</v>
      </c>
      <c r="B5" s="253"/>
      <c r="C5" s="253"/>
      <c r="D5" s="253"/>
      <c r="E5" s="253"/>
      <c r="F5" s="99"/>
      <c r="G5" s="374"/>
    </row>
    <row r="6" spans="1:7" s="174" customFormat="1" ht="40.5" x14ac:dyDescent="0.25">
      <c r="A6" s="389" t="s">
        <v>111</v>
      </c>
      <c r="B6" s="388" t="s">
        <v>209</v>
      </c>
      <c r="C6" s="388" t="s">
        <v>109</v>
      </c>
      <c r="D6" s="388" t="s">
        <v>208</v>
      </c>
      <c r="E6" s="388" t="s">
        <v>207</v>
      </c>
      <c r="F6" s="388" t="s">
        <v>206</v>
      </c>
      <c r="G6" s="387" t="s">
        <v>205</v>
      </c>
    </row>
    <row r="7" spans="1:7" s="174" customFormat="1" ht="15.75" customHeight="1" thickBot="1" x14ac:dyDescent="0.3">
      <c r="A7" s="386"/>
      <c r="B7" s="333" t="s">
        <v>26</v>
      </c>
      <c r="C7" s="333" t="s">
        <v>25</v>
      </c>
      <c r="D7" s="333" t="s">
        <v>204</v>
      </c>
      <c r="E7" s="333" t="s">
        <v>23</v>
      </c>
      <c r="F7" s="333" t="s">
        <v>22</v>
      </c>
      <c r="G7" s="332" t="s">
        <v>203</v>
      </c>
    </row>
    <row r="8" spans="1:7" x14ac:dyDescent="0.25">
      <c r="A8" s="385"/>
      <c r="B8" s="383"/>
      <c r="C8" s="383"/>
      <c r="D8" s="384"/>
      <c r="E8" s="383"/>
      <c r="F8" s="383"/>
      <c r="G8" s="382"/>
    </row>
    <row r="9" spans="1:7" ht="25.5" x14ac:dyDescent="0.25">
      <c r="A9" s="381" t="s">
        <v>348</v>
      </c>
      <c r="B9" s="238">
        <v>623389417.66593051</v>
      </c>
      <c r="C9" s="238">
        <v>116461164.84</v>
      </c>
      <c r="D9" s="239">
        <f>IF(A9="","",B9+C9)</f>
        <v>739850582.50593054</v>
      </c>
      <c r="E9" s="238">
        <v>298492105.77999997</v>
      </c>
      <c r="F9" s="238">
        <v>268228355.48999998</v>
      </c>
      <c r="G9" s="237">
        <f>IF(A9="","",D9-E9)</f>
        <v>441358476.72593057</v>
      </c>
    </row>
    <row r="10" spans="1:7" ht="8.25" customHeight="1" x14ac:dyDescent="0.25">
      <c r="A10" s="381"/>
      <c r="B10" s="238"/>
      <c r="C10" s="238"/>
      <c r="D10" s="239" t="str">
        <f>IF(A10="","",B10+C10)</f>
        <v/>
      </c>
      <c r="E10" s="238"/>
      <c r="F10" s="238"/>
      <c r="G10" s="237" t="str">
        <f>IF(A10="","",D10-E10)</f>
        <v/>
      </c>
    </row>
    <row r="11" spans="1:7" x14ac:dyDescent="0.25">
      <c r="A11" s="381" t="s">
        <v>347</v>
      </c>
      <c r="B11" s="238"/>
      <c r="C11" s="238"/>
      <c r="D11" s="239">
        <f>IF(A11="","",B11+C11)</f>
        <v>0</v>
      </c>
      <c r="E11" s="238"/>
      <c r="F11" s="238"/>
      <c r="G11" s="237">
        <f>IF(A11="","",D11-E11)</f>
        <v>0</v>
      </c>
    </row>
    <row r="12" spans="1:7" ht="8.25" customHeight="1" x14ac:dyDescent="0.25">
      <c r="A12" s="381"/>
      <c r="B12" s="238"/>
      <c r="C12" s="238"/>
      <c r="D12" s="239" t="str">
        <f>IF(A12="","",B12+C12)</f>
        <v/>
      </c>
      <c r="E12" s="238"/>
      <c r="F12" s="238"/>
      <c r="G12" s="237" t="str">
        <f>IF(A12="","",D12-E12)</f>
        <v/>
      </c>
    </row>
    <row r="13" spans="1:7" ht="25.5" x14ac:dyDescent="0.25">
      <c r="A13" s="381" t="s">
        <v>346</v>
      </c>
      <c r="B13" s="238"/>
      <c r="C13" s="238"/>
      <c r="D13" s="239">
        <f>IF(A13="","",B13+C13)</f>
        <v>0</v>
      </c>
      <c r="E13" s="238"/>
      <c r="F13" s="238"/>
      <c r="G13" s="237">
        <f>IF(A13="","",D13-E13)</f>
        <v>0</v>
      </c>
    </row>
    <row r="14" spans="1:7" ht="8.25" customHeight="1" x14ac:dyDescent="0.25">
      <c r="A14" s="381"/>
      <c r="B14" s="238"/>
      <c r="C14" s="238"/>
      <c r="D14" s="239" t="str">
        <f>IF(A14="","",B14+C14)</f>
        <v/>
      </c>
      <c r="E14" s="238"/>
      <c r="F14" s="238"/>
      <c r="G14" s="237" t="str">
        <f>IF(A14="","",D14-E14)</f>
        <v/>
      </c>
    </row>
    <row r="15" spans="1:7" ht="25.5" x14ac:dyDescent="0.25">
      <c r="A15" s="381" t="s">
        <v>345</v>
      </c>
      <c r="B15" s="238"/>
      <c r="C15" s="238"/>
      <c r="D15" s="239">
        <f>IF(A15="","",B15+C15)</f>
        <v>0</v>
      </c>
      <c r="E15" s="238"/>
      <c r="F15" s="238"/>
      <c r="G15" s="237">
        <f>IF(A15="","",D15-E15)</f>
        <v>0</v>
      </c>
    </row>
    <row r="16" spans="1:7" ht="8.25" customHeight="1" x14ac:dyDescent="0.25">
      <c r="A16" s="381"/>
      <c r="B16" s="238"/>
      <c r="C16" s="238"/>
      <c r="D16" s="239" t="str">
        <f>IF(A16="","",B16+C16)</f>
        <v/>
      </c>
      <c r="E16" s="238"/>
      <c r="F16" s="238"/>
      <c r="G16" s="237" t="str">
        <f>IF(A16="","",D16-E16)</f>
        <v/>
      </c>
    </row>
    <row r="17" spans="1:8" ht="25.5" x14ac:dyDescent="0.25">
      <c r="A17" s="381" t="s">
        <v>344</v>
      </c>
      <c r="B17" s="238"/>
      <c r="C17" s="238"/>
      <c r="D17" s="239">
        <f>IF(A17="","",B17+C17)</f>
        <v>0</v>
      </c>
      <c r="E17" s="238"/>
      <c r="F17" s="238"/>
      <c r="G17" s="237">
        <f>IF(A17="","",D17-E17)</f>
        <v>0</v>
      </c>
    </row>
    <row r="18" spans="1:8" ht="8.25" customHeight="1" x14ac:dyDescent="0.25">
      <c r="A18" s="381"/>
      <c r="B18" s="238"/>
      <c r="C18" s="238"/>
      <c r="D18" s="239" t="str">
        <f>IF(A18="","",B18+C18)</f>
        <v/>
      </c>
      <c r="E18" s="238"/>
      <c r="F18" s="238"/>
      <c r="G18" s="237" t="str">
        <f>IF(A18="","",D18-E18)</f>
        <v/>
      </c>
    </row>
    <row r="19" spans="1:8" ht="25.5" x14ac:dyDescent="0.25">
      <c r="A19" s="381" t="s">
        <v>343</v>
      </c>
      <c r="B19" s="238"/>
      <c r="C19" s="238"/>
      <c r="D19" s="239">
        <f>IF(A19="","",B19+C19)</f>
        <v>0</v>
      </c>
      <c r="E19" s="238"/>
      <c r="F19" s="238"/>
      <c r="G19" s="237">
        <f>IF(A19="","",D19-E19)</f>
        <v>0</v>
      </c>
    </row>
    <row r="20" spans="1:8" ht="8.25" customHeight="1" x14ac:dyDescent="0.25">
      <c r="A20" s="381"/>
      <c r="B20" s="238"/>
      <c r="C20" s="238"/>
      <c r="D20" s="239" t="str">
        <f>IF(A20="","",B20+C20)</f>
        <v/>
      </c>
      <c r="E20" s="238"/>
      <c r="F20" s="238"/>
      <c r="G20" s="237" t="str">
        <f>IF(A20="","",D20-E20)</f>
        <v/>
      </c>
    </row>
    <row r="21" spans="1:8" ht="26.25" thickBot="1" x14ac:dyDescent="0.3">
      <c r="A21" s="381" t="s">
        <v>342</v>
      </c>
      <c r="B21" s="238"/>
      <c r="C21" s="238"/>
      <c r="D21" s="239">
        <f>IF(A21="","",B21+C21)</f>
        <v>0</v>
      </c>
      <c r="E21" s="238"/>
      <c r="F21" s="238"/>
      <c r="G21" s="237">
        <f>IF(A21="","",D21-E21)</f>
        <v>0</v>
      </c>
    </row>
    <row r="22" spans="1:8" ht="24.95" customHeight="1" thickBot="1" x14ac:dyDescent="0.3">
      <c r="A22" s="321" t="s">
        <v>130</v>
      </c>
      <c r="B22" s="231">
        <f>SUM(B9:B21)</f>
        <v>623389417.66593051</v>
      </c>
      <c r="C22" s="231">
        <f>SUM(C9:C21)</f>
        <v>116461164.84</v>
      </c>
      <c r="D22" s="231">
        <f>IF(A22="","",B22+C22)</f>
        <v>739850582.50593054</v>
      </c>
      <c r="E22" s="231">
        <f>SUM(E9:E21)</f>
        <v>298492105.77999997</v>
      </c>
      <c r="F22" s="231">
        <f>SUM(F9:F21)</f>
        <v>268228355.48999998</v>
      </c>
      <c r="G22" s="230">
        <f>IF(A22="","",D22-E22)</f>
        <v>441358476.72593057</v>
      </c>
      <c r="H22" s="106" t="str">
        <f>IF((B22-'ETCA II-04'!B80)&gt;0.9,"ERROR!!!!! EL MONTO NO COINCIDE CON LO REPORTADO EN EL FORMATO ETCA-II-04 EN EL TOTAL APROBADO ANUAL DEL ANALÍTICO DE EGRESOS","")</f>
        <v/>
      </c>
    </row>
    <row r="23" spans="1:8" ht="24.95" customHeight="1" x14ac:dyDescent="0.25">
      <c r="A23" s="380"/>
      <c r="B23" s="379"/>
      <c r="C23" s="379"/>
      <c r="D23" s="379"/>
      <c r="E23" s="379"/>
      <c r="F23" s="379"/>
      <c r="G23" s="379"/>
      <c r="H23" s="106" t="str">
        <f>IF((C22-'ETCA II-04'!C80)&gt;0.9,"ERROR!!!!! EL MONTO NO COINCIDE CON LO REPORTADO EN EL FORMATO ETCA-II-04 EN EL TOTAL APROBADO ANUAL DEL ANALÍTICO DE EGRESOS","")</f>
        <v/>
      </c>
    </row>
    <row r="24" spans="1:8" ht="24.95" customHeight="1" x14ac:dyDescent="0.25">
      <c r="A24" s="376"/>
      <c r="B24" s="228"/>
      <c r="C24" s="228"/>
      <c r="D24" s="228"/>
      <c r="E24" s="228"/>
      <c r="F24" s="228"/>
      <c r="G24" s="228"/>
      <c r="H24" s="106" t="str">
        <f>IF((D22-'ETCA II-04'!D80)&gt;0.9,"ERROR!!!!! EL MONTO NO COINCIDE CON LO REPORTADO EN EL FORMATO ETCA-II-04 EN EL TOTAL APROBADO ANUAL DEL ANALÍTICO DE EGRESOS","")</f>
        <v/>
      </c>
    </row>
    <row r="25" spans="1:8" ht="24.95" customHeight="1" x14ac:dyDescent="0.25">
      <c r="A25" s="88"/>
      <c r="B25" s="378"/>
      <c r="C25" s="378"/>
      <c r="D25" s="377"/>
      <c r="E25" s="378"/>
      <c r="F25" s="378"/>
      <c r="G25" s="377"/>
      <c r="H25" s="106" t="str">
        <f>IF((E22-'ETCA II-04'!E80)&gt;0.9,"ERROR!!!!! EL MONTO NO COINCIDE CON LO REPORTADO EN EL FORMATO ETCA-II-04 EN EL TOTAL APROBADO ANUAL DEL ANALÍTICO DE EGRESOS","")</f>
        <v/>
      </c>
    </row>
    <row r="26" spans="1:8" ht="24.95" customHeight="1" x14ac:dyDescent="0.25">
      <c r="A26" s="88"/>
      <c r="B26" s="378"/>
      <c r="C26" s="378"/>
      <c r="D26" s="377"/>
      <c r="E26" s="378"/>
      <c r="F26" s="378"/>
      <c r="G26" s="377"/>
      <c r="H26" s="106" t="str">
        <f>IF((F22-'ETCA II-04'!F80)&gt;0.9,"ERROR!!!!! EL MONTO NO COINCIDE CON LO REPORTADO EN EL FORMATO ETCA-II-04 EN EL TOTAL APROBADO ANUAL DEL ANALÍTICO DE EGRESOS","")</f>
        <v/>
      </c>
    </row>
    <row r="27" spans="1:8" ht="25.5" customHeight="1" x14ac:dyDescent="0.25">
      <c r="A27" s="376"/>
      <c r="B27" s="228"/>
      <c r="C27" s="228"/>
      <c r="D27" s="228"/>
      <c r="E27" s="228"/>
      <c r="F27" s="228"/>
      <c r="G27" s="228"/>
      <c r="H27" s="106" t="str">
        <f>IF((G22-'ETCA II-04'!G80)&gt;0.9,"ERROR!!!!! EL MONTO NO COINCIDE CON LO REPORTADO EN EL FORMATO ETCA-II-04 EN EL TOTAL APROBADO ANUAL DEL ANALÍTICO DE EGRESOS","")</f>
        <v/>
      </c>
    </row>
    <row r="29" spans="1:8" x14ac:dyDescent="0.25">
      <c r="F29" s="335"/>
    </row>
    <row r="30" spans="1:8" x14ac:dyDescent="0.25">
      <c r="F30" s="335"/>
    </row>
  </sheetData>
  <sheetProtection formatColumns="0" formatRows="0" insertHyperlinks="0"/>
  <mergeCells count="6">
    <mergeCell ref="A6:A7"/>
    <mergeCell ref="A1:G1"/>
    <mergeCell ref="A2:G2"/>
    <mergeCell ref="A3:G3"/>
    <mergeCell ref="A4:G4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9C804-74F0-4B0C-B503-B04CD78FE958}">
  <sheetPr>
    <tabColor theme="0" tint="-0.14999847407452621"/>
  </sheetPr>
  <dimension ref="A1:H48"/>
  <sheetViews>
    <sheetView view="pageBreakPreview" zoomScale="90" zoomScaleNormal="100" zoomScaleSheetLayoutView="90" workbookViewId="0">
      <selection activeCell="T27" sqref="T27"/>
    </sheetView>
  </sheetViews>
  <sheetFormatPr baseColWidth="10" defaultRowHeight="15" x14ac:dyDescent="0.25"/>
  <cols>
    <col min="1" max="1" width="35.7109375" customWidth="1"/>
    <col min="6" max="6" width="11.85546875" customWidth="1"/>
  </cols>
  <sheetData>
    <row r="1" spans="1:7" ht="16.5" x14ac:dyDescent="0.25">
      <c r="A1" s="375" t="str">
        <f>'[1]ETCA-I-01'!A1:G1</f>
        <v xml:space="preserve">Comision Estatal del Agua  </v>
      </c>
      <c r="B1" s="375"/>
      <c r="C1" s="375"/>
      <c r="D1" s="375"/>
      <c r="E1" s="375"/>
      <c r="F1" s="375"/>
      <c r="G1" s="375"/>
    </row>
    <row r="2" spans="1:7" ht="16.5" x14ac:dyDescent="0.25">
      <c r="A2" s="375" t="s">
        <v>213</v>
      </c>
      <c r="B2" s="375"/>
      <c r="C2" s="375"/>
      <c r="D2" s="375"/>
      <c r="E2" s="375"/>
      <c r="F2" s="375"/>
      <c r="G2" s="375"/>
    </row>
    <row r="3" spans="1:7" ht="16.5" x14ac:dyDescent="0.25">
      <c r="A3" s="375" t="s">
        <v>382</v>
      </c>
      <c r="B3" s="375"/>
      <c r="C3" s="375"/>
      <c r="D3" s="375"/>
      <c r="E3" s="375"/>
      <c r="F3" s="375"/>
      <c r="G3" s="375"/>
    </row>
    <row r="4" spans="1:7" ht="16.5" x14ac:dyDescent="0.25">
      <c r="A4" s="104" t="str">
        <f>'[1]ETCA-I-03'!A3:D3</f>
        <v>Del 01 de Enero al 30 de Junio de 2020</v>
      </c>
      <c r="B4" s="104"/>
      <c r="C4" s="104"/>
      <c r="D4" s="104"/>
      <c r="E4" s="104"/>
      <c r="F4" s="104"/>
      <c r="G4" s="104"/>
    </row>
    <row r="5" spans="1:7" ht="17.25" thickBot="1" x14ac:dyDescent="0.3">
      <c r="A5" s="102"/>
      <c r="B5" s="406"/>
      <c r="C5" s="406"/>
      <c r="D5" s="406"/>
      <c r="E5" s="406"/>
      <c r="F5" s="405"/>
      <c r="G5" s="404"/>
    </row>
    <row r="6" spans="1:7" ht="40.5" x14ac:dyDescent="0.25">
      <c r="A6" s="389" t="s">
        <v>111</v>
      </c>
      <c r="B6" s="403" t="s">
        <v>209</v>
      </c>
      <c r="C6" s="403" t="s">
        <v>109</v>
      </c>
      <c r="D6" s="403" t="s">
        <v>208</v>
      </c>
      <c r="E6" s="403" t="s">
        <v>207</v>
      </c>
      <c r="F6" s="403" t="s">
        <v>206</v>
      </c>
      <c r="G6" s="402" t="s">
        <v>205</v>
      </c>
    </row>
    <row r="7" spans="1:7" ht="15.75" thickBot="1" x14ac:dyDescent="0.3">
      <c r="A7" s="386"/>
      <c r="B7" s="401" t="s">
        <v>26</v>
      </c>
      <c r="C7" s="401" t="s">
        <v>25</v>
      </c>
      <c r="D7" s="401" t="s">
        <v>204</v>
      </c>
      <c r="E7" s="401" t="s">
        <v>23</v>
      </c>
      <c r="F7" s="401" t="s">
        <v>22</v>
      </c>
      <c r="G7" s="400" t="s">
        <v>203</v>
      </c>
    </row>
    <row r="8" spans="1:7" ht="16.5" x14ac:dyDescent="0.25">
      <c r="A8" s="399"/>
      <c r="B8" s="398"/>
      <c r="C8" s="398"/>
      <c r="D8" s="398"/>
      <c r="E8" s="398"/>
      <c r="F8" s="398"/>
      <c r="G8" s="397"/>
    </row>
    <row r="9" spans="1:7" x14ac:dyDescent="0.25">
      <c r="A9" s="396" t="s">
        <v>381</v>
      </c>
      <c r="B9" s="395">
        <f>SUM(B10:B17)</f>
        <v>0</v>
      </c>
      <c r="C9" s="395">
        <f>SUM(C10:C17)</f>
        <v>0</v>
      </c>
      <c r="D9" s="395">
        <f>IF(A9="","",B9+C9)</f>
        <v>0</v>
      </c>
      <c r="E9" s="395">
        <f>SUM(E10:E17)</f>
        <v>0</v>
      </c>
      <c r="F9" s="395">
        <f>SUM(F10:F17)</f>
        <v>0</v>
      </c>
      <c r="G9" s="394">
        <f>IF(A9="","",D9-E9)</f>
        <v>0</v>
      </c>
    </row>
    <row r="10" spans="1:7" x14ac:dyDescent="0.25">
      <c r="A10" s="314" t="s">
        <v>380</v>
      </c>
      <c r="B10" s="238"/>
      <c r="C10" s="238"/>
      <c r="D10" s="239">
        <f>IF(A10="","",B10+C10)</f>
        <v>0</v>
      </c>
      <c r="E10" s="238"/>
      <c r="F10" s="238"/>
      <c r="G10" s="237">
        <f>IF(A10="","",D10-E10)</f>
        <v>0</v>
      </c>
    </row>
    <row r="11" spans="1:7" x14ac:dyDescent="0.25">
      <c r="A11" s="314" t="s">
        <v>379</v>
      </c>
      <c r="B11" s="238"/>
      <c r="C11" s="238"/>
      <c r="D11" s="239">
        <f>IF(A11="","",B11+C11)</f>
        <v>0</v>
      </c>
      <c r="E11" s="238"/>
      <c r="F11" s="238"/>
      <c r="G11" s="237">
        <f>IF(A11="","",D11-E11)</f>
        <v>0</v>
      </c>
    </row>
    <row r="12" spans="1:7" x14ac:dyDescent="0.25">
      <c r="A12" s="314" t="s">
        <v>378</v>
      </c>
      <c r="B12" s="238"/>
      <c r="C12" s="238"/>
      <c r="D12" s="239">
        <f>IF(A12="","",B12+C12)</f>
        <v>0</v>
      </c>
      <c r="E12" s="238"/>
      <c r="F12" s="238"/>
      <c r="G12" s="237">
        <f>IF(A12="","",D12-E12)</f>
        <v>0</v>
      </c>
    </row>
    <row r="13" spans="1:7" x14ac:dyDescent="0.25">
      <c r="A13" s="314" t="s">
        <v>377</v>
      </c>
      <c r="B13" s="238"/>
      <c r="C13" s="238"/>
      <c r="D13" s="239">
        <f>IF(A13="","",B13+C13)</f>
        <v>0</v>
      </c>
      <c r="E13" s="238"/>
      <c r="F13" s="238"/>
      <c r="G13" s="237">
        <f>IF(A13="","",D13-E13)</f>
        <v>0</v>
      </c>
    </row>
    <row r="14" spans="1:7" x14ac:dyDescent="0.25">
      <c r="A14" s="314" t="s">
        <v>376</v>
      </c>
      <c r="B14" s="238"/>
      <c r="C14" s="238"/>
      <c r="D14" s="239">
        <f>IF(A14="","",B14+C14)</f>
        <v>0</v>
      </c>
      <c r="E14" s="238"/>
      <c r="F14" s="238"/>
      <c r="G14" s="237">
        <f>IF(A14="","",D14-E14)</f>
        <v>0</v>
      </c>
    </row>
    <row r="15" spans="1:7" x14ac:dyDescent="0.25">
      <c r="A15" s="314" t="s">
        <v>375</v>
      </c>
      <c r="B15" s="238"/>
      <c r="C15" s="238"/>
      <c r="D15" s="239">
        <f>IF(A15="","",B15+C15)</f>
        <v>0</v>
      </c>
      <c r="E15" s="238"/>
      <c r="F15" s="238"/>
      <c r="G15" s="237">
        <f>IF(A15="","",D15-E15)</f>
        <v>0</v>
      </c>
    </row>
    <row r="16" spans="1:7" x14ac:dyDescent="0.25">
      <c r="A16" s="314" t="s">
        <v>374</v>
      </c>
      <c r="B16" s="238"/>
      <c r="C16" s="238"/>
      <c r="D16" s="239">
        <f>IF(A16="","",B16+C16)</f>
        <v>0</v>
      </c>
      <c r="E16" s="238"/>
      <c r="F16" s="238"/>
      <c r="G16" s="237">
        <f>IF(A16="","",D16-E16)</f>
        <v>0</v>
      </c>
    </row>
    <row r="17" spans="1:7" x14ac:dyDescent="0.25">
      <c r="A17" s="314" t="s">
        <v>175</v>
      </c>
      <c r="B17" s="238"/>
      <c r="C17" s="238"/>
      <c r="D17" s="239">
        <f>IF(A17="","",B17+C17)</f>
        <v>0</v>
      </c>
      <c r="E17" s="238"/>
      <c r="F17" s="238"/>
      <c r="G17" s="237">
        <f>IF(A17="","",D17-E17)</f>
        <v>0</v>
      </c>
    </row>
    <row r="18" spans="1:7" x14ac:dyDescent="0.25">
      <c r="A18" s="385"/>
      <c r="B18" s="238"/>
      <c r="C18" s="238"/>
      <c r="D18" s="239" t="str">
        <f>IF(A18="","",B18+C18)</f>
        <v/>
      </c>
      <c r="E18" s="238"/>
      <c r="F18" s="238"/>
      <c r="G18" s="237" t="str">
        <f>IF(A18="","",D18-E18)</f>
        <v/>
      </c>
    </row>
    <row r="19" spans="1:7" x14ac:dyDescent="0.25">
      <c r="A19" s="396" t="s">
        <v>373</v>
      </c>
      <c r="B19" s="395">
        <f>SUM(B20:B26)</f>
        <v>623389417.66593051</v>
      </c>
      <c r="C19" s="395">
        <f>SUM(C20:C26)</f>
        <v>116461164.84</v>
      </c>
      <c r="D19" s="395">
        <f>IF(A19="","",B19+C19)</f>
        <v>739850582.50593054</v>
      </c>
      <c r="E19" s="395">
        <f>SUM(E20:E26)</f>
        <v>298492105.77999997</v>
      </c>
      <c r="F19" s="395">
        <f>SUM(F20:F26)</f>
        <v>268228355.48999998</v>
      </c>
      <c r="G19" s="394">
        <f>IF(A19="","",D19-E19)</f>
        <v>441358476.72593057</v>
      </c>
    </row>
    <row r="20" spans="1:7" x14ac:dyDescent="0.25">
      <c r="A20" s="314" t="s">
        <v>372</v>
      </c>
      <c r="B20" s="238"/>
      <c r="C20" s="238"/>
      <c r="D20" s="239">
        <f>IF(A20="","",B20+C20)</f>
        <v>0</v>
      </c>
      <c r="E20" s="238"/>
      <c r="F20" s="238"/>
      <c r="G20" s="237">
        <f>IF(A20="","",D20-E20)</f>
        <v>0</v>
      </c>
    </row>
    <row r="21" spans="1:7" x14ac:dyDescent="0.25">
      <c r="A21" s="314" t="s">
        <v>371</v>
      </c>
      <c r="B21" s="238">
        <v>623389417.66593051</v>
      </c>
      <c r="C21" s="238">
        <v>116461164.84</v>
      </c>
      <c r="D21" s="239">
        <f>IF(A21="","",B21+C21)</f>
        <v>739850582.50593054</v>
      </c>
      <c r="E21" s="238">
        <v>298492105.77999997</v>
      </c>
      <c r="F21" s="238">
        <v>268228355.48999998</v>
      </c>
      <c r="G21" s="237">
        <f>IF(A21="","",D21-E21)</f>
        <v>441358476.72593057</v>
      </c>
    </row>
    <row r="22" spans="1:7" x14ac:dyDescent="0.25">
      <c r="A22" s="314" t="s">
        <v>370</v>
      </c>
      <c r="B22" s="238"/>
      <c r="C22" s="238"/>
      <c r="D22" s="239">
        <f>IF(A22="","",B22+C22)</f>
        <v>0</v>
      </c>
      <c r="E22" s="238"/>
      <c r="F22" s="238"/>
      <c r="G22" s="237">
        <f>IF(A22="","",D22-E22)</f>
        <v>0</v>
      </c>
    </row>
    <row r="23" spans="1:7" ht="25.5" x14ac:dyDescent="0.25">
      <c r="A23" s="314" t="s">
        <v>369</v>
      </c>
      <c r="B23" s="238"/>
      <c r="C23" s="238"/>
      <c r="D23" s="239">
        <f>IF(A23="","",B23+C23)</f>
        <v>0</v>
      </c>
      <c r="E23" s="238"/>
      <c r="F23" s="238"/>
      <c r="G23" s="237">
        <f>IF(A23="","",D23-E23)</f>
        <v>0</v>
      </c>
    </row>
    <row r="24" spans="1:7" x14ac:dyDescent="0.25">
      <c r="A24" s="314" t="s">
        <v>368</v>
      </c>
      <c r="B24" s="238"/>
      <c r="C24" s="238"/>
      <c r="D24" s="239">
        <f>IF(A24="","",B24+C24)</f>
        <v>0</v>
      </c>
      <c r="E24" s="238"/>
      <c r="F24" s="238"/>
      <c r="G24" s="237">
        <f>IF(A24="","",D24-E24)</f>
        <v>0</v>
      </c>
    </row>
    <row r="25" spans="1:7" x14ac:dyDescent="0.25">
      <c r="A25" s="314" t="s">
        <v>367</v>
      </c>
      <c r="B25" s="238"/>
      <c r="C25" s="238"/>
      <c r="D25" s="239">
        <f>IF(A25="","",B25+C25)</f>
        <v>0</v>
      </c>
      <c r="E25" s="238"/>
      <c r="F25" s="238"/>
      <c r="G25" s="237">
        <f>IF(A25="","",D25-E25)</f>
        <v>0</v>
      </c>
    </row>
    <row r="26" spans="1:7" x14ac:dyDescent="0.25">
      <c r="A26" s="314" t="s">
        <v>366</v>
      </c>
      <c r="B26" s="238"/>
      <c r="C26" s="238"/>
      <c r="D26" s="239">
        <f>IF(A26="","",B26+C26)</f>
        <v>0</v>
      </c>
      <c r="E26" s="238"/>
      <c r="F26" s="238"/>
      <c r="G26" s="237">
        <f>IF(A26="","",D26-E26)</f>
        <v>0</v>
      </c>
    </row>
    <row r="27" spans="1:7" x14ac:dyDescent="0.25">
      <c r="A27" s="385"/>
      <c r="B27" s="238"/>
      <c r="C27" s="238"/>
      <c r="D27" s="239" t="str">
        <f>IF(A27="","",B27+C27)</f>
        <v/>
      </c>
      <c r="E27" s="238"/>
      <c r="F27" s="238"/>
      <c r="G27" s="237" t="str">
        <f>IF(A27="","",D27-E27)</f>
        <v/>
      </c>
    </row>
    <row r="28" spans="1:7" x14ac:dyDescent="0.25">
      <c r="A28" s="396" t="s">
        <v>365</v>
      </c>
      <c r="B28" s="395">
        <f>SUM(B29:B37)</f>
        <v>0</v>
      </c>
      <c r="C28" s="395">
        <f>SUM(C29:C37)</f>
        <v>0</v>
      </c>
      <c r="D28" s="395">
        <f>IF(A28="","",B28+C28)</f>
        <v>0</v>
      </c>
      <c r="E28" s="395">
        <f>SUM(E29:E37)</f>
        <v>0</v>
      </c>
      <c r="F28" s="395">
        <f>SUM(F29:F37)</f>
        <v>0</v>
      </c>
      <c r="G28" s="394">
        <f>IF(A28="","",D28-E28)</f>
        <v>0</v>
      </c>
    </row>
    <row r="29" spans="1:7" ht="25.5" x14ac:dyDescent="0.25">
      <c r="A29" s="314" t="s">
        <v>364</v>
      </c>
      <c r="B29" s="238"/>
      <c r="C29" s="238"/>
      <c r="D29" s="239">
        <f>IF(A29="","",B29+C29)</f>
        <v>0</v>
      </c>
      <c r="E29" s="238"/>
      <c r="F29" s="238"/>
      <c r="G29" s="237">
        <f>IF(A29="","",D29-E29)</f>
        <v>0</v>
      </c>
    </row>
    <row r="30" spans="1:7" x14ac:dyDescent="0.25">
      <c r="A30" s="314" t="s">
        <v>363</v>
      </c>
      <c r="B30" s="238"/>
      <c r="C30" s="238"/>
      <c r="D30" s="239">
        <f>IF(A30="","",B30+C30)</f>
        <v>0</v>
      </c>
      <c r="E30" s="238"/>
      <c r="F30" s="238"/>
      <c r="G30" s="237">
        <f>IF(A30="","",D30-E30)</f>
        <v>0</v>
      </c>
    </row>
    <row r="31" spans="1:7" x14ac:dyDescent="0.25">
      <c r="A31" s="314" t="s">
        <v>362</v>
      </c>
      <c r="B31" s="238"/>
      <c r="C31" s="238"/>
      <c r="D31" s="239">
        <f>IF(A31="","",B31+C31)</f>
        <v>0</v>
      </c>
      <c r="E31" s="238"/>
      <c r="F31" s="238"/>
      <c r="G31" s="237">
        <f>IF(A31="","",D31-E31)</f>
        <v>0</v>
      </c>
    </row>
    <row r="32" spans="1:7" x14ac:dyDescent="0.25">
      <c r="A32" s="314" t="s">
        <v>361</v>
      </c>
      <c r="B32" s="238"/>
      <c r="C32" s="238"/>
      <c r="D32" s="239">
        <f>IF(A32="","",B32+C32)</f>
        <v>0</v>
      </c>
      <c r="E32" s="238"/>
      <c r="F32" s="238"/>
      <c r="G32" s="237">
        <f>IF(A32="","",D32-E32)</f>
        <v>0</v>
      </c>
    </row>
    <row r="33" spans="1:8" x14ac:dyDescent="0.25">
      <c r="A33" s="314" t="s">
        <v>360</v>
      </c>
      <c r="B33" s="238"/>
      <c r="C33" s="238"/>
      <c r="D33" s="239">
        <f>IF(A33="","",B33+C33)</f>
        <v>0</v>
      </c>
      <c r="E33" s="238"/>
      <c r="F33" s="238"/>
      <c r="G33" s="237">
        <f>IF(A33="","",D33-E33)</f>
        <v>0</v>
      </c>
    </row>
    <row r="34" spans="1:8" x14ac:dyDescent="0.25">
      <c r="A34" s="314" t="s">
        <v>359</v>
      </c>
      <c r="B34" s="238"/>
      <c r="C34" s="238"/>
      <c r="D34" s="239">
        <f>IF(A34="","",B34+C34)</f>
        <v>0</v>
      </c>
      <c r="E34" s="238"/>
      <c r="F34" s="238"/>
      <c r="G34" s="237">
        <f>IF(A34="","",D34-E34)</f>
        <v>0</v>
      </c>
    </row>
    <row r="35" spans="1:8" x14ac:dyDescent="0.25">
      <c r="A35" s="314" t="s">
        <v>358</v>
      </c>
      <c r="B35" s="238"/>
      <c r="C35" s="238"/>
      <c r="D35" s="239">
        <f>IF(A35="","",B35+C35)</f>
        <v>0</v>
      </c>
      <c r="E35" s="238"/>
      <c r="F35" s="238"/>
      <c r="G35" s="237">
        <f>IF(A35="","",D35-E35)</f>
        <v>0</v>
      </c>
    </row>
    <row r="36" spans="1:8" x14ac:dyDescent="0.25">
      <c r="A36" s="314" t="s">
        <v>357</v>
      </c>
      <c r="B36" s="238"/>
      <c r="C36" s="238"/>
      <c r="D36" s="239">
        <f>IF(A36="","",B36+C36)</f>
        <v>0</v>
      </c>
      <c r="E36" s="238"/>
      <c r="F36" s="238"/>
      <c r="G36" s="237">
        <f>IF(A36="","",D36-E36)</f>
        <v>0</v>
      </c>
    </row>
    <row r="37" spans="1:8" x14ac:dyDescent="0.25">
      <c r="A37" s="314" t="s">
        <v>356</v>
      </c>
      <c r="B37" s="238"/>
      <c r="C37" s="238"/>
      <c r="D37" s="239">
        <f>IF(A37="","",B37+C37)</f>
        <v>0</v>
      </c>
      <c r="E37" s="238"/>
      <c r="F37" s="238"/>
      <c r="G37" s="237">
        <f>IF(A37="","",D37-E37)</f>
        <v>0</v>
      </c>
    </row>
    <row r="38" spans="1:8" x14ac:dyDescent="0.25">
      <c r="A38" s="385"/>
      <c r="B38" s="238"/>
      <c r="C38" s="238"/>
      <c r="D38" s="239" t="str">
        <f>IF(A38="","",B38+C38)</f>
        <v/>
      </c>
      <c r="E38" s="238"/>
      <c r="F38" s="238"/>
      <c r="G38" s="237" t="str">
        <f>IF(A38="","",D38-E38)</f>
        <v/>
      </c>
    </row>
    <row r="39" spans="1:8" ht="25.5" x14ac:dyDescent="0.25">
      <c r="A39" s="396" t="s">
        <v>355</v>
      </c>
      <c r="B39" s="395">
        <f>SUM(B40:B43)</f>
        <v>0</v>
      </c>
      <c r="C39" s="395">
        <f>SUM(C40:C43)</f>
        <v>0</v>
      </c>
      <c r="D39" s="395">
        <f>IF(A39="","",B39+C39)</f>
        <v>0</v>
      </c>
      <c r="E39" s="395">
        <f>SUM(E40:E43)</f>
        <v>0</v>
      </c>
      <c r="F39" s="395">
        <f>SUM(F40:F43)</f>
        <v>0</v>
      </c>
      <c r="G39" s="394">
        <f>IF(A39="","",D39-E39)</f>
        <v>0</v>
      </c>
    </row>
    <row r="40" spans="1:8" ht="25.5" x14ac:dyDescent="0.25">
      <c r="A40" s="393" t="s">
        <v>354</v>
      </c>
      <c r="B40" s="238">
        <v>0</v>
      </c>
      <c r="C40" s="238">
        <v>0</v>
      </c>
      <c r="D40" s="239">
        <f>IF(A40="","",B40+C40)</f>
        <v>0</v>
      </c>
      <c r="E40" s="238">
        <v>0</v>
      </c>
      <c r="F40" s="238">
        <v>0</v>
      </c>
      <c r="G40" s="237">
        <f>IF(A40="","",D40-E40)</f>
        <v>0</v>
      </c>
    </row>
    <row r="41" spans="1:8" ht="38.25" x14ac:dyDescent="0.25">
      <c r="A41" s="393" t="s">
        <v>353</v>
      </c>
      <c r="B41" s="238"/>
      <c r="C41" s="238"/>
      <c r="D41" s="239">
        <f>IF(A41="","",B41+C41)</f>
        <v>0</v>
      </c>
      <c r="E41" s="238"/>
      <c r="F41" s="238"/>
      <c r="G41" s="237">
        <f>IF(A41="","",D41-E41)</f>
        <v>0</v>
      </c>
    </row>
    <row r="42" spans="1:8" x14ac:dyDescent="0.25">
      <c r="A42" s="314" t="s">
        <v>352</v>
      </c>
      <c r="B42" s="238"/>
      <c r="C42" s="238"/>
      <c r="D42" s="239">
        <f>IF(A42="","",B42+C42)</f>
        <v>0</v>
      </c>
      <c r="E42" s="238"/>
      <c r="F42" s="238"/>
      <c r="G42" s="237">
        <f>IF(A42="","",D42-E42)</f>
        <v>0</v>
      </c>
    </row>
    <row r="43" spans="1:8" ht="15.75" thickBot="1" x14ac:dyDescent="0.3">
      <c r="A43" s="314" t="s">
        <v>351</v>
      </c>
      <c r="B43" s="238"/>
      <c r="C43" s="238"/>
      <c r="D43" s="239">
        <f>IF(A43="","",B43+C43)</f>
        <v>0</v>
      </c>
      <c r="E43" s="238"/>
      <c r="F43" s="238"/>
      <c r="G43" s="237">
        <f>IF(A43="","",D43-E43)</f>
        <v>0</v>
      </c>
    </row>
    <row r="44" spans="1:8" ht="15.75" thickBot="1" x14ac:dyDescent="0.3">
      <c r="A44" s="321" t="s">
        <v>130</v>
      </c>
      <c r="B44" s="392">
        <f>SUM(B9,B19,B28,B39)</f>
        <v>623389417.66593051</v>
      </c>
      <c r="C44" s="392">
        <f>SUM(C9,C19,C28,C39)</f>
        <v>116461164.84</v>
      </c>
      <c r="D44" s="392">
        <f>IF(A44="","",B44+C44)</f>
        <v>739850582.50593054</v>
      </c>
      <c r="E44" s="392">
        <f>SUM(E9,E19,E28,E39)</f>
        <v>298492105.77999997</v>
      </c>
      <c r="F44" s="392">
        <f>SUM(F9,F19,F28,F39)</f>
        <v>268228355.48999998</v>
      </c>
      <c r="G44" s="391">
        <f>IF(A44="","",D44-E44)</f>
        <v>441358476.72593057</v>
      </c>
      <c r="H44" s="106" t="str">
        <f>IF((B44-'ETCA II-04'!B80)&gt;0.9,"ERROR!!!!! EL MONTO NO COINCIDE CON LO REPORTADO EN EL FORMATO ETCA-II-04 EN EL TOTAL APROBADO ANUAL DEL ANALÍTICO DE EGRESOS","")</f>
        <v/>
      </c>
    </row>
    <row r="45" spans="1:8" ht="9" customHeight="1" x14ac:dyDescent="0.25">
      <c r="A45" s="376"/>
      <c r="B45" s="377"/>
      <c r="C45" s="377"/>
      <c r="D45" s="377"/>
      <c r="E45" s="377"/>
      <c r="F45" s="377"/>
      <c r="G45" s="377"/>
      <c r="H45" s="106" t="str">
        <f>IF((C44-'ETCA II-04'!C80)&gt;0.9,"ERROR!!!!! EL MONTO NO COINCIDE CON LO REPORTADO EN EL FORMATO ETCA-II-04 EN EL TOTAL DE AMPLIACIONES/REDUCCIONES PRESENTADO EN EL ANALÍTICO DE EGRESOS","")</f>
        <v/>
      </c>
    </row>
    <row r="46" spans="1:8" x14ac:dyDescent="0.25">
      <c r="A46" s="390"/>
      <c r="B46" s="378"/>
      <c r="C46" s="378"/>
      <c r="D46" s="377"/>
      <c r="E46" s="378"/>
      <c r="F46" s="378"/>
      <c r="G46" s="377"/>
      <c r="H46" s="106" t="str">
        <f>IF((E44-'ETCA II-04'!E80)&gt;0.9,"ERROR!!!!! EL MONTO NO COINCIDE CON LO REPORTADO EN EL FORMATO ETCA-II-04 EN EL TOTAL DEVENGADO ANUAL PRESENTADO EN EL ANALÍTICO DE EGRESOS","")</f>
        <v/>
      </c>
    </row>
    <row r="47" spans="1:8" x14ac:dyDescent="0.25">
      <c r="A47" s="376"/>
      <c r="B47" s="377"/>
      <c r="C47" s="377"/>
      <c r="D47" s="377"/>
      <c r="E47" s="377"/>
      <c r="F47" s="377"/>
      <c r="G47" s="377"/>
      <c r="H47" s="106" t="str">
        <f>IF((F44-'ETCA II-04'!F80)&gt;0.9,"ERROR!!!!! EL MONTO NO COINCIDE CON LO REPORTADO EN EL FORMATO ETCA-II-04 EN EL TOTAL PAGADO ANUAL PRESENTADO EN EL ANALÍTICO DE EGRESOS","")</f>
        <v/>
      </c>
    </row>
    <row r="48" spans="1:8" x14ac:dyDescent="0.25">
      <c r="H48" s="106" t="str">
        <f>IF((G44-'ETCA II-04'!G80)&gt;0.9,"ERROR!!!!! EL MONTO NO COINCIDE CON LO REPORTADO EN EL FORMATO ETCA-II-04 EN EL TOTAL SUBEJERCICIO PRESENTADO EN EL ANALÍTICO DE EGRESOS","")</f>
        <v/>
      </c>
    </row>
  </sheetData>
  <sheetProtection formatColumns="0" formatRows="0"/>
  <mergeCells count="6">
    <mergeCell ref="A6:A7"/>
    <mergeCell ref="A1:G1"/>
    <mergeCell ref="A2:G2"/>
    <mergeCell ref="A3:G3"/>
    <mergeCell ref="A4:G4"/>
    <mergeCell ref="B5:E5"/>
  </mergeCells>
  <pageMargins left="0.70866141732283472" right="0.70866141732283472" top="0.74803149606299213" bottom="0.74803149606299213" header="0.31496062992125984" footer="0.31496062992125984"/>
  <pageSetup scale="86" orientation="portrait" horizontalDpi="1200" verticalDpi="1200" r:id="rId1"/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25077-E7ED-4A56-A565-6CD4DD21963E}">
  <sheetPr>
    <tabColor theme="0" tint="-0.14999847407452621"/>
  </sheetPr>
  <dimension ref="A1:I88"/>
  <sheetViews>
    <sheetView view="pageBreakPreview" topLeftCell="A40" zoomScale="90" zoomScaleNormal="100" zoomScaleSheetLayoutView="90" workbookViewId="0">
      <selection activeCell="T27" sqref="T27"/>
    </sheetView>
  </sheetViews>
  <sheetFormatPr baseColWidth="10" defaultColWidth="11.42578125" defaultRowHeight="15" x14ac:dyDescent="0.25"/>
  <cols>
    <col min="1" max="1" width="4.42578125" customWidth="1"/>
    <col min="2" max="2" width="49.140625" customWidth="1"/>
    <col min="3" max="4" width="14.28515625" bestFit="1" customWidth="1"/>
    <col min="5" max="5" width="14.5703125" bestFit="1" customWidth="1"/>
    <col min="6" max="6" width="15.85546875" customWidth="1"/>
    <col min="7" max="7" width="14.28515625" bestFit="1" customWidth="1"/>
    <col min="8" max="8" width="15.42578125" bestFit="1" customWidth="1"/>
  </cols>
  <sheetData>
    <row r="1" spans="1:8" ht="15.75" x14ac:dyDescent="0.25">
      <c r="A1" s="293" t="str">
        <f>'[1]ETCA-I-01'!A1:G1</f>
        <v xml:space="preserve">Comision Estatal del Agua  </v>
      </c>
      <c r="B1" s="292"/>
      <c r="C1" s="292"/>
      <c r="D1" s="292"/>
      <c r="E1" s="292"/>
      <c r="F1" s="292"/>
      <c r="G1" s="292"/>
      <c r="H1" s="291"/>
    </row>
    <row r="2" spans="1:8" x14ac:dyDescent="0.25">
      <c r="A2" s="437" t="s">
        <v>299</v>
      </c>
      <c r="B2" s="436"/>
      <c r="C2" s="436"/>
      <c r="D2" s="436"/>
      <c r="E2" s="436"/>
      <c r="F2" s="436"/>
      <c r="G2" s="436"/>
      <c r="H2" s="435"/>
    </row>
    <row r="3" spans="1:8" ht="11.25" customHeight="1" x14ac:dyDescent="0.25">
      <c r="A3" s="437" t="s">
        <v>382</v>
      </c>
      <c r="B3" s="436"/>
      <c r="C3" s="436"/>
      <c r="D3" s="436"/>
      <c r="E3" s="436"/>
      <c r="F3" s="436"/>
      <c r="G3" s="436"/>
      <c r="H3" s="435"/>
    </row>
    <row r="4" spans="1:8" ht="11.25" customHeight="1" x14ac:dyDescent="0.25">
      <c r="A4" s="437" t="str">
        <f>'[1]ETCA-I-03'!A3:D3</f>
        <v>Del 01 de Enero al 30 de Junio de 2020</v>
      </c>
      <c r="B4" s="436"/>
      <c r="C4" s="436"/>
      <c r="D4" s="436"/>
      <c r="E4" s="436"/>
      <c r="F4" s="436"/>
      <c r="G4" s="436"/>
      <c r="H4" s="435"/>
    </row>
    <row r="5" spans="1:8" ht="12.75" customHeight="1" thickBot="1" x14ac:dyDescent="0.3">
      <c r="A5" s="430" t="s">
        <v>297</v>
      </c>
      <c r="B5" s="434"/>
      <c r="C5" s="434"/>
      <c r="D5" s="434"/>
      <c r="E5" s="434"/>
      <c r="F5" s="434"/>
      <c r="G5" s="434"/>
      <c r="H5" s="433"/>
    </row>
    <row r="6" spans="1:8" ht="15.75" thickBot="1" x14ac:dyDescent="0.3">
      <c r="A6" s="432" t="s">
        <v>296</v>
      </c>
      <c r="B6" s="431"/>
      <c r="C6" s="353" t="s">
        <v>295</v>
      </c>
      <c r="D6" s="352"/>
      <c r="E6" s="352"/>
      <c r="F6" s="352"/>
      <c r="G6" s="351"/>
      <c r="H6" s="350" t="s">
        <v>294</v>
      </c>
    </row>
    <row r="7" spans="1:8" ht="26.25" thickBot="1" x14ac:dyDescent="0.3">
      <c r="A7" s="430"/>
      <c r="B7" s="429"/>
      <c r="C7" s="349" t="s">
        <v>293</v>
      </c>
      <c r="D7" s="349" t="s">
        <v>292</v>
      </c>
      <c r="E7" s="349" t="s">
        <v>291</v>
      </c>
      <c r="F7" s="349" t="s">
        <v>108</v>
      </c>
      <c r="G7" s="349" t="s">
        <v>334</v>
      </c>
      <c r="H7" s="348"/>
    </row>
    <row r="8" spans="1:8" x14ac:dyDescent="0.25">
      <c r="A8" s="428"/>
      <c r="B8" s="427"/>
      <c r="C8" s="426"/>
      <c r="D8" s="426"/>
      <c r="E8" s="426"/>
      <c r="F8" s="426"/>
      <c r="G8" s="426"/>
      <c r="H8" s="426"/>
    </row>
    <row r="9" spans="1:8" ht="16.5" customHeight="1" x14ac:dyDescent="0.25">
      <c r="A9" s="425" t="s">
        <v>416</v>
      </c>
      <c r="B9" s="424"/>
      <c r="C9" s="342">
        <f>+C10+C20+C29+C40</f>
        <v>535114183.66593051</v>
      </c>
      <c r="D9" s="342">
        <f>+D10+D20+D29+D40</f>
        <v>72820669.650000006</v>
      </c>
      <c r="E9" s="342">
        <f>+E10+E20+E29+E40</f>
        <v>607934853.31593049</v>
      </c>
      <c r="F9" s="342">
        <f>+F10+F20+F29+F40</f>
        <v>290243021.88</v>
      </c>
      <c r="G9" s="342">
        <f>+G10+G20+G29+G40</f>
        <v>259979271.58999997</v>
      </c>
      <c r="H9" s="342">
        <f>+H10+H20+H29+H40</f>
        <v>317691831.43593049</v>
      </c>
    </row>
    <row r="10" spans="1:8" x14ac:dyDescent="0.25">
      <c r="A10" s="419" t="s">
        <v>414</v>
      </c>
      <c r="B10" s="418"/>
      <c r="C10" s="413">
        <f>SUM(C11:C18)</f>
        <v>0</v>
      </c>
      <c r="D10" s="413">
        <f>SUM(D11:D18)</f>
        <v>0</v>
      </c>
      <c r="E10" s="413">
        <f>SUM(E11:E18)</f>
        <v>0</v>
      </c>
      <c r="F10" s="413">
        <f>SUM(F11:F18)</f>
        <v>0</v>
      </c>
      <c r="G10" s="413">
        <f>SUM(G11:G18)</f>
        <v>0</v>
      </c>
      <c r="H10" s="413">
        <f>SUM(H11:H18)</f>
        <v>0</v>
      </c>
    </row>
    <row r="11" spans="1:8" x14ac:dyDescent="0.25">
      <c r="A11" s="416"/>
      <c r="B11" s="415" t="s">
        <v>413</v>
      </c>
      <c r="C11" s="414"/>
      <c r="D11" s="414"/>
      <c r="E11" s="413">
        <f>C11+D11</f>
        <v>0</v>
      </c>
      <c r="F11" s="414"/>
      <c r="G11" s="414"/>
      <c r="H11" s="413">
        <f>+E11-F11</f>
        <v>0</v>
      </c>
    </row>
    <row r="12" spans="1:8" x14ac:dyDescent="0.25">
      <c r="A12" s="416"/>
      <c r="B12" s="415" t="s">
        <v>412</v>
      </c>
      <c r="C12" s="414"/>
      <c r="D12" s="414"/>
      <c r="E12" s="413">
        <f>C12+D12</f>
        <v>0</v>
      </c>
      <c r="F12" s="414"/>
      <c r="G12" s="414"/>
      <c r="H12" s="413">
        <f>+E12-F12</f>
        <v>0</v>
      </c>
    </row>
    <row r="13" spans="1:8" x14ac:dyDescent="0.25">
      <c r="A13" s="416"/>
      <c r="B13" s="415" t="s">
        <v>411</v>
      </c>
      <c r="C13" s="414"/>
      <c r="D13" s="414"/>
      <c r="E13" s="413">
        <f>C13+D13</f>
        <v>0</v>
      </c>
      <c r="F13" s="414"/>
      <c r="G13" s="414"/>
      <c r="H13" s="413">
        <f>+E13-F13</f>
        <v>0</v>
      </c>
    </row>
    <row r="14" spans="1:8" x14ac:dyDescent="0.25">
      <c r="A14" s="416"/>
      <c r="B14" s="415" t="s">
        <v>410</v>
      </c>
      <c r="C14" s="414"/>
      <c r="D14" s="414"/>
      <c r="E14" s="413">
        <f>C14+D14</f>
        <v>0</v>
      </c>
      <c r="F14" s="414"/>
      <c r="G14" s="414"/>
      <c r="H14" s="413">
        <f>+E14-F14</f>
        <v>0</v>
      </c>
    </row>
    <row r="15" spans="1:8" x14ac:dyDescent="0.25">
      <c r="A15" s="416"/>
      <c r="B15" s="415" t="s">
        <v>409</v>
      </c>
      <c r="C15" s="414"/>
      <c r="D15" s="414"/>
      <c r="E15" s="413">
        <f>C15+D15</f>
        <v>0</v>
      </c>
      <c r="F15" s="414"/>
      <c r="G15" s="414"/>
      <c r="H15" s="413">
        <f>+E15-F15</f>
        <v>0</v>
      </c>
    </row>
    <row r="16" spans="1:8" x14ac:dyDescent="0.25">
      <c r="A16" s="416"/>
      <c r="B16" s="415" t="s">
        <v>408</v>
      </c>
      <c r="C16" s="414"/>
      <c r="D16" s="414"/>
      <c r="E16" s="413">
        <f>C16+D16</f>
        <v>0</v>
      </c>
      <c r="F16" s="414"/>
      <c r="G16" s="414"/>
      <c r="H16" s="413">
        <f>+E16-F16</f>
        <v>0</v>
      </c>
    </row>
    <row r="17" spans="1:8" x14ac:dyDescent="0.25">
      <c r="A17" s="416"/>
      <c r="B17" s="415" t="s">
        <v>407</v>
      </c>
      <c r="C17" s="414"/>
      <c r="D17" s="414"/>
      <c r="E17" s="413">
        <f>C17+D17</f>
        <v>0</v>
      </c>
      <c r="F17" s="414"/>
      <c r="G17" s="414"/>
      <c r="H17" s="413">
        <f>+E17-F17</f>
        <v>0</v>
      </c>
    </row>
    <row r="18" spans="1:8" x14ac:dyDescent="0.25">
      <c r="A18" s="416"/>
      <c r="B18" s="415" t="s">
        <v>406</v>
      </c>
      <c r="C18" s="414"/>
      <c r="D18" s="414"/>
      <c r="E18" s="413">
        <f>C18+D18</f>
        <v>0</v>
      </c>
      <c r="F18" s="414"/>
      <c r="G18" s="414"/>
      <c r="H18" s="413">
        <f>+E18-F18</f>
        <v>0</v>
      </c>
    </row>
    <row r="19" spans="1:8" x14ac:dyDescent="0.25">
      <c r="A19" s="422"/>
      <c r="B19" s="421"/>
      <c r="C19" s="423"/>
      <c r="D19" s="423"/>
      <c r="E19" s="423"/>
      <c r="F19" s="423"/>
      <c r="G19" s="423"/>
      <c r="H19" s="413" t="s">
        <v>44</v>
      </c>
    </row>
    <row r="20" spans="1:8" x14ac:dyDescent="0.25">
      <c r="A20" s="419" t="s">
        <v>405</v>
      </c>
      <c r="B20" s="418"/>
      <c r="C20" s="413">
        <f>SUM(C21:C27)</f>
        <v>535114183.66593051</v>
      </c>
      <c r="D20" s="413">
        <f>SUM(D21:D27)</f>
        <v>72820669.650000006</v>
      </c>
      <c r="E20" s="413">
        <f>SUM(E21:E27)</f>
        <v>607934853.31593049</v>
      </c>
      <c r="F20" s="413">
        <f>SUM(F21:F27)</f>
        <v>290243021.88</v>
      </c>
      <c r="G20" s="413">
        <f>SUM(G21:G27)</f>
        <v>259979271.58999997</v>
      </c>
      <c r="H20" s="413">
        <f>SUM(H21:H27)</f>
        <v>317691831.43593049</v>
      </c>
    </row>
    <row r="21" spans="1:8" x14ac:dyDescent="0.25">
      <c r="A21" s="416"/>
      <c r="B21" s="415" t="s">
        <v>404</v>
      </c>
      <c r="C21" s="414"/>
      <c r="D21" s="414"/>
      <c r="E21" s="413">
        <f>C21+D21</f>
        <v>0</v>
      </c>
      <c r="F21" s="414"/>
      <c r="G21" s="414"/>
      <c r="H21" s="413">
        <f>+E21-F21</f>
        <v>0</v>
      </c>
    </row>
    <row r="22" spans="1:8" x14ac:dyDescent="0.25">
      <c r="A22" s="416"/>
      <c r="B22" s="415" t="s">
        <v>403</v>
      </c>
      <c r="C22" s="414">
        <v>535114183.66593051</v>
      </c>
      <c r="D22" s="414">
        <v>72820669.650000006</v>
      </c>
      <c r="E22" s="413">
        <f>C22+D22</f>
        <v>607934853.31593049</v>
      </c>
      <c r="F22" s="414">
        <v>290243021.88</v>
      </c>
      <c r="G22" s="414">
        <v>259979271.58999997</v>
      </c>
      <c r="H22" s="413">
        <f>+E22-F22</f>
        <v>317691831.43593049</v>
      </c>
    </row>
    <row r="23" spans="1:8" x14ac:dyDescent="0.25">
      <c r="A23" s="416"/>
      <c r="B23" s="415" t="s">
        <v>402</v>
      </c>
      <c r="C23" s="414"/>
      <c r="D23" s="414"/>
      <c r="E23" s="413">
        <f>C23+D23</f>
        <v>0</v>
      </c>
      <c r="F23" s="414"/>
      <c r="G23" s="414"/>
      <c r="H23" s="413">
        <f>+E23-F23</f>
        <v>0</v>
      </c>
    </row>
    <row r="24" spans="1:8" x14ac:dyDescent="0.25">
      <c r="A24" s="416"/>
      <c r="B24" s="415" t="s">
        <v>401</v>
      </c>
      <c r="C24" s="414"/>
      <c r="D24" s="414"/>
      <c r="E24" s="413">
        <f>C24+D24</f>
        <v>0</v>
      </c>
      <c r="F24" s="414"/>
      <c r="G24" s="414"/>
      <c r="H24" s="413">
        <f>+E24-F24</f>
        <v>0</v>
      </c>
    </row>
    <row r="25" spans="1:8" x14ac:dyDescent="0.25">
      <c r="A25" s="416"/>
      <c r="B25" s="415" t="s">
        <v>400</v>
      </c>
      <c r="C25" s="414"/>
      <c r="D25" s="414"/>
      <c r="E25" s="413">
        <f>C25+D25</f>
        <v>0</v>
      </c>
      <c r="F25" s="414"/>
      <c r="G25" s="414"/>
      <c r="H25" s="413">
        <f>+E25-F25</f>
        <v>0</v>
      </c>
    </row>
    <row r="26" spans="1:8" x14ac:dyDescent="0.25">
      <c r="A26" s="416"/>
      <c r="B26" s="415" t="s">
        <v>399</v>
      </c>
      <c r="C26" s="414"/>
      <c r="D26" s="414"/>
      <c r="E26" s="413">
        <f>C26+D26</f>
        <v>0</v>
      </c>
      <c r="F26" s="414"/>
      <c r="G26" s="414"/>
      <c r="H26" s="413">
        <f>+E26-F26</f>
        <v>0</v>
      </c>
    </row>
    <row r="27" spans="1:8" x14ac:dyDescent="0.25">
      <c r="A27" s="416"/>
      <c r="B27" s="415" t="s">
        <v>398</v>
      </c>
      <c r="C27" s="414"/>
      <c r="D27" s="414"/>
      <c r="E27" s="413">
        <f>C27+D27</f>
        <v>0</v>
      </c>
      <c r="F27" s="414"/>
      <c r="G27" s="414"/>
      <c r="H27" s="413">
        <f>+E27-F27</f>
        <v>0</v>
      </c>
    </row>
    <row r="28" spans="1:8" x14ac:dyDescent="0.25">
      <c r="A28" s="422"/>
      <c r="B28" s="421"/>
      <c r="C28" s="420"/>
      <c r="D28" s="420"/>
      <c r="E28" s="420"/>
      <c r="F28" s="420"/>
      <c r="G28" s="420"/>
      <c r="H28" s="420"/>
    </row>
    <row r="29" spans="1:8" x14ac:dyDescent="0.25">
      <c r="A29" s="419" t="s">
        <v>397</v>
      </c>
      <c r="B29" s="418"/>
      <c r="C29" s="413">
        <f>SUM(C30:C38)</f>
        <v>0</v>
      </c>
      <c r="D29" s="413">
        <f>SUM(D30:D38)</f>
        <v>0</v>
      </c>
      <c r="E29" s="413">
        <f>SUM(E30:E38)</f>
        <v>0</v>
      </c>
      <c r="F29" s="413">
        <f>SUM(F30:F38)</f>
        <v>0</v>
      </c>
      <c r="G29" s="413">
        <f>SUM(G30:G38)</f>
        <v>0</v>
      </c>
      <c r="H29" s="413">
        <f>SUM(H30:H38)</f>
        <v>0</v>
      </c>
    </row>
    <row r="30" spans="1:8" x14ac:dyDescent="0.25">
      <c r="A30" s="416"/>
      <c r="B30" s="415" t="s">
        <v>396</v>
      </c>
      <c r="C30" s="414"/>
      <c r="D30" s="414"/>
      <c r="E30" s="413">
        <f>C30+D30</f>
        <v>0</v>
      </c>
      <c r="F30" s="414"/>
      <c r="G30" s="414"/>
      <c r="H30" s="413">
        <f>+E30-F30</f>
        <v>0</v>
      </c>
    </row>
    <row r="31" spans="1:8" x14ac:dyDescent="0.25">
      <c r="A31" s="416"/>
      <c r="B31" s="415" t="s">
        <v>395</v>
      </c>
      <c r="C31" s="414"/>
      <c r="D31" s="414"/>
      <c r="E31" s="413">
        <f>C31+D31</f>
        <v>0</v>
      </c>
      <c r="F31" s="414"/>
      <c r="G31" s="414"/>
      <c r="H31" s="413">
        <f>+E31-F31</f>
        <v>0</v>
      </c>
    </row>
    <row r="32" spans="1:8" x14ac:dyDescent="0.25">
      <c r="A32" s="416"/>
      <c r="B32" s="415" t="s">
        <v>394</v>
      </c>
      <c r="C32" s="414"/>
      <c r="D32" s="414"/>
      <c r="E32" s="413">
        <f>C32+D32</f>
        <v>0</v>
      </c>
      <c r="F32" s="414"/>
      <c r="G32" s="414"/>
      <c r="H32" s="413">
        <f>+E32-F32</f>
        <v>0</v>
      </c>
    </row>
    <row r="33" spans="1:8" ht="15.75" thickBot="1" x14ac:dyDescent="0.3">
      <c r="A33" s="412"/>
      <c r="B33" s="411" t="s">
        <v>393</v>
      </c>
      <c r="C33" s="417"/>
      <c r="D33" s="417"/>
      <c r="E33" s="410">
        <f>C33+D33</f>
        <v>0</v>
      </c>
      <c r="F33" s="417"/>
      <c r="G33" s="417"/>
      <c r="H33" s="410">
        <f>+E33-F33</f>
        <v>0</v>
      </c>
    </row>
    <row r="34" spans="1:8" x14ac:dyDescent="0.25">
      <c r="A34" s="416"/>
      <c r="B34" s="415" t="s">
        <v>392</v>
      </c>
      <c r="C34" s="414"/>
      <c r="D34" s="414"/>
      <c r="E34" s="413">
        <f>C34+D34</f>
        <v>0</v>
      </c>
      <c r="F34" s="414"/>
      <c r="G34" s="414"/>
      <c r="H34" s="413">
        <f>+E34-F34</f>
        <v>0</v>
      </c>
    </row>
    <row r="35" spans="1:8" x14ac:dyDescent="0.25">
      <c r="A35" s="416"/>
      <c r="B35" s="415" t="s">
        <v>391</v>
      </c>
      <c r="C35" s="414"/>
      <c r="D35" s="414"/>
      <c r="E35" s="413">
        <f>C35+D35</f>
        <v>0</v>
      </c>
      <c r="F35" s="414"/>
      <c r="G35" s="414"/>
      <c r="H35" s="413">
        <f>+E35-F35</f>
        <v>0</v>
      </c>
    </row>
    <row r="36" spans="1:8" x14ac:dyDescent="0.25">
      <c r="A36" s="416"/>
      <c r="B36" s="415" t="s">
        <v>390</v>
      </c>
      <c r="C36" s="414"/>
      <c r="D36" s="414"/>
      <c r="E36" s="413">
        <f>C36+D36</f>
        <v>0</v>
      </c>
      <c r="F36" s="414"/>
      <c r="G36" s="414"/>
      <c r="H36" s="413">
        <f>+E36-F36</f>
        <v>0</v>
      </c>
    </row>
    <row r="37" spans="1:8" x14ac:dyDescent="0.25">
      <c r="A37" s="416"/>
      <c r="B37" s="415" t="s">
        <v>389</v>
      </c>
      <c r="C37" s="414"/>
      <c r="D37" s="414"/>
      <c r="E37" s="413">
        <f>C37+D37</f>
        <v>0</v>
      </c>
      <c r="F37" s="414"/>
      <c r="G37" s="414"/>
      <c r="H37" s="413">
        <f>+E37-F37</f>
        <v>0</v>
      </c>
    </row>
    <row r="38" spans="1:8" x14ac:dyDescent="0.25">
      <c r="A38" s="416"/>
      <c r="B38" s="415" t="s">
        <v>388</v>
      </c>
      <c r="C38" s="414"/>
      <c r="D38" s="414"/>
      <c r="E38" s="413">
        <f>C38+D38</f>
        <v>0</v>
      </c>
      <c r="F38" s="414"/>
      <c r="G38" s="414"/>
      <c r="H38" s="413">
        <f>+E38-F38</f>
        <v>0</v>
      </c>
    </row>
    <row r="39" spans="1:8" x14ac:dyDescent="0.25">
      <c r="A39" s="416"/>
      <c r="B39" s="415"/>
      <c r="C39" s="414"/>
      <c r="D39" s="414"/>
      <c r="E39" s="413"/>
      <c r="F39" s="414"/>
      <c r="G39" s="414"/>
      <c r="H39" s="413"/>
    </row>
    <row r="40" spans="1:8" x14ac:dyDescent="0.25">
      <c r="A40" s="416" t="s">
        <v>387</v>
      </c>
      <c r="B40" s="415"/>
      <c r="C40" s="413">
        <f>SUM(C41:C44)</f>
        <v>0</v>
      </c>
      <c r="D40" s="413">
        <f>SUM(D41:D44)</f>
        <v>0</v>
      </c>
      <c r="E40" s="413">
        <f>SUM(E41:E44)</f>
        <v>0</v>
      </c>
      <c r="F40" s="413">
        <f>SUM(F41:F44)</f>
        <v>0</v>
      </c>
      <c r="G40" s="413">
        <f>SUM(G41:G44)</f>
        <v>0</v>
      </c>
      <c r="H40" s="413">
        <f>SUM(H41:H44)</f>
        <v>0</v>
      </c>
    </row>
    <row r="41" spans="1:8" x14ac:dyDescent="0.25">
      <c r="A41" s="416"/>
      <c r="B41" s="415" t="s">
        <v>386</v>
      </c>
      <c r="C41" s="414"/>
      <c r="D41" s="414"/>
      <c r="E41" s="413">
        <f>C41+D41</f>
        <v>0</v>
      </c>
      <c r="F41" s="414"/>
      <c r="G41" s="414"/>
      <c r="H41" s="413">
        <f>+E41-F41</f>
        <v>0</v>
      </c>
    </row>
    <row r="42" spans="1:8" x14ac:dyDescent="0.25">
      <c r="A42" s="416"/>
      <c r="B42" s="415" t="s">
        <v>385</v>
      </c>
      <c r="C42" s="414"/>
      <c r="D42" s="414"/>
      <c r="E42" s="413">
        <f>C42+D42</f>
        <v>0</v>
      </c>
      <c r="F42" s="414"/>
      <c r="G42" s="414"/>
      <c r="H42" s="413">
        <f>+E42-F42</f>
        <v>0</v>
      </c>
    </row>
    <row r="43" spans="1:8" x14ac:dyDescent="0.25">
      <c r="A43" s="416"/>
      <c r="B43" s="415" t="s">
        <v>384</v>
      </c>
      <c r="C43" s="414"/>
      <c r="D43" s="414"/>
      <c r="E43" s="413">
        <f>C43+D43</f>
        <v>0</v>
      </c>
      <c r="F43" s="414"/>
      <c r="G43" s="414"/>
      <c r="H43" s="413">
        <f>+E43-F43</f>
        <v>0</v>
      </c>
    </row>
    <row r="44" spans="1:8" x14ac:dyDescent="0.25">
      <c r="A44" s="416"/>
      <c r="B44" s="415" t="s">
        <v>383</v>
      </c>
      <c r="C44" s="414"/>
      <c r="D44" s="414"/>
      <c r="E44" s="413">
        <f>C44+D44</f>
        <v>0</v>
      </c>
      <c r="F44" s="414"/>
      <c r="G44" s="414"/>
      <c r="H44" s="413">
        <f>+E44-F44</f>
        <v>0</v>
      </c>
    </row>
    <row r="45" spans="1:8" x14ac:dyDescent="0.25">
      <c r="A45" s="416"/>
      <c r="B45" s="415"/>
      <c r="C45" s="414"/>
      <c r="D45" s="414"/>
      <c r="E45" s="413"/>
      <c r="F45" s="414"/>
      <c r="G45" s="414"/>
      <c r="H45" s="413"/>
    </row>
    <row r="46" spans="1:8" x14ac:dyDescent="0.25">
      <c r="A46" s="416" t="s">
        <v>415</v>
      </c>
      <c r="B46" s="415"/>
      <c r="C46" s="413">
        <f>+C47+C57+C65+C76</f>
        <v>88275234</v>
      </c>
      <c r="D46" s="413">
        <f>+D47+D57+D65+D76</f>
        <v>43640495.189999998</v>
      </c>
      <c r="E46" s="413">
        <f>+E47+E57+E65+E76</f>
        <v>131915729.19</v>
      </c>
      <c r="F46" s="413">
        <f>+F47+F57+F65+F76</f>
        <v>8249083.8999999994</v>
      </c>
      <c r="G46" s="413">
        <f>+G47+G57+G65+G76</f>
        <v>8249083.8999999994</v>
      </c>
      <c r="H46" s="413">
        <f>+H47+H57+H65+H76</f>
        <v>123666645.28999999</v>
      </c>
    </row>
    <row r="47" spans="1:8" x14ac:dyDescent="0.25">
      <c r="A47" s="416" t="s">
        <v>414</v>
      </c>
      <c r="B47" s="415"/>
      <c r="C47" s="413">
        <f>SUM(C48:C55)</f>
        <v>0</v>
      </c>
      <c r="D47" s="413">
        <f>SUM(D48:D55)</f>
        <v>0</v>
      </c>
      <c r="E47" s="413">
        <f>SUM(E48:E55)</f>
        <v>0</v>
      </c>
      <c r="F47" s="413">
        <f>SUM(F48:F55)</f>
        <v>0</v>
      </c>
      <c r="G47" s="413">
        <f>SUM(G48:G55)</f>
        <v>0</v>
      </c>
      <c r="H47" s="413">
        <f>SUM(H48:H55)</f>
        <v>0</v>
      </c>
    </row>
    <row r="48" spans="1:8" x14ac:dyDescent="0.25">
      <c r="A48" s="416"/>
      <c r="B48" s="415" t="s">
        <v>413</v>
      </c>
      <c r="C48" s="414"/>
      <c r="D48" s="414"/>
      <c r="E48" s="413">
        <f>C48+D48</f>
        <v>0</v>
      </c>
      <c r="F48" s="414"/>
      <c r="G48" s="414"/>
      <c r="H48" s="413">
        <f>+E48-F48</f>
        <v>0</v>
      </c>
    </row>
    <row r="49" spans="1:8" x14ac:dyDescent="0.25">
      <c r="A49" s="416"/>
      <c r="B49" s="415" t="s">
        <v>412</v>
      </c>
      <c r="C49" s="414"/>
      <c r="D49" s="414"/>
      <c r="E49" s="413">
        <f>C49+D49</f>
        <v>0</v>
      </c>
      <c r="F49" s="414"/>
      <c r="G49" s="414"/>
      <c r="H49" s="413">
        <f>+E49-F49</f>
        <v>0</v>
      </c>
    </row>
    <row r="50" spans="1:8" x14ac:dyDescent="0.25">
      <c r="A50" s="416"/>
      <c r="B50" s="415" t="s">
        <v>411</v>
      </c>
      <c r="C50" s="414"/>
      <c r="D50" s="414"/>
      <c r="E50" s="413">
        <f>C50+D50</f>
        <v>0</v>
      </c>
      <c r="F50" s="414"/>
      <c r="G50" s="414"/>
      <c r="H50" s="413">
        <f>+E50-F50</f>
        <v>0</v>
      </c>
    </row>
    <row r="51" spans="1:8" x14ac:dyDescent="0.25">
      <c r="A51" s="416"/>
      <c r="B51" s="415" t="s">
        <v>410</v>
      </c>
      <c r="C51" s="414"/>
      <c r="D51" s="414"/>
      <c r="E51" s="413">
        <f>C51+D51</f>
        <v>0</v>
      </c>
      <c r="F51" s="414"/>
      <c r="G51" s="414"/>
      <c r="H51" s="413">
        <f>+E51-F51</f>
        <v>0</v>
      </c>
    </row>
    <row r="52" spans="1:8" x14ac:dyDescent="0.25">
      <c r="A52" s="416"/>
      <c r="B52" s="415" t="s">
        <v>409</v>
      </c>
      <c r="C52" s="414"/>
      <c r="D52" s="414"/>
      <c r="E52" s="413">
        <f>C52+D52</f>
        <v>0</v>
      </c>
      <c r="F52" s="414"/>
      <c r="G52" s="414"/>
      <c r="H52" s="413">
        <f>+E52-F52</f>
        <v>0</v>
      </c>
    </row>
    <row r="53" spans="1:8" x14ac:dyDescent="0.25">
      <c r="A53" s="416"/>
      <c r="B53" s="415" t="s">
        <v>408</v>
      </c>
      <c r="C53" s="414"/>
      <c r="D53" s="414"/>
      <c r="E53" s="413">
        <f>C53+D53</f>
        <v>0</v>
      </c>
      <c r="F53" s="414"/>
      <c r="G53" s="414"/>
      <c r="H53" s="413">
        <f>+E53-F53</f>
        <v>0</v>
      </c>
    </row>
    <row r="54" spans="1:8" x14ac:dyDescent="0.25">
      <c r="A54" s="416"/>
      <c r="B54" s="415" t="s">
        <v>407</v>
      </c>
      <c r="C54" s="414"/>
      <c r="D54" s="414"/>
      <c r="E54" s="413">
        <f>C54+D54</f>
        <v>0</v>
      </c>
      <c r="F54" s="414"/>
      <c r="G54" s="414"/>
      <c r="H54" s="413">
        <f>+E54-F54</f>
        <v>0</v>
      </c>
    </row>
    <row r="55" spans="1:8" x14ac:dyDescent="0.25">
      <c r="A55" s="416"/>
      <c r="B55" s="415" t="s">
        <v>406</v>
      </c>
      <c r="C55" s="414"/>
      <c r="D55" s="414"/>
      <c r="E55" s="413">
        <f>C55+D55</f>
        <v>0</v>
      </c>
      <c r="F55" s="414"/>
      <c r="G55" s="414"/>
      <c r="H55" s="413">
        <f>+E55-F55</f>
        <v>0</v>
      </c>
    </row>
    <row r="56" spans="1:8" x14ac:dyDescent="0.25">
      <c r="A56" s="416"/>
      <c r="B56" s="415"/>
      <c r="C56" s="414"/>
      <c r="D56" s="414"/>
      <c r="E56" s="413"/>
      <c r="F56" s="414"/>
      <c r="G56" s="414"/>
      <c r="H56" s="413"/>
    </row>
    <row r="57" spans="1:8" x14ac:dyDescent="0.25">
      <c r="A57" s="416" t="s">
        <v>405</v>
      </c>
      <c r="B57" s="415"/>
      <c r="C57" s="413">
        <f>SUM(C58:C64)</f>
        <v>88275234</v>
      </c>
      <c r="D57" s="413">
        <f>SUM(D58:D64)</f>
        <v>43640495.189999998</v>
      </c>
      <c r="E57" s="413">
        <f>SUM(E58:E64)</f>
        <v>131915729.19</v>
      </c>
      <c r="F57" s="413">
        <f>SUM(F58:F64)</f>
        <v>8249083.8999999994</v>
      </c>
      <c r="G57" s="413">
        <f>SUM(G58:G64)</f>
        <v>8249083.8999999994</v>
      </c>
      <c r="H57" s="413">
        <f>SUM(H58:H64)</f>
        <v>123666645.28999999</v>
      </c>
    </row>
    <row r="58" spans="1:8" x14ac:dyDescent="0.25">
      <c r="A58" s="416"/>
      <c r="B58" s="415" t="s">
        <v>404</v>
      </c>
      <c r="C58" s="414"/>
      <c r="D58" s="414"/>
      <c r="E58" s="413">
        <f>C58+D58</f>
        <v>0</v>
      </c>
      <c r="F58" s="414"/>
      <c r="G58" s="414"/>
      <c r="H58" s="413">
        <f>+E58-F58</f>
        <v>0</v>
      </c>
    </row>
    <row r="59" spans="1:8" x14ac:dyDescent="0.25">
      <c r="A59" s="416"/>
      <c r="B59" s="415" t="s">
        <v>403</v>
      </c>
      <c r="C59" s="414">
        <v>88275234</v>
      </c>
      <c r="D59" s="414">
        <v>43640495.189999998</v>
      </c>
      <c r="E59" s="413">
        <f>C59+D59</f>
        <v>131915729.19</v>
      </c>
      <c r="F59" s="414">
        <v>8249083.8999999994</v>
      </c>
      <c r="G59" s="414">
        <v>8249083.8999999994</v>
      </c>
      <c r="H59" s="413">
        <f>+E59-F59</f>
        <v>123666645.28999999</v>
      </c>
    </row>
    <row r="60" spans="1:8" x14ac:dyDescent="0.25">
      <c r="A60" s="416"/>
      <c r="B60" s="415" t="s">
        <v>402</v>
      </c>
      <c r="C60" s="414"/>
      <c r="D60" s="414"/>
      <c r="E60" s="413">
        <f>C60+D60</f>
        <v>0</v>
      </c>
      <c r="F60" s="414"/>
      <c r="G60" s="414"/>
      <c r="H60" s="413">
        <f>+E60-F60</f>
        <v>0</v>
      </c>
    </row>
    <row r="61" spans="1:8" x14ac:dyDescent="0.25">
      <c r="A61" s="416"/>
      <c r="B61" s="415" t="s">
        <v>401</v>
      </c>
      <c r="C61" s="414"/>
      <c r="D61" s="414"/>
      <c r="E61" s="413">
        <f>C61+D61</f>
        <v>0</v>
      </c>
      <c r="F61" s="414"/>
      <c r="G61" s="414"/>
      <c r="H61" s="413">
        <f>+E61-F61</f>
        <v>0</v>
      </c>
    </row>
    <row r="62" spans="1:8" x14ac:dyDescent="0.25">
      <c r="A62" s="416"/>
      <c r="B62" s="415" t="s">
        <v>400</v>
      </c>
      <c r="C62" s="414"/>
      <c r="D62" s="414"/>
      <c r="E62" s="413">
        <f>C62+D62</f>
        <v>0</v>
      </c>
      <c r="F62" s="414"/>
      <c r="G62" s="414"/>
      <c r="H62" s="413">
        <f>+E62-F62</f>
        <v>0</v>
      </c>
    </row>
    <row r="63" spans="1:8" x14ac:dyDescent="0.25">
      <c r="A63" s="416"/>
      <c r="B63" s="415" t="s">
        <v>399</v>
      </c>
      <c r="C63" s="414"/>
      <c r="D63" s="414"/>
      <c r="E63" s="413">
        <f>C63+D63</f>
        <v>0</v>
      </c>
      <c r="F63" s="414"/>
      <c r="G63" s="414"/>
      <c r="H63" s="413">
        <f>+E63-F63</f>
        <v>0</v>
      </c>
    </row>
    <row r="64" spans="1:8" ht="15.75" thickBot="1" x14ac:dyDescent="0.3">
      <c r="A64" s="412"/>
      <c r="B64" s="411" t="s">
        <v>398</v>
      </c>
      <c r="C64" s="417"/>
      <c r="D64" s="417"/>
      <c r="E64" s="410">
        <f>C64+D64</f>
        <v>0</v>
      </c>
      <c r="F64" s="417"/>
      <c r="G64" s="417"/>
      <c r="H64" s="410">
        <f>+E64-F64</f>
        <v>0</v>
      </c>
    </row>
    <row r="65" spans="1:8" x14ac:dyDescent="0.25">
      <c r="A65" s="416" t="s">
        <v>397</v>
      </c>
      <c r="B65" s="415"/>
      <c r="C65" s="413">
        <f>SUM(C66:C74)</f>
        <v>0</v>
      </c>
      <c r="D65" s="413">
        <f>SUM(D66:D74)</f>
        <v>0</v>
      </c>
      <c r="E65" s="413">
        <f>SUM(E66:E74)</f>
        <v>0</v>
      </c>
      <c r="F65" s="413">
        <f>SUM(F66:F74)</f>
        <v>0</v>
      </c>
      <c r="G65" s="413">
        <f>SUM(G66:G74)</f>
        <v>0</v>
      </c>
      <c r="H65" s="413">
        <f>SUM(H66:H74)</f>
        <v>0</v>
      </c>
    </row>
    <row r="66" spans="1:8" x14ac:dyDescent="0.25">
      <c r="A66" s="416"/>
      <c r="B66" s="415" t="s">
        <v>396</v>
      </c>
      <c r="C66" s="414"/>
      <c r="D66" s="414"/>
      <c r="E66" s="413">
        <f>C66+D66</f>
        <v>0</v>
      </c>
      <c r="F66" s="414"/>
      <c r="G66" s="414"/>
      <c r="H66" s="413">
        <f>+E66-F66</f>
        <v>0</v>
      </c>
    </row>
    <row r="67" spans="1:8" x14ac:dyDescent="0.25">
      <c r="A67" s="416"/>
      <c r="B67" s="415" t="s">
        <v>395</v>
      </c>
      <c r="C67" s="414"/>
      <c r="D67" s="414"/>
      <c r="E67" s="413"/>
      <c r="F67" s="414"/>
      <c r="G67" s="414"/>
      <c r="H67" s="413">
        <f>+E67-F67</f>
        <v>0</v>
      </c>
    </row>
    <row r="68" spans="1:8" x14ac:dyDescent="0.25">
      <c r="A68" s="416"/>
      <c r="B68" s="415" t="s">
        <v>394</v>
      </c>
      <c r="C68" s="414"/>
      <c r="D68" s="414"/>
      <c r="E68" s="413">
        <f>C68+D68</f>
        <v>0</v>
      </c>
      <c r="F68" s="414"/>
      <c r="G68" s="414"/>
      <c r="H68" s="413">
        <f>+E68-F68</f>
        <v>0</v>
      </c>
    </row>
    <row r="69" spans="1:8" x14ac:dyDescent="0.25">
      <c r="A69" s="416"/>
      <c r="B69" s="415" t="s">
        <v>393</v>
      </c>
      <c r="C69" s="414"/>
      <c r="D69" s="414"/>
      <c r="E69" s="413">
        <f>C69+D69</f>
        <v>0</v>
      </c>
      <c r="F69" s="414"/>
      <c r="G69" s="414"/>
      <c r="H69" s="413">
        <f>+E69-F69</f>
        <v>0</v>
      </c>
    </row>
    <row r="70" spans="1:8" x14ac:dyDescent="0.25">
      <c r="A70" s="416"/>
      <c r="B70" s="415" t="s">
        <v>392</v>
      </c>
      <c r="C70" s="414"/>
      <c r="D70" s="414"/>
      <c r="E70" s="413">
        <f>C70+D70</f>
        <v>0</v>
      </c>
      <c r="F70" s="414"/>
      <c r="G70" s="414"/>
      <c r="H70" s="413">
        <f>+E70-F70</f>
        <v>0</v>
      </c>
    </row>
    <row r="71" spans="1:8" x14ac:dyDescent="0.25">
      <c r="A71" s="416"/>
      <c r="B71" s="415" t="s">
        <v>391</v>
      </c>
      <c r="C71" s="414"/>
      <c r="D71" s="414"/>
      <c r="E71" s="413">
        <f>C71+D71</f>
        <v>0</v>
      </c>
      <c r="F71" s="414"/>
      <c r="G71" s="414"/>
      <c r="H71" s="413">
        <f>+E71-F71</f>
        <v>0</v>
      </c>
    </row>
    <row r="72" spans="1:8" x14ac:dyDescent="0.25">
      <c r="A72" s="416"/>
      <c r="B72" s="415" t="s">
        <v>390</v>
      </c>
      <c r="C72" s="414"/>
      <c r="D72" s="414"/>
      <c r="E72" s="413">
        <f>C72+D72</f>
        <v>0</v>
      </c>
      <c r="F72" s="414"/>
      <c r="G72" s="414"/>
      <c r="H72" s="413">
        <f>+E72-F72</f>
        <v>0</v>
      </c>
    </row>
    <row r="73" spans="1:8" x14ac:dyDescent="0.25">
      <c r="A73" s="416"/>
      <c r="B73" s="415" t="s">
        <v>389</v>
      </c>
      <c r="C73" s="414"/>
      <c r="D73" s="414"/>
      <c r="E73" s="413">
        <f>C73+D73</f>
        <v>0</v>
      </c>
      <c r="F73" s="414"/>
      <c r="G73" s="414"/>
      <c r="H73" s="413">
        <f>+E73-F73</f>
        <v>0</v>
      </c>
    </row>
    <row r="74" spans="1:8" x14ac:dyDescent="0.25">
      <c r="A74" s="416"/>
      <c r="B74" s="415" t="s">
        <v>388</v>
      </c>
      <c r="C74" s="414"/>
      <c r="D74" s="414"/>
      <c r="E74" s="413">
        <f>C74+D74</f>
        <v>0</v>
      </c>
      <c r="F74" s="414"/>
      <c r="G74" s="414"/>
      <c r="H74" s="413">
        <f>+E74-F74</f>
        <v>0</v>
      </c>
    </row>
    <row r="75" spans="1:8" x14ac:dyDescent="0.25">
      <c r="A75" s="416"/>
      <c r="B75" s="415"/>
      <c r="C75" s="414"/>
      <c r="D75" s="414"/>
      <c r="E75" s="413"/>
      <c r="F75" s="414"/>
      <c r="G75" s="414"/>
      <c r="H75" s="413"/>
    </row>
    <row r="76" spans="1:8" x14ac:dyDescent="0.25">
      <c r="A76" s="416" t="s">
        <v>387</v>
      </c>
      <c r="B76" s="415"/>
      <c r="C76" s="413">
        <f>SUM(C77:C80)</f>
        <v>0</v>
      </c>
      <c r="D76" s="413">
        <f>SUM(D77:D80)</f>
        <v>0</v>
      </c>
      <c r="E76" s="413">
        <f>SUM(E77:E80)</f>
        <v>0</v>
      </c>
      <c r="F76" s="413">
        <f>SUM(F77:F80)</f>
        <v>0</v>
      </c>
      <c r="G76" s="413">
        <f>SUM(G77:G80)</f>
        <v>0</v>
      </c>
      <c r="H76" s="413">
        <f>SUM(H77:H80)</f>
        <v>0</v>
      </c>
    </row>
    <row r="77" spans="1:8" x14ac:dyDescent="0.25">
      <c r="A77" s="416"/>
      <c r="B77" s="415" t="s">
        <v>386</v>
      </c>
      <c r="C77" s="414">
        <v>0</v>
      </c>
      <c r="D77" s="414"/>
      <c r="E77" s="413">
        <f>C77+D77</f>
        <v>0</v>
      </c>
      <c r="F77" s="414"/>
      <c r="G77" s="414"/>
      <c r="H77" s="413">
        <f>+E77-F77</f>
        <v>0</v>
      </c>
    </row>
    <row r="78" spans="1:8" x14ac:dyDescent="0.25">
      <c r="A78" s="416"/>
      <c r="B78" s="415" t="s">
        <v>385</v>
      </c>
      <c r="C78" s="414">
        <v>0</v>
      </c>
      <c r="D78" s="414"/>
      <c r="E78" s="413">
        <f>C78+D78</f>
        <v>0</v>
      </c>
      <c r="F78" s="414"/>
      <c r="G78" s="414"/>
      <c r="H78" s="413">
        <f>+E78-F78</f>
        <v>0</v>
      </c>
    </row>
    <row r="79" spans="1:8" x14ac:dyDescent="0.25">
      <c r="A79" s="416"/>
      <c r="B79" s="415" t="s">
        <v>384</v>
      </c>
      <c r="C79" s="414">
        <v>0</v>
      </c>
      <c r="D79" s="414"/>
      <c r="E79" s="413">
        <f>C79+D79</f>
        <v>0</v>
      </c>
      <c r="F79" s="414"/>
      <c r="G79" s="414"/>
      <c r="H79" s="413">
        <f>+E79-F79</f>
        <v>0</v>
      </c>
    </row>
    <row r="80" spans="1:8" x14ac:dyDescent="0.25">
      <c r="A80" s="416"/>
      <c r="B80" s="415" t="s">
        <v>383</v>
      </c>
      <c r="C80" s="414"/>
      <c r="D80" s="414"/>
      <c r="E80" s="413">
        <f>C80+D80</f>
        <v>0</v>
      </c>
      <c r="F80" s="414"/>
      <c r="G80" s="414"/>
      <c r="H80" s="413">
        <f>+E80-F80</f>
        <v>0</v>
      </c>
    </row>
    <row r="81" spans="1:9" x14ac:dyDescent="0.25">
      <c r="A81" s="416"/>
      <c r="B81" s="415"/>
      <c r="C81" s="414"/>
      <c r="D81" s="414"/>
      <c r="E81" s="413"/>
      <c r="F81" s="414"/>
      <c r="G81" s="414"/>
      <c r="H81" s="413"/>
    </row>
    <row r="82" spans="1:9" ht="15.75" thickBot="1" x14ac:dyDescent="0.3">
      <c r="A82" s="412" t="s">
        <v>214</v>
      </c>
      <c r="B82" s="411"/>
      <c r="C82" s="410">
        <f>+C9+C46</f>
        <v>623389417.66593051</v>
      </c>
      <c r="D82" s="410">
        <f>+D9+D46</f>
        <v>116461164.84</v>
      </c>
      <c r="E82" s="410">
        <f>+E9+E46</f>
        <v>739850582.50593042</v>
      </c>
      <c r="F82" s="410">
        <f>+F9+F46</f>
        <v>298492105.77999997</v>
      </c>
      <c r="G82" s="410">
        <f>+G9+G46</f>
        <v>268228355.48999998</v>
      </c>
      <c r="H82" s="410">
        <f>+H9+H46</f>
        <v>441358476.72593045</v>
      </c>
      <c r="I82" s="106" t="str">
        <f>IF((C82-'ETCA-II-11'!B44)&gt;0.9,"ERROR!!!!! EL MONTO NO COINCIDE CON LO REPORTADO EN EL FORMATO ETCA-II-11 EN EL TOTAL DEL GASTO","")</f>
        <v/>
      </c>
    </row>
    <row r="83" spans="1:9" x14ac:dyDescent="0.25">
      <c r="A83" s="409"/>
      <c r="B83" s="409"/>
      <c r="C83" s="408"/>
      <c r="D83" s="408"/>
      <c r="E83" s="407"/>
      <c r="F83" s="408"/>
      <c r="G83" s="408"/>
      <c r="H83" s="407"/>
      <c r="I83" s="106" t="str">
        <f>IF((D82-'ETCA-II-11'!C44)&gt;0.9,"ERROR!!!!! EL MONTO NO COINCIDE CON LO REPORTADO EN EL FORMATO ETCA-II-11 EN EL TOTAL DEL GASTO","")</f>
        <v/>
      </c>
    </row>
    <row r="84" spans="1:9" x14ac:dyDescent="0.25">
      <c r="A84" s="409"/>
      <c r="B84" s="409"/>
      <c r="C84" s="408"/>
      <c r="D84" s="408"/>
      <c r="E84" s="407"/>
      <c r="F84" s="408"/>
      <c r="G84" s="408"/>
      <c r="H84" s="407"/>
    </row>
    <row r="85" spans="1:9" x14ac:dyDescent="0.25">
      <c r="A85" s="409"/>
      <c r="B85" s="409"/>
      <c r="C85" s="408"/>
      <c r="D85" s="408"/>
      <c r="E85" s="407"/>
      <c r="F85" s="408"/>
      <c r="G85" s="408"/>
      <c r="H85" s="407"/>
      <c r="I85" t="str">
        <f>IF((F82-'ETCA-II-11'!E44)&gt;0.9,"ERROR!!!!! EL MONTO NO COINCIDE CON LO REPORTADO EN EL FORMATO ETCA-II-11 EN EL TOTAL DEL GASTO","")</f>
        <v/>
      </c>
    </row>
    <row r="86" spans="1:9" x14ac:dyDescent="0.25">
      <c r="A86" s="409"/>
      <c r="B86" s="409"/>
      <c r="C86" s="408"/>
      <c r="D86" s="408"/>
      <c r="E86" s="407"/>
      <c r="F86" s="408"/>
      <c r="G86" s="408"/>
      <c r="H86" s="407"/>
      <c r="I86" t="str">
        <f>IF((G82-'ETCA-II-11'!F44)&gt;0.9,"ERROR!!!!! EL MONTO NO COINCIDE CON LO REPORTADO EN EL FORMATO ETCA-II-11 EN EL TOTAL DEL GASTO","")</f>
        <v/>
      </c>
    </row>
    <row r="87" spans="1:9" x14ac:dyDescent="0.25">
      <c r="A87" s="409"/>
      <c r="B87" s="409"/>
      <c r="C87" s="408"/>
      <c r="D87" s="408"/>
      <c r="E87" s="407"/>
      <c r="F87" s="408"/>
      <c r="G87" s="408"/>
      <c r="H87" s="407"/>
      <c r="I87" t="str">
        <f>IF((H82-'ETCA-II-11'!G44)&gt;0.9,"ERROR!!!!! EL MONTO NO COINCIDE CON LO REPORTADO EN EL FORMATO ETCA-II-11 EN EL TOTAL DEL GASTO","")</f>
        <v/>
      </c>
    </row>
    <row r="88" spans="1:9" x14ac:dyDescent="0.25">
      <c r="A88" s="409"/>
      <c r="B88" s="409"/>
      <c r="C88" s="408"/>
      <c r="D88" s="408"/>
      <c r="E88" s="407"/>
      <c r="F88" s="408"/>
      <c r="G88" s="408"/>
      <c r="H88" s="407"/>
    </row>
  </sheetData>
  <sheetProtection formatColumns="0" formatRows="0" insertHyperlinks="0"/>
  <mergeCells count="13">
    <mergeCell ref="A8:B8"/>
    <mergeCell ref="A9:B9"/>
    <mergeCell ref="A10:B10"/>
    <mergeCell ref="A20:B20"/>
    <mergeCell ref="A29:B29"/>
    <mergeCell ref="A6:B7"/>
    <mergeCell ref="C6:G6"/>
    <mergeCell ref="H6:H7"/>
    <mergeCell ref="A1:H1"/>
    <mergeCell ref="A2:H2"/>
    <mergeCell ref="A3:H3"/>
    <mergeCell ref="A4:H4"/>
    <mergeCell ref="A5:H5"/>
  </mergeCells>
  <pageMargins left="0.19685039370078741" right="0.31496062992125984" top="0.74803149606299213" bottom="0.74803149606299213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61F2-56CF-4C0E-825C-D877C117C963}">
  <sheetPr>
    <tabColor theme="0" tint="-0.14999847407452621"/>
  </sheetPr>
  <dimension ref="A1:O398"/>
  <sheetViews>
    <sheetView topLeftCell="A373" zoomScaleNormal="100" workbookViewId="0">
      <selection activeCell="T27" sqref="T27"/>
    </sheetView>
  </sheetViews>
  <sheetFormatPr baseColWidth="10" defaultRowHeight="15" x14ac:dyDescent="0.25"/>
  <cols>
    <col min="1" max="1" width="10.7109375" customWidth="1"/>
    <col min="2" max="2" width="39.85546875" customWidth="1"/>
    <col min="3" max="3" width="16.140625" style="442" customWidth="1"/>
    <col min="4" max="4" width="15" style="442" customWidth="1"/>
    <col min="5" max="5" width="12.7109375" style="442" customWidth="1"/>
    <col min="6" max="6" width="18" style="442" customWidth="1"/>
    <col min="7" max="7" width="16.140625" style="442" customWidth="1"/>
    <col min="8" max="8" width="14.5703125" style="441" customWidth="1"/>
    <col min="9" max="9" width="9.42578125" style="440" customWidth="1"/>
    <col min="10" max="11" width="11.42578125" style="438"/>
    <col min="12" max="12" width="12.85546875" style="439" bestFit="1" customWidth="1"/>
    <col min="13" max="13" width="11.42578125" style="439"/>
    <col min="14" max="15" width="11.42578125" style="438"/>
  </cols>
  <sheetData>
    <row r="1" spans="1:13" x14ac:dyDescent="0.25">
      <c r="A1" s="503" t="s">
        <v>710</v>
      </c>
      <c r="B1" s="503"/>
      <c r="C1" s="503"/>
      <c r="D1" s="503"/>
      <c r="E1" s="503"/>
      <c r="F1" s="503"/>
      <c r="G1" s="503"/>
      <c r="H1" s="503"/>
      <c r="I1" s="503"/>
      <c r="L1" s="487"/>
      <c r="M1" s="487"/>
    </row>
    <row r="2" spans="1:13" x14ac:dyDescent="0.25">
      <c r="A2" s="502" t="s">
        <v>213</v>
      </c>
      <c r="B2" s="502"/>
      <c r="C2" s="502"/>
      <c r="D2" s="502"/>
      <c r="E2" s="502"/>
      <c r="F2" s="502"/>
      <c r="G2" s="502"/>
      <c r="H2" s="502"/>
      <c r="I2" s="502"/>
      <c r="L2" s="487"/>
      <c r="M2" s="487"/>
    </row>
    <row r="3" spans="1:13" x14ac:dyDescent="0.25">
      <c r="A3" s="502" t="s">
        <v>709</v>
      </c>
      <c r="B3" s="502"/>
      <c r="C3" s="502"/>
      <c r="D3" s="502"/>
      <c r="E3" s="502"/>
      <c r="F3" s="502"/>
      <c r="G3" s="502"/>
      <c r="H3" s="502"/>
      <c r="I3" s="502"/>
      <c r="L3" s="487"/>
      <c r="M3" s="487"/>
    </row>
    <row r="4" spans="1:13" x14ac:dyDescent="0.25">
      <c r="A4" s="502" t="s">
        <v>708</v>
      </c>
      <c r="B4" s="502"/>
      <c r="C4" s="502"/>
      <c r="D4" s="502"/>
      <c r="E4" s="502"/>
      <c r="F4" s="502"/>
      <c r="G4" s="502"/>
      <c r="H4" s="502"/>
      <c r="I4" s="502"/>
      <c r="L4" s="487"/>
      <c r="M4" s="487"/>
    </row>
    <row r="5" spans="1:13" x14ac:dyDescent="0.25">
      <c r="A5" s="502" t="s">
        <v>707</v>
      </c>
      <c r="B5" s="502"/>
      <c r="C5" s="502"/>
      <c r="D5" s="502"/>
      <c r="E5" s="502"/>
      <c r="F5" s="502"/>
      <c r="G5" s="502"/>
      <c r="H5" s="502"/>
      <c r="I5" s="502"/>
      <c r="L5" s="487"/>
      <c r="M5" s="487"/>
    </row>
    <row r="6" spans="1:13" ht="15.75" customHeight="1" thickBot="1" x14ac:dyDescent="0.3">
      <c r="D6" s="442" t="s">
        <v>297</v>
      </c>
      <c r="H6" s="501"/>
      <c r="I6" s="501"/>
      <c r="L6" s="487"/>
      <c r="M6" s="487"/>
    </row>
    <row r="7" spans="1:13" ht="15.75" thickTop="1" x14ac:dyDescent="0.25">
      <c r="A7" s="500" t="s">
        <v>706</v>
      </c>
      <c r="B7" s="499" t="s">
        <v>705</v>
      </c>
      <c r="C7" s="497" t="s">
        <v>704</v>
      </c>
      <c r="D7" s="497" t="s">
        <v>703</v>
      </c>
      <c r="E7" s="498" t="s">
        <v>702</v>
      </c>
      <c r="F7" s="497" t="s">
        <v>701</v>
      </c>
      <c r="G7" s="497" t="s">
        <v>700</v>
      </c>
      <c r="H7" s="496" t="s">
        <v>699</v>
      </c>
      <c r="I7" s="495" t="s">
        <v>698</v>
      </c>
      <c r="L7" s="487"/>
      <c r="M7" s="487"/>
    </row>
    <row r="8" spans="1:13" ht="36" customHeight="1" x14ac:dyDescent="0.25">
      <c r="A8" s="494"/>
      <c r="B8" s="493"/>
      <c r="C8" s="490"/>
      <c r="D8" s="490"/>
      <c r="E8" s="492"/>
      <c r="F8" s="491"/>
      <c r="G8" s="490"/>
      <c r="H8" s="489"/>
      <c r="I8" s="488"/>
      <c r="L8" s="487"/>
      <c r="M8" s="487"/>
    </row>
    <row r="9" spans="1:13" x14ac:dyDescent="0.25">
      <c r="A9" s="483">
        <v>1000</v>
      </c>
      <c r="B9" s="478" t="s">
        <v>697</v>
      </c>
      <c r="C9" s="453">
        <f>C10+C20+C23+C35+C45+C66</f>
        <v>204443147.32279521</v>
      </c>
      <c r="D9" s="453">
        <f>D10+D20+D23+D35+D45+D66</f>
        <v>-632242.46000000008</v>
      </c>
      <c r="E9" s="453">
        <f>+C9+D9</f>
        <v>203810904.8627952</v>
      </c>
      <c r="F9" s="453">
        <v>107376242.36</v>
      </c>
      <c r="G9" s="453">
        <v>96587067.849999994</v>
      </c>
      <c r="H9" s="453">
        <f>+E9-F9</f>
        <v>96434662.502795205</v>
      </c>
      <c r="I9" s="452">
        <f>+F9/E9</f>
        <v>0.52684247897474046</v>
      </c>
    </row>
    <row r="10" spans="1:13" ht="19.5" customHeight="1" x14ac:dyDescent="0.25">
      <c r="A10" s="480">
        <v>1100</v>
      </c>
      <c r="B10" s="478" t="s">
        <v>696</v>
      </c>
      <c r="C10" s="453">
        <f>C11</f>
        <v>115843503.13592325</v>
      </c>
      <c r="D10" s="453">
        <f>D11</f>
        <v>-3326938.06</v>
      </c>
      <c r="E10" s="453">
        <f>+C10+D10</f>
        <v>112516565.07592325</v>
      </c>
      <c r="F10" s="453">
        <v>59921330.489999995</v>
      </c>
      <c r="G10" s="453">
        <v>52678683.809999995</v>
      </c>
      <c r="H10" s="453">
        <f>+E10-F10</f>
        <v>52595234.585923254</v>
      </c>
      <c r="I10" s="452">
        <f>+F10/E10</f>
        <v>0.53255563258233707</v>
      </c>
    </row>
    <row r="11" spans="1:13" x14ac:dyDescent="0.25">
      <c r="A11" s="479">
        <v>113</v>
      </c>
      <c r="B11" s="478" t="s">
        <v>695</v>
      </c>
      <c r="C11" s="453">
        <f>SUM(C12:C19)</f>
        <v>115843503.13592325</v>
      </c>
      <c r="D11" s="453">
        <f>SUM(D12:D19)</f>
        <v>-3326938.06</v>
      </c>
      <c r="E11" s="453">
        <f>+C11+D11</f>
        <v>112516565.07592325</v>
      </c>
      <c r="F11" s="453">
        <v>59921330.489999995</v>
      </c>
      <c r="G11" s="453">
        <v>52678683.809999995</v>
      </c>
      <c r="H11" s="453">
        <f>+E11-F11</f>
        <v>52595234.585923254</v>
      </c>
      <c r="I11" s="452">
        <f>+F11/E11</f>
        <v>0.53255563258233707</v>
      </c>
    </row>
    <row r="12" spans="1:13" x14ac:dyDescent="0.25">
      <c r="A12" s="482">
        <v>11301</v>
      </c>
      <c r="B12" s="481" t="s">
        <v>694</v>
      </c>
      <c r="C12" s="454">
        <v>54789445.173276708</v>
      </c>
      <c r="D12" s="454">
        <v>-528440</v>
      </c>
      <c r="E12" s="453">
        <f>+C12+D12</f>
        <v>54261005.173276708</v>
      </c>
      <c r="F12" s="454">
        <v>29577031.829999998</v>
      </c>
      <c r="G12" s="454">
        <v>29577031.829999998</v>
      </c>
      <c r="H12" s="453">
        <f>+E12-F12</f>
        <v>24683973.343276709</v>
      </c>
      <c r="I12" s="452">
        <f>+F12/E12</f>
        <v>0.54508816664101445</v>
      </c>
    </row>
    <row r="13" spans="1:13" x14ac:dyDescent="0.25">
      <c r="A13" s="482">
        <v>11302</v>
      </c>
      <c r="B13" s="481" t="s">
        <v>693</v>
      </c>
      <c r="C13" s="454"/>
      <c r="D13" s="454">
        <v>277253.58</v>
      </c>
      <c r="E13" s="453">
        <f>+C13+D13</f>
        <v>277253.58</v>
      </c>
      <c r="F13" s="454">
        <v>277253.58</v>
      </c>
      <c r="G13" s="454">
        <v>277253.58</v>
      </c>
      <c r="H13" s="453">
        <f>+E13-F13</f>
        <v>0</v>
      </c>
      <c r="I13" s="452">
        <f>+F13/E13</f>
        <v>1</v>
      </c>
    </row>
    <row r="14" spans="1:13" x14ac:dyDescent="0.25">
      <c r="A14" s="482">
        <v>11303</v>
      </c>
      <c r="B14" s="481" t="s">
        <v>692</v>
      </c>
      <c r="C14" s="454">
        <v>1188605.3668761486</v>
      </c>
      <c r="D14" s="454">
        <v>111</v>
      </c>
      <c r="E14" s="453">
        <f>+C14+D14</f>
        <v>1188716.3668761486</v>
      </c>
      <c r="F14" s="454">
        <v>321067.58</v>
      </c>
      <c r="G14" s="454">
        <v>321067.58</v>
      </c>
      <c r="H14" s="453">
        <f>+E14-F14</f>
        <v>867648.78687614854</v>
      </c>
      <c r="I14" s="452">
        <f>+F14/E14</f>
        <v>0.27009603715959585</v>
      </c>
    </row>
    <row r="15" spans="1:13" x14ac:dyDescent="0.25">
      <c r="A15" s="482">
        <v>11304</v>
      </c>
      <c r="B15" s="481" t="s">
        <v>691</v>
      </c>
      <c r="C15" s="454">
        <v>779339.53</v>
      </c>
      <c r="D15" s="454">
        <v>0</v>
      </c>
      <c r="E15" s="453">
        <f>+C15+D15</f>
        <v>779339.53</v>
      </c>
      <c r="F15" s="454">
        <v>0</v>
      </c>
      <c r="G15" s="454">
        <v>0</v>
      </c>
      <c r="H15" s="453">
        <f>+E15-F15</f>
        <v>779339.53</v>
      </c>
      <c r="I15" s="452">
        <f>+F15/E15</f>
        <v>0</v>
      </c>
    </row>
    <row r="16" spans="1:13" x14ac:dyDescent="0.25">
      <c r="A16" s="482">
        <v>11306</v>
      </c>
      <c r="B16" s="481" t="s">
        <v>690</v>
      </c>
      <c r="C16" s="454">
        <v>39234835.581377797</v>
      </c>
      <c r="D16" s="454">
        <f>-1350563.94-1900</f>
        <v>-1352463.94</v>
      </c>
      <c r="E16" s="453">
        <f>+C16+D16</f>
        <v>37882371.641377799</v>
      </c>
      <c r="F16" s="454">
        <v>20340999.519999996</v>
      </c>
      <c r="G16" s="454">
        <v>13098352.839999998</v>
      </c>
      <c r="H16" s="453">
        <f>+E16-F16</f>
        <v>17541372.121377803</v>
      </c>
      <c r="I16" s="452">
        <f>+F16/E16</f>
        <v>0.53695158562306378</v>
      </c>
    </row>
    <row r="17" spans="1:9" x14ac:dyDescent="0.25">
      <c r="A17" s="482">
        <v>11307</v>
      </c>
      <c r="B17" s="481" t="s">
        <v>689</v>
      </c>
      <c r="C17" s="454">
        <v>11625339.585183397</v>
      </c>
      <c r="D17" s="454">
        <v>-778618.17999999993</v>
      </c>
      <c r="E17" s="453">
        <f>+C17+D17</f>
        <v>10846721.405183397</v>
      </c>
      <c r="F17" s="454">
        <v>5547459.4399999995</v>
      </c>
      <c r="G17" s="454">
        <v>5547459.4399999995</v>
      </c>
      <c r="H17" s="453">
        <f>+E17-F17</f>
        <v>5299261.9651833978</v>
      </c>
      <c r="I17" s="452">
        <f>+F17/E17</f>
        <v>0.5114411288695031</v>
      </c>
    </row>
    <row r="18" spans="1:9" x14ac:dyDescent="0.25">
      <c r="A18" s="482">
        <v>11308</v>
      </c>
      <c r="B18" s="481" t="s">
        <v>688</v>
      </c>
      <c r="C18" s="454">
        <v>16199.049186517554</v>
      </c>
      <c r="D18" s="454">
        <v>0</v>
      </c>
      <c r="E18" s="453">
        <f>+C18+D18</f>
        <v>16199.049186517554</v>
      </c>
      <c r="F18" s="454">
        <v>6935</v>
      </c>
      <c r="G18" s="454">
        <v>6935</v>
      </c>
      <c r="H18" s="453">
        <f>+E18-F18</f>
        <v>9264.0491865175536</v>
      </c>
      <c r="I18" s="452">
        <f>+F18/E18</f>
        <v>0.42811154655743566</v>
      </c>
    </row>
    <row r="19" spans="1:9" x14ac:dyDescent="0.25">
      <c r="A19" s="482">
        <v>11310</v>
      </c>
      <c r="B19" s="481" t="s">
        <v>687</v>
      </c>
      <c r="C19" s="454">
        <v>8209738.8500226913</v>
      </c>
      <c r="D19" s="454">
        <v>-944780.52</v>
      </c>
      <c r="E19" s="453">
        <f>+C19+D19</f>
        <v>7264958.3300226908</v>
      </c>
      <c r="F19" s="454">
        <v>3850583.54</v>
      </c>
      <c r="G19" s="454">
        <v>3850583.54</v>
      </c>
      <c r="H19" s="453">
        <f>+E19-F19</f>
        <v>3414374.7900226908</v>
      </c>
      <c r="I19" s="452">
        <f>+F19/E19</f>
        <v>0.5300214213324983</v>
      </c>
    </row>
    <row r="20" spans="1:9" ht="22.5" x14ac:dyDescent="0.25">
      <c r="A20" s="480">
        <v>1200</v>
      </c>
      <c r="B20" s="478" t="s">
        <v>686</v>
      </c>
      <c r="C20" s="453">
        <f>C21</f>
        <v>1883200.3508860434</v>
      </c>
      <c r="D20" s="453">
        <f>D21</f>
        <v>0</v>
      </c>
      <c r="E20" s="453">
        <f>+C20+D20</f>
        <v>1883200.3508860434</v>
      </c>
      <c r="F20" s="453">
        <v>915409.53</v>
      </c>
      <c r="G20" s="453">
        <v>915409.53</v>
      </c>
      <c r="H20" s="453">
        <f>+E20-F20</f>
        <v>967790.82088604337</v>
      </c>
      <c r="I20" s="452">
        <f>+F20/E20</f>
        <v>0.48609248058460747</v>
      </c>
    </row>
    <row r="21" spans="1:9" x14ac:dyDescent="0.25">
      <c r="A21" s="479">
        <v>121</v>
      </c>
      <c r="B21" s="478" t="s">
        <v>685</v>
      </c>
      <c r="C21" s="453">
        <f>C22</f>
        <v>1883200.3508860434</v>
      </c>
      <c r="D21" s="453">
        <f>D22</f>
        <v>0</v>
      </c>
      <c r="E21" s="453">
        <f>+C21+D21</f>
        <v>1883200.3508860434</v>
      </c>
      <c r="F21" s="453">
        <v>915409.53</v>
      </c>
      <c r="G21" s="453">
        <v>915409.53</v>
      </c>
      <c r="H21" s="453">
        <f>+E21-F21</f>
        <v>967790.82088604337</v>
      </c>
      <c r="I21" s="452">
        <f>+F21/E21</f>
        <v>0.48609248058460747</v>
      </c>
    </row>
    <row r="22" spans="1:9" x14ac:dyDescent="0.25">
      <c r="A22" s="482">
        <v>12101</v>
      </c>
      <c r="B22" s="481" t="s">
        <v>684</v>
      </c>
      <c r="C22" s="454">
        <v>1883200.3508860434</v>
      </c>
      <c r="D22" s="454">
        <v>0</v>
      </c>
      <c r="E22" s="453">
        <f>+C22+D22</f>
        <v>1883200.3508860434</v>
      </c>
      <c r="F22" s="454">
        <v>915409.53</v>
      </c>
      <c r="G22" s="454">
        <v>915409.53</v>
      </c>
      <c r="H22" s="453">
        <f>+E22-F22</f>
        <v>967790.82088604337</v>
      </c>
      <c r="I22" s="452">
        <f>+F22/E22</f>
        <v>0.48609248058460747</v>
      </c>
    </row>
    <row r="23" spans="1:9" x14ac:dyDescent="0.25">
      <c r="A23" s="480">
        <v>1300</v>
      </c>
      <c r="B23" s="478" t="s">
        <v>683</v>
      </c>
      <c r="C23" s="453">
        <f>C24+C26+C31+C33</f>
        <v>10262941.40592527</v>
      </c>
      <c r="D23" s="453">
        <f>D24+D26+D31+D33</f>
        <v>1413976</v>
      </c>
      <c r="E23" s="453">
        <f>+C23+D23</f>
        <v>11676917.40592527</v>
      </c>
      <c r="F23" s="453">
        <v>5590431.6500000013</v>
      </c>
      <c r="G23" s="453">
        <v>5210036.540000001</v>
      </c>
      <c r="H23" s="453">
        <f>+E23-F23</f>
        <v>6086485.7559252689</v>
      </c>
      <c r="I23" s="452">
        <f>+F23/E23</f>
        <v>0.47875920122233834</v>
      </c>
    </row>
    <row r="24" spans="1:9" ht="22.5" x14ac:dyDescent="0.25">
      <c r="A24" s="479">
        <v>131</v>
      </c>
      <c r="B24" s="478" t="s">
        <v>682</v>
      </c>
      <c r="C24" s="453">
        <f>C25</f>
        <v>2984342.6136914436</v>
      </c>
      <c r="D24" s="453">
        <f>D25</f>
        <v>6321</v>
      </c>
      <c r="E24" s="453">
        <f>+C24+D24</f>
        <v>2990663.6136914436</v>
      </c>
      <c r="F24" s="453">
        <v>1872451.8600000003</v>
      </c>
      <c r="G24" s="453">
        <v>1872451.8600000003</v>
      </c>
      <c r="H24" s="453">
        <f>+E24-F24</f>
        <v>1118211.7536914432</v>
      </c>
      <c r="I24" s="452">
        <f>+F24/E24</f>
        <v>0.62609912108730637</v>
      </c>
    </row>
    <row r="25" spans="1:9" x14ac:dyDescent="0.25">
      <c r="A25" s="482">
        <v>13101</v>
      </c>
      <c r="B25" s="481" t="s">
        <v>682</v>
      </c>
      <c r="C25" s="454">
        <v>2984342.6136914436</v>
      </c>
      <c r="D25" s="454">
        <v>6321</v>
      </c>
      <c r="E25" s="453">
        <f>+C25+D25</f>
        <v>2990663.6136914436</v>
      </c>
      <c r="F25" s="454">
        <v>1872451.8600000003</v>
      </c>
      <c r="G25" s="454">
        <v>1872451.8600000003</v>
      </c>
      <c r="H25" s="453">
        <f>+E25-F25</f>
        <v>1118211.7536914432</v>
      </c>
      <c r="I25" s="452">
        <f>+F25/E25</f>
        <v>0.62609912108730637</v>
      </c>
    </row>
    <row r="26" spans="1:9" ht="22.5" x14ac:dyDescent="0.25">
      <c r="A26" s="479">
        <v>132</v>
      </c>
      <c r="B26" s="478" t="s">
        <v>681</v>
      </c>
      <c r="C26" s="453">
        <f>C27+C28+C29+C30</f>
        <v>6197735.4397429833</v>
      </c>
      <c r="D26" s="453">
        <f>D27+D28+D29+D30</f>
        <v>393</v>
      </c>
      <c r="E26" s="453">
        <f>+C26+D26</f>
        <v>6198128.4397429833</v>
      </c>
      <c r="F26" s="453">
        <v>1288654.8499999999</v>
      </c>
      <c r="G26" s="453">
        <v>908259.73999999987</v>
      </c>
      <c r="H26" s="453">
        <f>+E26-F26</f>
        <v>4909473.5897429837</v>
      </c>
      <c r="I26" s="452">
        <f>+F26/E26</f>
        <v>0.20791031720753375</v>
      </c>
    </row>
    <row r="27" spans="1:9" x14ac:dyDescent="0.25">
      <c r="A27" s="482">
        <v>13201</v>
      </c>
      <c r="B27" s="481" t="s">
        <v>680</v>
      </c>
      <c r="C27" s="454">
        <v>4542217.0013376875</v>
      </c>
      <c r="D27" s="454">
        <v>393</v>
      </c>
      <c r="E27" s="453">
        <f>+C27+D27</f>
        <v>4542610.0013376875</v>
      </c>
      <c r="F27" s="454">
        <v>923527.45999999985</v>
      </c>
      <c r="G27" s="454">
        <v>908259.73999999987</v>
      </c>
      <c r="H27" s="453">
        <f>+E27-F27</f>
        <v>3619082.5413376875</v>
      </c>
      <c r="I27" s="452">
        <f>+F27/E27</f>
        <v>0.20330326832548767</v>
      </c>
    </row>
    <row r="28" spans="1:9" x14ac:dyDescent="0.25">
      <c r="A28" s="482">
        <v>13202</v>
      </c>
      <c r="B28" s="481" t="s">
        <v>679</v>
      </c>
      <c r="C28" s="454">
        <v>1486153.9684052961</v>
      </c>
      <c r="D28" s="454">
        <v>0</v>
      </c>
      <c r="E28" s="453">
        <f>+C28+D28</f>
        <v>1486153.9684052961</v>
      </c>
      <c r="F28" s="454">
        <v>324557.63</v>
      </c>
      <c r="G28" s="454">
        <v>0</v>
      </c>
      <c r="H28" s="453">
        <f>+E28-F28</f>
        <v>1161596.3384052962</v>
      </c>
      <c r="I28" s="452">
        <f>+F28/E28</f>
        <v>0.21838762126932487</v>
      </c>
    </row>
    <row r="29" spans="1:9" x14ac:dyDescent="0.25">
      <c r="A29" s="482">
        <v>13203</v>
      </c>
      <c r="B29" s="481" t="s">
        <v>678</v>
      </c>
      <c r="C29" s="454">
        <v>87500.160000000003</v>
      </c>
      <c r="D29" s="454">
        <v>0</v>
      </c>
      <c r="E29" s="453">
        <f>+C29+D29</f>
        <v>87500.160000000003</v>
      </c>
      <c r="F29" s="454">
        <v>0</v>
      </c>
      <c r="G29" s="454">
        <v>0</v>
      </c>
      <c r="H29" s="453">
        <f>+E29-F29</f>
        <v>87500.160000000003</v>
      </c>
      <c r="I29" s="452">
        <f>+F29/E29</f>
        <v>0</v>
      </c>
    </row>
    <row r="30" spans="1:9" x14ac:dyDescent="0.25">
      <c r="A30" s="482">
        <v>13204</v>
      </c>
      <c r="B30" s="481" t="s">
        <v>677</v>
      </c>
      <c r="C30" s="454">
        <v>81864.31</v>
      </c>
      <c r="D30" s="454">
        <v>0</v>
      </c>
      <c r="E30" s="453">
        <f>+C30+D30</f>
        <v>81864.31</v>
      </c>
      <c r="F30" s="454">
        <v>40569.760000000002</v>
      </c>
      <c r="G30" s="454">
        <v>0</v>
      </c>
      <c r="H30" s="453">
        <f>+E30-F30</f>
        <v>41294.549999999996</v>
      </c>
      <c r="I30" s="452">
        <f>+F30/E30</f>
        <v>0.49557322354515665</v>
      </c>
    </row>
    <row r="31" spans="1:9" x14ac:dyDescent="0.25">
      <c r="A31" s="479">
        <v>133</v>
      </c>
      <c r="B31" s="478" t="s">
        <v>676</v>
      </c>
      <c r="C31" s="453">
        <f>C32</f>
        <v>963263.35249084188</v>
      </c>
      <c r="D31" s="453">
        <f>D32</f>
        <v>1407262</v>
      </c>
      <c r="E31" s="453">
        <f>+C31+D31</f>
        <v>2370525.3524908419</v>
      </c>
      <c r="F31" s="453">
        <v>2370524.94</v>
      </c>
      <c r="G31" s="453">
        <v>2370524.94</v>
      </c>
      <c r="H31" s="453">
        <f>+E31-F31</f>
        <v>0.41249084193259478</v>
      </c>
      <c r="I31" s="452">
        <f>+F31/E31</f>
        <v>0.99999982599180326</v>
      </c>
    </row>
    <row r="32" spans="1:9" x14ac:dyDescent="0.25">
      <c r="A32" s="482">
        <v>13301</v>
      </c>
      <c r="B32" s="481" t="s">
        <v>675</v>
      </c>
      <c r="C32" s="454">
        <v>963263.35249084188</v>
      </c>
      <c r="D32" s="454">
        <v>1407262</v>
      </c>
      <c r="E32" s="453">
        <f>+C32+D32</f>
        <v>2370525.3524908419</v>
      </c>
      <c r="F32" s="454">
        <v>2370524.94</v>
      </c>
      <c r="G32" s="454">
        <v>2370524.94</v>
      </c>
      <c r="H32" s="453">
        <f>+E32-F32</f>
        <v>0.41249084193259478</v>
      </c>
      <c r="I32" s="452">
        <f>+F32/E32</f>
        <v>0.99999982599180326</v>
      </c>
    </row>
    <row r="33" spans="1:9" x14ac:dyDescent="0.25">
      <c r="A33" s="479">
        <v>134</v>
      </c>
      <c r="B33" s="478" t="s">
        <v>674</v>
      </c>
      <c r="C33" s="453">
        <f>C34</f>
        <v>117600</v>
      </c>
      <c r="D33" s="453">
        <f>D34</f>
        <v>0</v>
      </c>
      <c r="E33" s="453">
        <f>+C33+D33</f>
        <v>117600</v>
      </c>
      <c r="F33" s="453">
        <v>58800</v>
      </c>
      <c r="G33" s="453">
        <v>58800</v>
      </c>
      <c r="H33" s="453">
        <f>+E33-F33</f>
        <v>58800</v>
      </c>
      <c r="I33" s="452">
        <f>+F33/E33</f>
        <v>0.5</v>
      </c>
    </row>
    <row r="34" spans="1:9" x14ac:dyDescent="0.25">
      <c r="A34" s="482">
        <v>13403</v>
      </c>
      <c r="B34" s="481" t="s">
        <v>673</v>
      </c>
      <c r="C34" s="454">
        <v>117600</v>
      </c>
      <c r="D34" s="454">
        <v>0</v>
      </c>
      <c r="E34" s="453">
        <f>+C34+D34</f>
        <v>117600</v>
      </c>
      <c r="F34" s="454">
        <v>58800</v>
      </c>
      <c r="G34" s="454">
        <v>58800</v>
      </c>
      <c r="H34" s="453">
        <f>+E34-F34</f>
        <v>58800</v>
      </c>
      <c r="I34" s="452">
        <f>+F34/E34</f>
        <v>0.5</v>
      </c>
    </row>
    <row r="35" spans="1:9" x14ac:dyDescent="0.25">
      <c r="A35" s="480">
        <v>1400</v>
      </c>
      <c r="B35" s="478" t="s">
        <v>198</v>
      </c>
      <c r="C35" s="453">
        <f>C36+C39+C41</f>
        <v>39796179.374640383</v>
      </c>
      <c r="D35" s="453">
        <f>D36+D39+D41</f>
        <v>18063</v>
      </c>
      <c r="E35" s="453">
        <f>+C35+D35</f>
        <v>39814242.374640383</v>
      </c>
      <c r="F35" s="453">
        <v>22372557.470000003</v>
      </c>
      <c r="G35" s="453">
        <v>19448419.850000001</v>
      </c>
      <c r="H35" s="453">
        <f>+E35-F35</f>
        <v>17441684.90464038</v>
      </c>
      <c r="I35" s="452">
        <f>+F35/E35</f>
        <v>0.56192347601345205</v>
      </c>
    </row>
    <row r="36" spans="1:9" x14ac:dyDescent="0.25">
      <c r="A36" s="479">
        <v>141</v>
      </c>
      <c r="B36" s="478" t="s">
        <v>672</v>
      </c>
      <c r="C36" s="453">
        <f>C37+C38</f>
        <v>36185061.691328228</v>
      </c>
      <c r="D36" s="453">
        <f>D37+D38</f>
        <v>-384220</v>
      </c>
      <c r="E36" s="453">
        <f>+C36+D36</f>
        <v>35800841.691328228</v>
      </c>
      <c r="F36" s="453">
        <v>19107888.319999997</v>
      </c>
      <c r="G36" s="453">
        <v>16222495.84</v>
      </c>
      <c r="H36" s="453">
        <f>+E36-F36</f>
        <v>16692953.371328231</v>
      </c>
      <c r="I36" s="452">
        <f>+F36/E36</f>
        <v>0.53372734877985728</v>
      </c>
    </row>
    <row r="37" spans="1:9" x14ac:dyDescent="0.25">
      <c r="A37" s="482">
        <v>14106</v>
      </c>
      <c r="B37" s="481" t="s">
        <v>671</v>
      </c>
      <c r="C37" s="454">
        <v>22662579.121978931</v>
      </c>
      <c r="D37" s="454">
        <v>-402283</v>
      </c>
      <c r="E37" s="453">
        <f>+C37+D37</f>
        <v>22260296.121978931</v>
      </c>
      <c r="F37" s="454">
        <v>12112292.540000001</v>
      </c>
      <c r="G37" s="454">
        <v>9566379.0799999982</v>
      </c>
      <c r="H37" s="453">
        <f>+E37-F37</f>
        <v>10148003.58197893</v>
      </c>
      <c r="I37" s="452">
        <f>+F37/E37</f>
        <v>0.5441209080790621</v>
      </c>
    </row>
    <row r="38" spans="1:9" x14ac:dyDescent="0.25">
      <c r="A38" s="482">
        <v>14109</v>
      </c>
      <c r="B38" s="481" t="s">
        <v>670</v>
      </c>
      <c r="C38" s="454">
        <v>13522482.569349293</v>
      </c>
      <c r="D38" s="454">
        <v>18063</v>
      </c>
      <c r="E38" s="453">
        <f>+C38+D38</f>
        <v>13540545.569349293</v>
      </c>
      <c r="F38" s="454">
        <v>6995595.7800000003</v>
      </c>
      <c r="G38" s="454">
        <v>6656116.7599999998</v>
      </c>
      <c r="H38" s="453">
        <f>+E38-F38</f>
        <v>6544949.7893492924</v>
      </c>
      <c r="I38" s="452">
        <f>+F38/E38</f>
        <v>0.51664061423310748</v>
      </c>
    </row>
    <row r="39" spans="1:9" x14ac:dyDescent="0.25">
      <c r="A39" s="479">
        <v>143</v>
      </c>
      <c r="B39" s="478" t="s">
        <v>669</v>
      </c>
      <c r="C39" s="453">
        <f>C40</f>
        <v>450243.82</v>
      </c>
      <c r="D39" s="453">
        <f>D40</f>
        <v>0</v>
      </c>
      <c r="E39" s="453">
        <f>+C39+D39</f>
        <v>450243.82</v>
      </c>
      <c r="F39" s="453">
        <v>248875.95</v>
      </c>
      <c r="G39" s="453">
        <v>248875.95</v>
      </c>
      <c r="H39" s="453">
        <f>+E39-F39</f>
        <v>201367.87</v>
      </c>
      <c r="I39" s="452">
        <f>+F39/E39</f>
        <v>0.55275817000664218</v>
      </c>
    </row>
    <row r="40" spans="1:9" x14ac:dyDescent="0.25">
      <c r="A40" s="482">
        <v>14303</v>
      </c>
      <c r="B40" s="481" t="s">
        <v>668</v>
      </c>
      <c r="C40" s="454">
        <v>450243.82</v>
      </c>
      <c r="D40" s="454">
        <v>0</v>
      </c>
      <c r="E40" s="453">
        <f>+C40+D40</f>
        <v>450243.82</v>
      </c>
      <c r="F40" s="454">
        <v>248875.95</v>
      </c>
      <c r="G40" s="454">
        <v>248875.95</v>
      </c>
      <c r="H40" s="453">
        <f>+E40-F40</f>
        <v>201367.87</v>
      </c>
      <c r="I40" s="452">
        <f>+F40/E40</f>
        <v>0.55275817000664218</v>
      </c>
    </row>
    <row r="41" spans="1:9" x14ac:dyDescent="0.25">
      <c r="A41" s="479">
        <v>144</v>
      </c>
      <c r="B41" s="478" t="s">
        <v>667</v>
      </c>
      <c r="C41" s="453">
        <f>C42+C43+C44</f>
        <v>3160873.8633121559</v>
      </c>
      <c r="D41" s="453">
        <f>D42+D43+D44</f>
        <v>402283</v>
      </c>
      <c r="E41" s="453">
        <f>+C41+D41</f>
        <v>3563156.8633121559</v>
      </c>
      <c r="F41" s="453">
        <v>3015793.2</v>
      </c>
      <c r="G41" s="453">
        <v>2977048.06</v>
      </c>
      <c r="H41" s="453">
        <f>+E41-F41</f>
        <v>547363.66331215575</v>
      </c>
      <c r="I41" s="452">
        <f>+F41/E41</f>
        <v>0.84638238384954223</v>
      </c>
    </row>
    <row r="42" spans="1:9" x14ac:dyDescent="0.25">
      <c r="A42" s="482">
        <v>14402</v>
      </c>
      <c r="B42" s="481" t="s">
        <v>666</v>
      </c>
      <c r="C42" s="454">
        <v>20856</v>
      </c>
      <c r="D42" s="454">
        <v>0</v>
      </c>
      <c r="E42" s="453">
        <f>+C42+D42</f>
        <v>20856</v>
      </c>
      <c r="F42" s="454">
        <v>10373</v>
      </c>
      <c r="G42" s="454">
        <v>10373</v>
      </c>
      <c r="H42" s="453">
        <f>+E42-F42</f>
        <v>10483</v>
      </c>
      <c r="I42" s="452">
        <f>+F42/E42</f>
        <v>0.49736286919831224</v>
      </c>
    </row>
    <row r="43" spans="1:9" x14ac:dyDescent="0.25">
      <c r="A43" s="482">
        <v>14403</v>
      </c>
      <c r="B43" s="481" t="s">
        <v>665</v>
      </c>
      <c r="C43" s="454">
        <v>3135643.8633121559</v>
      </c>
      <c r="D43" s="454">
        <v>402283</v>
      </c>
      <c r="E43" s="453">
        <f>+C43+D43</f>
        <v>3537926.8633121559</v>
      </c>
      <c r="F43" s="454">
        <v>3003314.2</v>
      </c>
      <c r="G43" s="454">
        <v>2964569.06</v>
      </c>
      <c r="H43" s="453">
        <f>+E43-F43</f>
        <v>534612.66331215575</v>
      </c>
      <c r="I43" s="452">
        <f>+F43/E43</f>
        <v>0.84889097938795177</v>
      </c>
    </row>
    <row r="44" spans="1:9" x14ac:dyDescent="0.25">
      <c r="A44" s="482">
        <v>14406</v>
      </c>
      <c r="B44" s="481" t="s">
        <v>664</v>
      </c>
      <c r="C44" s="454">
        <v>4374</v>
      </c>
      <c r="D44" s="454">
        <v>0</v>
      </c>
      <c r="E44" s="453">
        <f>+C44+D44</f>
        <v>4374</v>
      </c>
      <c r="F44" s="454">
        <v>2106</v>
      </c>
      <c r="G44" s="454">
        <v>2106</v>
      </c>
      <c r="H44" s="453">
        <f>+E44-F44</f>
        <v>2268</v>
      </c>
      <c r="I44" s="452">
        <f>+F44/E44</f>
        <v>0.48148148148148145</v>
      </c>
    </row>
    <row r="45" spans="1:9" x14ac:dyDescent="0.25">
      <c r="A45" s="480">
        <v>1500</v>
      </c>
      <c r="B45" s="478" t="s">
        <v>645</v>
      </c>
      <c r="C45" s="453">
        <f>C46+C48+C51+C64</f>
        <v>35786324.26935032</v>
      </c>
      <c r="D45" s="453">
        <f>D46+D48+D51+D64</f>
        <v>1031185.24</v>
      </c>
      <c r="E45" s="453">
        <f>+C45+D45</f>
        <v>36817509.509350322</v>
      </c>
      <c r="F45" s="453">
        <v>18151243.190000001</v>
      </c>
      <c r="G45" s="453">
        <v>17909248.09</v>
      </c>
      <c r="H45" s="453">
        <f>+E45-F45</f>
        <v>18666266.319350321</v>
      </c>
      <c r="I45" s="452">
        <f>+F45/E45</f>
        <v>0.49300573102018863</v>
      </c>
    </row>
    <row r="46" spans="1:9" ht="22.5" x14ac:dyDescent="0.25">
      <c r="A46" s="479">
        <v>151</v>
      </c>
      <c r="B46" s="478" t="s">
        <v>663</v>
      </c>
      <c r="C46" s="453">
        <f>C47</f>
        <v>5778675.6906861197</v>
      </c>
      <c r="D46" s="453">
        <f>D47</f>
        <v>5675</v>
      </c>
      <c r="E46" s="453">
        <f>+C46+D46</f>
        <v>5784350.6906861197</v>
      </c>
      <c r="F46" s="453">
        <v>3134148.01</v>
      </c>
      <c r="G46" s="453">
        <v>2892152.9099999997</v>
      </c>
      <c r="H46" s="453">
        <f>+E46-F46</f>
        <v>2650202.6806861199</v>
      </c>
      <c r="I46" s="452">
        <f>+F46/E46</f>
        <v>0.5418322950312402</v>
      </c>
    </row>
    <row r="47" spans="1:9" x14ac:dyDescent="0.25">
      <c r="A47" s="482">
        <v>15101</v>
      </c>
      <c r="B47" s="481" t="s">
        <v>662</v>
      </c>
      <c r="C47" s="454">
        <v>5778675.6906861197</v>
      </c>
      <c r="D47" s="454">
        <v>5675</v>
      </c>
      <c r="E47" s="453">
        <f>+C47+D47</f>
        <v>5784350.6906861197</v>
      </c>
      <c r="F47" s="454">
        <v>3134148.01</v>
      </c>
      <c r="G47" s="454">
        <v>2892152.9099999997</v>
      </c>
      <c r="H47" s="453">
        <f>+E47-F47</f>
        <v>2650202.6806861199</v>
      </c>
      <c r="I47" s="452">
        <f>+F47/E47</f>
        <v>0.5418322950312402</v>
      </c>
    </row>
    <row r="48" spans="1:9" x14ac:dyDescent="0.25">
      <c r="A48" s="479">
        <v>152</v>
      </c>
      <c r="B48" s="478" t="s">
        <v>661</v>
      </c>
      <c r="C48" s="453">
        <f>C49+C50</f>
        <v>1438783.3229715917</v>
      </c>
      <c r="D48" s="453">
        <f>D49+D50</f>
        <v>0</v>
      </c>
      <c r="E48" s="453">
        <f>+C48+D48</f>
        <v>1438783.3229715917</v>
      </c>
      <c r="F48" s="453">
        <v>0</v>
      </c>
      <c r="G48" s="453">
        <v>0</v>
      </c>
      <c r="H48" s="453">
        <f>+E48-F48</f>
        <v>1438783.3229715917</v>
      </c>
      <c r="I48" s="452">
        <f>+F48/E48</f>
        <v>0</v>
      </c>
    </row>
    <row r="49" spans="1:9" x14ac:dyDescent="0.25">
      <c r="A49" s="482">
        <v>15201</v>
      </c>
      <c r="B49" s="481" t="s">
        <v>660</v>
      </c>
      <c r="C49" s="454">
        <v>0</v>
      </c>
      <c r="D49" s="454">
        <v>0</v>
      </c>
      <c r="E49" s="453">
        <f>+C49+D49</f>
        <v>0</v>
      </c>
      <c r="F49" s="454">
        <v>0</v>
      </c>
      <c r="G49" s="454">
        <v>0</v>
      </c>
      <c r="H49" s="453">
        <f>+E49-F49</f>
        <v>0</v>
      </c>
      <c r="I49" s="452"/>
    </row>
    <row r="50" spans="1:9" x14ac:dyDescent="0.25">
      <c r="A50" s="482">
        <v>15202</v>
      </c>
      <c r="B50" s="481" t="s">
        <v>659</v>
      </c>
      <c r="C50" s="454">
        <v>1438783.3229715917</v>
      </c>
      <c r="D50" s="454">
        <v>0</v>
      </c>
      <c r="E50" s="453">
        <f>+C50+D50</f>
        <v>1438783.3229715917</v>
      </c>
      <c r="F50" s="454">
        <v>0</v>
      </c>
      <c r="G50" s="454">
        <v>0</v>
      </c>
      <c r="H50" s="453">
        <f>+E50-F50</f>
        <v>1438783.3229715917</v>
      </c>
      <c r="I50" s="452">
        <f>+F50/E50</f>
        <v>0</v>
      </c>
    </row>
    <row r="51" spans="1:9" x14ac:dyDescent="0.25">
      <c r="A51" s="479">
        <v>154</v>
      </c>
      <c r="B51" s="478" t="s">
        <v>658</v>
      </c>
      <c r="C51" s="453">
        <f>SUM(C52:C63)</f>
        <v>2699386.6069024238</v>
      </c>
      <c r="D51" s="453">
        <f>SUM(D52:D63)</f>
        <v>1354395.82</v>
      </c>
      <c r="E51" s="453">
        <f>+C51+D51</f>
        <v>4053782.4269024236</v>
      </c>
      <c r="F51" s="453">
        <v>2114533.27</v>
      </c>
      <c r="G51" s="453">
        <v>2114533.27</v>
      </c>
      <c r="H51" s="453">
        <f>+E51-F51</f>
        <v>1939249.1569024236</v>
      </c>
      <c r="I51" s="452">
        <f>+F51/E51</f>
        <v>0.5216198225062999</v>
      </c>
    </row>
    <row r="52" spans="1:9" ht="22.5" x14ac:dyDescent="0.25">
      <c r="A52" s="482">
        <v>15404</v>
      </c>
      <c r="B52" s="481" t="s">
        <v>657</v>
      </c>
      <c r="C52" s="453">
        <v>0</v>
      </c>
      <c r="D52" s="454">
        <v>8525.82</v>
      </c>
      <c r="E52" s="453">
        <f>+C52+D52</f>
        <v>8525.82</v>
      </c>
      <c r="F52" s="454">
        <v>1988.97</v>
      </c>
      <c r="G52" s="454">
        <v>1988.97</v>
      </c>
      <c r="H52" s="453">
        <f>+E52-F52</f>
        <v>6536.8499999999995</v>
      </c>
      <c r="I52" s="452"/>
    </row>
    <row r="53" spans="1:9" x14ac:dyDescent="0.25">
      <c r="A53" s="482">
        <v>15409</v>
      </c>
      <c r="B53" s="481" t="s">
        <v>656</v>
      </c>
      <c r="C53" s="454">
        <v>2299985.8332690885</v>
      </c>
      <c r="D53" s="454">
        <v>453600</v>
      </c>
      <c r="E53" s="453">
        <f>+C53+D53</f>
        <v>2753585.8332690885</v>
      </c>
      <c r="F53" s="454">
        <v>1444798.3</v>
      </c>
      <c r="G53" s="454">
        <v>1444798.3</v>
      </c>
      <c r="H53" s="453">
        <f>+E53-F53</f>
        <v>1308787.5332690885</v>
      </c>
      <c r="I53" s="452">
        <f>+F53/E53</f>
        <v>0.52469702688901443</v>
      </c>
    </row>
    <row r="54" spans="1:9" ht="22.5" x14ac:dyDescent="0.25">
      <c r="A54" s="482">
        <v>15413</v>
      </c>
      <c r="B54" s="481" t="s">
        <v>655</v>
      </c>
      <c r="C54" s="454">
        <v>0</v>
      </c>
      <c r="D54" s="454">
        <v>28320</v>
      </c>
      <c r="E54" s="453">
        <f>+C54+D54</f>
        <v>28320</v>
      </c>
      <c r="F54" s="454">
        <v>7080</v>
      </c>
      <c r="G54" s="454">
        <v>7080</v>
      </c>
      <c r="H54" s="453">
        <f>+E54-F54</f>
        <v>21240</v>
      </c>
      <c r="I54" s="452"/>
    </row>
    <row r="55" spans="1:9" x14ac:dyDescent="0.25">
      <c r="A55" s="482">
        <v>15416</v>
      </c>
      <c r="B55" s="481" t="s">
        <v>654</v>
      </c>
      <c r="C55" s="454">
        <v>0</v>
      </c>
      <c r="D55" s="454">
        <v>27200</v>
      </c>
      <c r="E55" s="453">
        <f>+C55+D55</f>
        <v>27200</v>
      </c>
      <c r="F55" s="454">
        <v>0</v>
      </c>
      <c r="G55" s="454">
        <v>0</v>
      </c>
      <c r="H55" s="453">
        <f>+E55-F55</f>
        <v>27200</v>
      </c>
      <c r="I55" s="452"/>
    </row>
    <row r="56" spans="1:9" x14ac:dyDescent="0.25">
      <c r="A56" s="482">
        <v>15417</v>
      </c>
      <c r="B56" s="481" t="s">
        <v>653</v>
      </c>
      <c r="C56" s="454">
        <v>0</v>
      </c>
      <c r="D56" s="454">
        <v>243360</v>
      </c>
      <c r="E56" s="453">
        <f>+C56+D56</f>
        <v>243360</v>
      </c>
      <c r="F56" s="454">
        <v>60840</v>
      </c>
      <c r="G56" s="454">
        <v>60840</v>
      </c>
      <c r="H56" s="453">
        <f>+E56-F56</f>
        <v>182520</v>
      </c>
      <c r="I56" s="452"/>
    </row>
    <row r="57" spans="1:9" x14ac:dyDescent="0.25">
      <c r="A57" s="482">
        <v>15419</v>
      </c>
      <c r="B57" s="481" t="s">
        <v>652</v>
      </c>
      <c r="C57" s="454">
        <v>399400.77363333531</v>
      </c>
      <c r="D57" s="454">
        <v>351275</v>
      </c>
      <c r="E57" s="453">
        <f>+C57+D57</f>
        <v>750675.77363333525</v>
      </c>
      <c r="F57" s="454">
        <v>547366</v>
      </c>
      <c r="G57" s="454">
        <v>547366</v>
      </c>
      <c r="H57" s="453">
        <f>+E57-F57</f>
        <v>203309.77363333525</v>
      </c>
      <c r="I57" s="452">
        <f>+F57/E57</f>
        <v>0.72916433329225683</v>
      </c>
    </row>
    <row r="58" spans="1:9" x14ac:dyDescent="0.25">
      <c r="A58" s="482">
        <v>15420</v>
      </c>
      <c r="B58" s="481" t="s">
        <v>651</v>
      </c>
      <c r="C58" s="454">
        <v>0</v>
      </c>
      <c r="D58" s="454">
        <v>12960</v>
      </c>
      <c r="E58" s="453">
        <f>+C58+D58</f>
        <v>12960</v>
      </c>
      <c r="F58" s="454">
        <v>3240</v>
      </c>
      <c r="G58" s="454">
        <v>3240</v>
      </c>
      <c r="H58" s="453">
        <f>+E58-F58</f>
        <v>9720</v>
      </c>
      <c r="I58" s="452"/>
    </row>
    <row r="59" spans="1:9" x14ac:dyDescent="0.25">
      <c r="A59" s="482">
        <v>15423</v>
      </c>
      <c r="B59" s="481" t="s">
        <v>650</v>
      </c>
      <c r="C59" s="454">
        <v>0</v>
      </c>
      <c r="D59" s="454">
        <v>24190</v>
      </c>
      <c r="E59" s="453">
        <f>+C59+D59</f>
        <v>24190</v>
      </c>
      <c r="F59" s="454">
        <v>0</v>
      </c>
      <c r="G59" s="454">
        <v>0</v>
      </c>
      <c r="H59" s="453">
        <f>+E59-F59</f>
        <v>24190</v>
      </c>
      <c r="I59" s="452"/>
    </row>
    <row r="60" spans="1:9" x14ac:dyDescent="0.25">
      <c r="A60" s="482">
        <v>15424</v>
      </c>
      <c r="B60" s="481" t="s">
        <v>649</v>
      </c>
      <c r="C60" s="454">
        <v>0</v>
      </c>
      <c r="D60" s="454">
        <f>12350+1900</f>
        <v>14250</v>
      </c>
      <c r="E60" s="453">
        <f>+C60+D60</f>
        <v>14250</v>
      </c>
      <c r="F60" s="454">
        <v>14250</v>
      </c>
      <c r="G60" s="454">
        <v>14250</v>
      </c>
      <c r="H60" s="453">
        <f>+E60-F60</f>
        <v>0</v>
      </c>
      <c r="I60" s="452"/>
    </row>
    <row r="61" spans="1:9" x14ac:dyDescent="0.25">
      <c r="A61" s="482">
        <v>15425</v>
      </c>
      <c r="B61" s="481" t="s">
        <v>648</v>
      </c>
      <c r="C61" s="454">
        <v>0</v>
      </c>
      <c r="D61" s="454">
        <v>132120</v>
      </c>
      <c r="E61" s="453">
        <f>+C61+D61</f>
        <v>132120</v>
      </c>
      <c r="F61" s="454">
        <v>33030</v>
      </c>
      <c r="G61" s="454">
        <v>33030</v>
      </c>
      <c r="H61" s="453">
        <f>+E61-F61</f>
        <v>99090</v>
      </c>
      <c r="I61" s="452"/>
    </row>
    <row r="62" spans="1:9" x14ac:dyDescent="0.25">
      <c r="A62" s="482">
        <v>15426</v>
      </c>
      <c r="B62" s="481" t="s">
        <v>647</v>
      </c>
      <c r="C62" s="454">
        <v>0</v>
      </c>
      <c r="D62" s="454">
        <v>22310</v>
      </c>
      <c r="E62" s="453">
        <f>+C62+D62</f>
        <v>22310</v>
      </c>
      <c r="F62" s="454">
        <v>1940</v>
      </c>
      <c r="G62" s="454">
        <v>1940</v>
      </c>
      <c r="H62" s="453">
        <f>+E62-F62</f>
        <v>20370</v>
      </c>
      <c r="I62" s="452"/>
    </row>
    <row r="63" spans="1:9" x14ac:dyDescent="0.25">
      <c r="A63" s="482">
        <v>15427</v>
      </c>
      <c r="B63" s="481" t="s">
        <v>646</v>
      </c>
      <c r="C63" s="454">
        <v>0</v>
      </c>
      <c r="D63" s="454">
        <v>36285</v>
      </c>
      <c r="E63" s="453">
        <f>+C63+D63</f>
        <v>36285</v>
      </c>
      <c r="F63" s="454">
        <v>0</v>
      </c>
      <c r="G63" s="454">
        <v>0</v>
      </c>
      <c r="H63" s="453">
        <f>+E63-F63</f>
        <v>36285</v>
      </c>
      <c r="I63" s="452"/>
    </row>
    <row r="64" spans="1:9" x14ac:dyDescent="0.25">
      <c r="A64" s="479">
        <v>159</v>
      </c>
      <c r="B64" s="478" t="s">
        <v>645</v>
      </c>
      <c r="C64" s="453">
        <f>C65</f>
        <v>25869478.648790181</v>
      </c>
      <c r="D64" s="453">
        <f>D65</f>
        <v>-328885.58</v>
      </c>
      <c r="E64" s="453">
        <f>+C64+D64</f>
        <v>25540593.068790182</v>
      </c>
      <c r="F64" s="453">
        <v>12902561.910000002</v>
      </c>
      <c r="G64" s="453">
        <v>12902561.910000002</v>
      </c>
      <c r="H64" s="453">
        <f>+E64-F64</f>
        <v>12638031.15879018</v>
      </c>
      <c r="I64" s="452">
        <f>+F64/E64</f>
        <v>0.50517863368515648</v>
      </c>
    </row>
    <row r="65" spans="1:9" x14ac:dyDescent="0.25">
      <c r="A65" s="482">
        <v>15901</v>
      </c>
      <c r="B65" s="481" t="s">
        <v>644</v>
      </c>
      <c r="C65" s="454">
        <v>25869478.648790181</v>
      </c>
      <c r="D65" s="454">
        <f>-51632-277253.58</f>
        <v>-328885.58</v>
      </c>
      <c r="E65" s="453">
        <f>+C65+D65</f>
        <v>25540593.068790182</v>
      </c>
      <c r="F65" s="454">
        <v>12902561.910000002</v>
      </c>
      <c r="G65" s="454">
        <v>12902561.910000002</v>
      </c>
      <c r="H65" s="453">
        <f>+E65-F65</f>
        <v>12638031.15879018</v>
      </c>
      <c r="I65" s="452">
        <f>+F65/E65</f>
        <v>0.50517863368515648</v>
      </c>
    </row>
    <row r="66" spans="1:9" x14ac:dyDescent="0.25">
      <c r="A66" s="486">
        <v>1700</v>
      </c>
      <c r="B66" s="478" t="s">
        <v>643</v>
      </c>
      <c r="C66" s="453">
        <f>C67</f>
        <v>870998.78606991796</v>
      </c>
      <c r="D66" s="453">
        <f>D67</f>
        <v>231471.35999999999</v>
      </c>
      <c r="E66" s="453">
        <f>+C66+D66</f>
        <v>1102470.1460699178</v>
      </c>
      <c r="F66" s="453">
        <v>425270.03</v>
      </c>
      <c r="G66" s="453">
        <v>425270.03</v>
      </c>
      <c r="H66" s="453">
        <f>+E66-F66</f>
        <v>677200.1160699178</v>
      </c>
      <c r="I66" s="452">
        <f>+F66/E66</f>
        <v>0.38574289881317997</v>
      </c>
    </row>
    <row r="67" spans="1:9" x14ac:dyDescent="0.25">
      <c r="A67" s="486">
        <v>171</v>
      </c>
      <c r="B67" s="478" t="s">
        <v>642</v>
      </c>
      <c r="C67" s="453">
        <f>SUM(C68:C70)</f>
        <v>870998.78606991796</v>
      </c>
      <c r="D67" s="453">
        <f>SUM(D68:D70)</f>
        <v>231471.35999999999</v>
      </c>
      <c r="E67" s="453">
        <f>+C67+D67</f>
        <v>1102470.1460699178</v>
      </c>
      <c r="F67" s="453">
        <v>425270.03</v>
      </c>
      <c r="G67" s="453">
        <v>425270.03</v>
      </c>
      <c r="H67" s="453">
        <f>+E67-F67</f>
        <v>677200.1160699178</v>
      </c>
      <c r="I67" s="452">
        <f>+F67/E67</f>
        <v>0.38574289881317997</v>
      </c>
    </row>
    <row r="68" spans="1:9" x14ac:dyDescent="0.25">
      <c r="A68" s="482">
        <v>17102</v>
      </c>
      <c r="B68" s="481" t="s">
        <v>641</v>
      </c>
      <c r="C68" s="454">
        <v>488195.04</v>
      </c>
      <c r="D68" s="454">
        <v>0</v>
      </c>
      <c r="E68" s="453">
        <f>+C68+D68</f>
        <v>488195.04</v>
      </c>
      <c r="F68" s="454">
        <v>244097.52</v>
      </c>
      <c r="G68" s="454">
        <v>244097.52</v>
      </c>
      <c r="H68" s="453">
        <f>+E68-F68</f>
        <v>244097.52</v>
      </c>
      <c r="I68" s="452">
        <f>+F68/E68</f>
        <v>0.5</v>
      </c>
    </row>
    <row r="69" spans="1:9" x14ac:dyDescent="0.25">
      <c r="A69" s="485">
        <v>17104</v>
      </c>
      <c r="B69" s="485" t="s">
        <v>640</v>
      </c>
      <c r="C69" s="454">
        <v>382803.74606991804</v>
      </c>
      <c r="D69" s="454">
        <v>70520</v>
      </c>
      <c r="E69" s="453">
        <f>+C69+D69</f>
        <v>453323.74606991804</v>
      </c>
      <c r="F69" s="454">
        <v>140934.67000000001</v>
      </c>
      <c r="G69" s="454">
        <v>140934.67000000001</v>
      </c>
      <c r="H69" s="453">
        <f>+E69-F69</f>
        <v>312389.076069918</v>
      </c>
      <c r="I69" s="452">
        <f>+F69/E69</f>
        <v>0.31089187632862952</v>
      </c>
    </row>
    <row r="70" spans="1:9" ht="22.5" x14ac:dyDescent="0.25">
      <c r="A70" s="485">
        <v>17105</v>
      </c>
      <c r="B70" s="481" t="s">
        <v>639</v>
      </c>
      <c r="C70" s="454">
        <v>0</v>
      </c>
      <c r="D70" s="454">
        <v>160951.35999999999</v>
      </c>
      <c r="E70" s="453">
        <f>+C70+D70</f>
        <v>160951.35999999999</v>
      </c>
      <c r="F70" s="454">
        <v>40237.839999999997</v>
      </c>
      <c r="G70" s="454">
        <v>40237.839999999997</v>
      </c>
      <c r="H70" s="453">
        <f>+E70-F70</f>
        <v>120713.51999999999</v>
      </c>
      <c r="I70" s="452"/>
    </row>
    <row r="71" spans="1:9" x14ac:dyDescent="0.25">
      <c r="A71" s="482"/>
      <c r="B71" s="481"/>
      <c r="C71" s="454">
        <v>0</v>
      </c>
      <c r="D71" s="454"/>
      <c r="E71" s="453">
        <f>+C71+D71</f>
        <v>0</v>
      </c>
      <c r="F71" s="454"/>
      <c r="G71" s="454"/>
      <c r="H71" s="453">
        <f>+E71-F71</f>
        <v>0</v>
      </c>
      <c r="I71" s="452"/>
    </row>
    <row r="72" spans="1:9" x14ac:dyDescent="0.25">
      <c r="A72" s="483">
        <v>2000</v>
      </c>
      <c r="B72" s="478" t="s">
        <v>638</v>
      </c>
      <c r="C72" s="484">
        <f>C73+C89+C95+C98+C112+C123+C127+C132</f>
        <v>29390389.214226238</v>
      </c>
      <c r="D72" s="484">
        <f>D73+D89+D95+D98+D112+D123+D127+D132</f>
        <v>1552460.6900000002</v>
      </c>
      <c r="E72" s="453">
        <f>+C72+D72</f>
        <v>30942849.90422624</v>
      </c>
      <c r="F72" s="453">
        <v>10509028.129999999</v>
      </c>
      <c r="G72" s="453">
        <v>9141308.6699999999</v>
      </c>
      <c r="H72" s="453">
        <f>+E72-F72</f>
        <v>20433821.774226241</v>
      </c>
      <c r="I72" s="452">
        <f>+F72/E72</f>
        <v>0.33962702732706768</v>
      </c>
    </row>
    <row r="73" spans="1:9" ht="22.5" x14ac:dyDescent="0.25">
      <c r="A73" s="480">
        <v>2100</v>
      </c>
      <c r="B73" s="478" t="s">
        <v>637</v>
      </c>
      <c r="C73" s="453">
        <f>C74+C76+C78+C80+C82+C84+C86</f>
        <v>2348248.1320336713</v>
      </c>
      <c r="D73" s="453">
        <f>D74+D76+D78+D80+D82+D84+D86</f>
        <v>2168</v>
      </c>
      <c r="E73" s="453">
        <f>+C73+D73</f>
        <v>2350416.1320336713</v>
      </c>
      <c r="F73" s="453">
        <v>411455.08</v>
      </c>
      <c r="G73" s="453">
        <v>393356.91000000009</v>
      </c>
      <c r="H73" s="453">
        <f>+E73-F73</f>
        <v>1938961.0520336712</v>
      </c>
      <c r="I73" s="452">
        <f>+F73/E73</f>
        <v>0.17505626956533571</v>
      </c>
    </row>
    <row r="74" spans="1:9" x14ac:dyDescent="0.25">
      <c r="A74" s="479">
        <v>211</v>
      </c>
      <c r="B74" s="478" t="s">
        <v>636</v>
      </c>
      <c r="C74" s="453">
        <f>C75</f>
        <v>1225435.4062956315</v>
      </c>
      <c r="D74" s="453">
        <f>D75</f>
        <v>0</v>
      </c>
      <c r="E74" s="453">
        <f>+C74+D74</f>
        <v>1225435.4062956315</v>
      </c>
      <c r="F74" s="453">
        <v>101810.92000000001</v>
      </c>
      <c r="G74" s="453">
        <v>88827.18</v>
      </c>
      <c r="H74" s="453">
        <f>+E74-F74</f>
        <v>1123624.4862956316</v>
      </c>
      <c r="I74" s="452">
        <f>+F74/E74</f>
        <v>8.3081425162803341E-2</v>
      </c>
    </row>
    <row r="75" spans="1:9" x14ac:dyDescent="0.25">
      <c r="A75" s="482">
        <v>21101</v>
      </c>
      <c r="B75" s="481" t="s">
        <v>636</v>
      </c>
      <c r="C75" s="454">
        <v>1225435.4062956315</v>
      </c>
      <c r="D75" s="454">
        <v>0</v>
      </c>
      <c r="E75" s="453">
        <f>+C75+D75</f>
        <v>1225435.4062956315</v>
      </c>
      <c r="F75" s="454">
        <v>101810.92000000001</v>
      </c>
      <c r="G75" s="454">
        <v>88827.18</v>
      </c>
      <c r="H75" s="453">
        <f>+E75-F75</f>
        <v>1123624.4862956316</v>
      </c>
      <c r="I75" s="452">
        <f>+F75/E75</f>
        <v>8.3081425162803341E-2</v>
      </c>
    </row>
    <row r="76" spans="1:9" x14ac:dyDescent="0.25">
      <c r="A76" s="479">
        <v>212</v>
      </c>
      <c r="B76" s="478" t="s">
        <v>635</v>
      </c>
      <c r="C76" s="453">
        <f>C77</f>
        <v>216630.51210119019</v>
      </c>
      <c r="D76" s="453">
        <f>D77</f>
        <v>0</v>
      </c>
      <c r="E76" s="453">
        <f>+C76+D76</f>
        <v>216630.51210119019</v>
      </c>
      <c r="F76" s="453">
        <v>24330.46</v>
      </c>
      <c r="G76" s="453">
        <v>21425.920000000002</v>
      </c>
      <c r="H76" s="453">
        <f>+E76-F76</f>
        <v>192300.0521011902</v>
      </c>
      <c r="I76" s="452">
        <f>+F76/E76</f>
        <v>0.11231317215663049</v>
      </c>
    </row>
    <row r="77" spans="1:9" x14ac:dyDescent="0.25">
      <c r="A77" s="482">
        <v>21201</v>
      </c>
      <c r="B77" s="481" t="s">
        <v>635</v>
      </c>
      <c r="C77" s="454">
        <v>216630.51210119019</v>
      </c>
      <c r="D77" s="454">
        <v>0</v>
      </c>
      <c r="E77" s="453">
        <f>+C77+D77</f>
        <v>216630.51210119019</v>
      </c>
      <c r="F77" s="454">
        <v>24330.46</v>
      </c>
      <c r="G77" s="454">
        <v>21425.920000000002</v>
      </c>
      <c r="H77" s="453">
        <f>+E77-F77</f>
        <v>192300.0521011902</v>
      </c>
      <c r="I77" s="452">
        <f>+F77/E77</f>
        <v>0.11231317215663049</v>
      </c>
    </row>
    <row r="78" spans="1:9" ht="22.5" x14ac:dyDescent="0.25">
      <c r="A78" s="479">
        <v>214</v>
      </c>
      <c r="B78" s="478" t="s">
        <v>634</v>
      </c>
      <c r="C78" s="453">
        <f>C79</f>
        <v>450169.0015559491</v>
      </c>
      <c r="D78" s="453">
        <f>D79</f>
        <v>0</v>
      </c>
      <c r="E78" s="453">
        <f>+C78+D78</f>
        <v>450169.0015559491</v>
      </c>
      <c r="F78" s="453">
        <v>55736.020000000004</v>
      </c>
      <c r="G78" s="453">
        <v>55736.020000000004</v>
      </c>
      <c r="H78" s="453">
        <f>+E78-F78</f>
        <v>394432.98155594908</v>
      </c>
      <c r="I78" s="452">
        <f>+F78/E78</f>
        <v>0.12381132376364407</v>
      </c>
    </row>
    <row r="79" spans="1:9" ht="22.5" x14ac:dyDescent="0.25">
      <c r="A79" s="482">
        <v>21401</v>
      </c>
      <c r="B79" s="481" t="s">
        <v>633</v>
      </c>
      <c r="C79" s="454">
        <v>450169.0015559491</v>
      </c>
      <c r="D79" s="454">
        <v>0</v>
      </c>
      <c r="E79" s="453">
        <f>+C79+D79</f>
        <v>450169.0015559491</v>
      </c>
      <c r="F79" s="454">
        <v>55736.020000000004</v>
      </c>
      <c r="G79" s="454">
        <v>55736.020000000004</v>
      </c>
      <c r="H79" s="453">
        <f>+E79-F79</f>
        <v>394432.98155594908</v>
      </c>
      <c r="I79" s="452">
        <f>+F79/E79</f>
        <v>0.12381132376364407</v>
      </c>
    </row>
    <row r="80" spans="1:9" x14ac:dyDescent="0.25">
      <c r="A80" s="479">
        <v>215</v>
      </c>
      <c r="B80" s="478" t="s">
        <v>632</v>
      </c>
      <c r="C80" s="453">
        <f>C81</f>
        <v>2500</v>
      </c>
      <c r="D80" s="453">
        <f>D81</f>
        <v>0</v>
      </c>
      <c r="E80" s="453">
        <f>+C80+D80</f>
        <v>2500</v>
      </c>
      <c r="F80" s="453">
        <v>2149</v>
      </c>
      <c r="G80" s="453">
        <v>0</v>
      </c>
      <c r="H80" s="453">
        <f>+E80-F80</f>
        <v>351</v>
      </c>
      <c r="I80" s="452">
        <f>+F80/E80</f>
        <v>0.85960000000000003</v>
      </c>
    </row>
    <row r="81" spans="1:9" x14ac:dyDescent="0.25">
      <c r="A81" s="482">
        <v>21501</v>
      </c>
      <c r="B81" s="481" t="s">
        <v>631</v>
      </c>
      <c r="C81" s="454">
        <v>2500</v>
      </c>
      <c r="D81" s="454">
        <v>0</v>
      </c>
      <c r="E81" s="453">
        <f>+C81+D81</f>
        <v>2500</v>
      </c>
      <c r="F81" s="454">
        <v>2149</v>
      </c>
      <c r="G81" s="454">
        <v>0</v>
      </c>
      <c r="H81" s="453">
        <f>+E81-F81</f>
        <v>351</v>
      </c>
      <c r="I81" s="452">
        <f>+F81/E81</f>
        <v>0.85960000000000003</v>
      </c>
    </row>
    <row r="82" spans="1:9" x14ac:dyDescent="0.25">
      <c r="A82" s="479">
        <v>216</v>
      </c>
      <c r="B82" s="478" t="s">
        <v>630</v>
      </c>
      <c r="C82" s="453">
        <f>C83</f>
        <v>191367.96086570388</v>
      </c>
      <c r="D82" s="453">
        <f>D83</f>
        <v>0</v>
      </c>
      <c r="E82" s="453">
        <f>+C82+D82</f>
        <v>191367.96086570388</v>
      </c>
      <c r="F82" s="453">
        <v>68221.679999999993</v>
      </c>
      <c r="G82" s="453">
        <v>68160.790000000008</v>
      </c>
      <c r="H82" s="453">
        <f>+E82-F82</f>
        <v>123146.28086570388</v>
      </c>
      <c r="I82" s="452">
        <f>+F82/E82</f>
        <v>0.35649478466186857</v>
      </c>
    </row>
    <row r="83" spans="1:9" x14ac:dyDescent="0.25">
      <c r="A83" s="482">
        <v>21601</v>
      </c>
      <c r="B83" s="481" t="s">
        <v>630</v>
      </c>
      <c r="C83" s="454">
        <v>191367.96086570388</v>
      </c>
      <c r="D83" s="454">
        <v>0</v>
      </c>
      <c r="E83" s="453">
        <f>+C83+D83</f>
        <v>191367.96086570388</v>
      </c>
      <c r="F83" s="454">
        <v>68221.679999999993</v>
      </c>
      <c r="G83" s="454">
        <v>68160.790000000008</v>
      </c>
      <c r="H83" s="453">
        <f>+E83-F83</f>
        <v>123146.28086570388</v>
      </c>
      <c r="I83" s="452">
        <f>+F83/E83</f>
        <v>0.35649478466186857</v>
      </c>
    </row>
    <row r="84" spans="1:9" x14ac:dyDescent="0.25">
      <c r="A84" s="479">
        <v>217</v>
      </c>
      <c r="B84" s="478" t="s">
        <v>629</v>
      </c>
      <c r="C84" s="453">
        <f>C85</f>
        <v>0</v>
      </c>
      <c r="D84" s="453">
        <v>0</v>
      </c>
      <c r="E84" s="453">
        <f>+C84+D84</f>
        <v>0</v>
      </c>
      <c r="F84" s="453">
        <v>0</v>
      </c>
      <c r="G84" s="453">
        <v>0</v>
      </c>
      <c r="H84" s="453">
        <f>+E84-F84</f>
        <v>0</v>
      </c>
      <c r="I84" s="452"/>
    </row>
    <row r="85" spans="1:9" x14ac:dyDescent="0.25">
      <c r="A85" s="482">
        <v>21701</v>
      </c>
      <c r="B85" s="481" t="s">
        <v>628</v>
      </c>
      <c r="C85" s="454">
        <v>0</v>
      </c>
      <c r="D85" s="454">
        <v>0</v>
      </c>
      <c r="E85" s="453">
        <f>+C85+D85</f>
        <v>0</v>
      </c>
      <c r="F85" s="454">
        <v>0</v>
      </c>
      <c r="G85" s="454">
        <v>0</v>
      </c>
      <c r="H85" s="453">
        <f>+E85-F85</f>
        <v>0</v>
      </c>
      <c r="I85" s="452"/>
    </row>
    <row r="86" spans="1:9" ht="22.5" x14ac:dyDescent="0.25">
      <c r="A86" s="479">
        <v>218</v>
      </c>
      <c r="B86" s="478" t="s">
        <v>627</v>
      </c>
      <c r="C86" s="453">
        <f>C87+C88</f>
        <v>262145.25121519662</v>
      </c>
      <c r="D86" s="453">
        <f>D87+D88</f>
        <v>2168</v>
      </c>
      <c r="E86" s="453">
        <f>+C86+D86</f>
        <v>264313.25121519662</v>
      </c>
      <c r="F86" s="453">
        <v>159207</v>
      </c>
      <c r="G86" s="453">
        <v>159207</v>
      </c>
      <c r="H86" s="453">
        <f>+E86-F86</f>
        <v>105106.25121519662</v>
      </c>
      <c r="I86" s="452">
        <f>+F86/E86</f>
        <v>0.60234210455978243</v>
      </c>
    </row>
    <row r="87" spans="1:9" x14ac:dyDescent="0.25">
      <c r="A87" s="482">
        <v>21801</v>
      </c>
      <c r="B87" s="481" t="s">
        <v>626</v>
      </c>
      <c r="C87" s="454">
        <v>262145.25121519662</v>
      </c>
      <c r="D87" s="454">
        <v>2168</v>
      </c>
      <c r="E87" s="453">
        <f>+C87+D87</f>
        <v>264313.25121519662</v>
      </c>
      <c r="F87" s="454">
        <v>159207</v>
      </c>
      <c r="G87" s="454">
        <v>159207</v>
      </c>
      <c r="H87" s="453">
        <f>+E87-F87</f>
        <v>105106.25121519662</v>
      </c>
      <c r="I87" s="452">
        <f>+F87/E87</f>
        <v>0.60234210455978243</v>
      </c>
    </row>
    <row r="88" spans="1:9" x14ac:dyDescent="0.25">
      <c r="A88" s="482">
        <v>21802</v>
      </c>
      <c r="B88" s="481" t="s">
        <v>625</v>
      </c>
      <c r="C88" s="454">
        <v>0</v>
      </c>
      <c r="D88" s="454">
        <v>0</v>
      </c>
      <c r="E88" s="453">
        <f>+C88+D88</f>
        <v>0</v>
      </c>
      <c r="F88" s="454">
        <v>0</v>
      </c>
      <c r="G88" s="454">
        <v>0</v>
      </c>
      <c r="H88" s="453">
        <f>+E88-F88</f>
        <v>0</v>
      </c>
      <c r="I88" s="452"/>
    </row>
    <row r="89" spans="1:9" x14ac:dyDescent="0.25">
      <c r="A89" s="480">
        <v>2200</v>
      </c>
      <c r="B89" s="478" t="s">
        <v>624</v>
      </c>
      <c r="C89" s="453">
        <f>C90+C93</f>
        <v>495539.67176440824</v>
      </c>
      <c r="D89" s="453">
        <f>D90+D93</f>
        <v>5740</v>
      </c>
      <c r="E89" s="453">
        <f>+C89+D89</f>
        <v>501279.67176440824</v>
      </c>
      <c r="F89" s="453">
        <v>254742.19</v>
      </c>
      <c r="G89" s="453">
        <v>222090.21000000002</v>
      </c>
      <c r="H89" s="453">
        <f>+E89-F89</f>
        <v>246537.48176440824</v>
      </c>
      <c r="I89" s="452">
        <f>+F89/E89</f>
        <v>0.50818376317427039</v>
      </c>
    </row>
    <row r="90" spans="1:9" x14ac:dyDescent="0.25">
      <c r="A90" s="479">
        <v>221</v>
      </c>
      <c r="B90" s="478" t="s">
        <v>623</v>
      </c>
      <c r="C90" s="453">
        <f>C91+C92</f>
        <v>490156.01996440825</v>
      </c>
      <c r="D90" s="453">
        <f>D91+D92</f>
        <v>5740</v>
      </c>
      <c r="E90" s="453">
        <f>+C90+D90</f>
        <v>495896.01996440825</v>
      </c>
      <c r="F90" s="453">
        <v>253973.31</v>
      </c>
      <c r="G90" s="453">
        <v>221321.33000000002</v>
      </c>
      <c r="H90" s="453">
        <f>+E90-F90</f>
        <v>241922.70996440825</v>
      </c>
      <c r="I90" s="452">
        <f>+F90/E90</f>
        <v>0.51215032945460692</v>
      </c>
    </row>
    <row r="91" spans="1:9" ht="22.5" x14ac:dyDescent="0.25">
      <c r="A91" s="482">
        <v>22101</v>
      </c>
      <c r="B91" s="481" t="s">
        <v>622</v>
      </c>
      <c r="C91" s="454">
        <v>310460.56596368557</v>
      </c>
      <c r="D91" s="454">
        <v>5740</v>
      </c>
      <c r="E91" s="453">
        <f>+C91+D91</f>
        <v>316200.56596368557</v>
      </c>
      <c r="F91" s="454">
        <v>200167.31</v>
      </c>
      <c r="G91" s="454">
        <v>187799.33000000002</v>
      </c>
      <c r="H91" s="453">
        <f>+E91-F91</f>
        <v>116033.25596368557</v>
      </c>
      <c r="I91" s="452">
        <f>+F91/E91</f>
        <v>0.6330390630072068</v>
      </c>
    </row>
    <row r="92" spans="1:9" x14ac:dyDescent="0.25">
      <c r="A92" s="482">
        <v>22106</v>
      </c>
      <c r="B92" s="481" t="s">
        <v>621</v>
      </c>
      <c r="C92" s="454">
        <v>179695.45400072268</v>
      </c>
      <c r="D92" s="454">
        <v>0</v>
      </c>
      <c r="E92" s="453">
        <f>+C92+D92</f>
        <v>179695.45400072268</v>
      </c>
      <c r="F92" s="454">
        <v>53806</v>
      </c>
      <c r="G92" s="454">
        <v>33522</v>
      </c>
      <c r="H92" s="453">
        <f>+E92-F92</f>
        <v>125889.45400072268</v>
      </c>
      <c r="I92" s="452">
        <f>+F92/E92</f>
        <v>0.29942883251672919</v>
      </c>
    </row>
    <row r="93" spans="1:9" x14ac:dyDescent="0.25">
      <c r="A93" s="479">
        <v>223</v>
      </c>
      <c r="B93" s="478" t="s">
        <v>620</v>
      </c>
      <c r="C93" s="453">
        <f>C94</f>
        <v>5383.6517999999996</v>
      </c>
      <c r="D93" s="453">
        <f>D94</f>
        <v>0</v>
      </c>
      <c r="E93" s="453">
        <f>+C93+D93</f>
        <v>5383.6517999999996</v>
      </c>
      <c r="F93" s="453">
        <v>768.88</v>
      </c>
      <c r="G93" s="453">
        <v>768.88</v>
      </c>
      <c r="H93" s="453">
        <f>+E93-F93</f>
        <v>4614.7717999999995</v>
      </c>
      <c r="I93" s="452">
        <f>+F93/E93</f>
        <v>0.14281755740592289</v>
      </c>
    </row>
    <row r="94" spans="1:9" x14ac:dyDescent="0.25">
      <c r="A94" s="482">
        <v>22301</v>
      </c>
      <c r="B94" s="481" t="s">
        <v>620</v>
      </c>
      <c r="C94" s="454">
        <v>5383.6517999999996</v>
      </c>
      <c r="D94" s="454">
        <v>0</v>
      </c>
      <c r="E94" s="453">
        <f>+C94+D94</f>
        <v>5383.6517999999996</v>
      </c>
      <c r="F94" s="454">
        <v>768.88</v>
      </c>
      <c r="G94" s="454">
        <v>768.88</v>
      </c>
      <c r="H94" s="453">
        <f>+E94-F94</f>
        <v>4614.7717999999995</v>
      </c>
      <c r="I94" s="452">
        <f>+F94/E94</f>
        <v>0.14281755740592289</v>
      </c>
    </row>
    <row r="95" spans="1:9" ht="22.5" x14ac:dyDescent="0.25">
      <c r="A95" s="480">
        <v>2300</v>
      </c>
      <c r="B95" s="478" t="s">
        <v>619</v>
      </c>
      <c r="C95" s="453">
        <f>C96</f>
        <v>6451276.4820699999</v>
      </c>
      <c r="D95" s="453">
        <f>D96</f>
        <v>1093360.78</v>
      </c>
      <c r="E95" s="453">
        <f>+C95+D95</f>
        <v>7544637.2620700002</v>
      </c>
      <c r="F95" s="453">
        <v>2755927.5799999996</v>
      </c>
      <c r="G95" s="453">
        <v>2332408.8199999998</v>
      </c>
      <c r="H95" s="453">
        <f>+E95-F95</f>
        <v>4788709.6820700001</v>
      </c>
      <c r="I95" s="452">
        <f>+F95/E95</f>
        <v>0.36528297972060009</v>
      </c>
    </row>
    <row r="96" spans="1:9" x14ac:dyDescent="0.25">
      <c r="A96" s="479">
        <v>239</v>
      </c>
      <c r="B96" s="478" t="s">
        <v>618</v>
      </c>
      <c r="C96" s="453">
        <f>C97</f>
        <v>6451276.4820699999</v>
      </c>
      <c r="D96" s="453">
        <f>D97</f>
        <v>1093360.78</v>
      </c>
      <c r="E96" s="453">
        <f>+C96+D96</f>
        <v>7544637.2620700002</v>
      </c>
      <c r="F96" s="453">
        <v>2755927.5799999996</v>
      </c>
      <c r="G96" s="453">
        <v>2332408.8199999998</v>
      </c>
      <c r="H96" s="453">
        <f>+E96-F96</f>
        <v>4788709.6820700001</v>
      </c>
      <c r="I96" s="452">
        <f>+F96/E96</f>
        <v>0.36528297972060009</v>
      </c>
    </row>
    <row r="97" spans="1:9" x14ac:dyDescent="0.25">
      <c r="A97" s="482">
        <v>23901</v>
      </c>
      <c r="B97" s="481" t="s">
        <v>618</v>
      </c>
      <c r="C97" s="454">
        <v>6451276.4820699999</v>
      </c>
      <c r="D97" s="454">
        <v>1093360.78</v>
      </c>
      <c r="E97" s="453">
        <f>+C97+D97</f>
        <v>7544637.2620700002</v>
      </c>
      <c r="F97" s="454">
        <v>2755927.5799999996</v>
      </c>
      <c r="G97" s="454">
        <v>2332408.8199999998</v>
      </c>
      <c r="H97" s="453">
        <f>+E97-F97</f>
        <v>4788709.6820700001</v>
      </c>
      <c r="I97" s="452">
        <f>+F97/E97</f>
        <v>0.36528297972060009</v>
      </c>
    </row>
    <row r="98" spans="1:9" ht="22.5" x14ac:dyDescent="0.25">
      <c r="A98" s="480">
        <v>2400</v>
      </c>
      <c r="B98" s="478" t="s">
        <v>617</v>
      </c>
      <c r="C98" s="453">
        <f>C99+C103+C105+C107+C110</f>
        <v>647543.79660407268</v>
      </c>
      <c r="D98" s="453">
        <f>D99+D103+D105+D107+D110</f>
        <v>-20036</v>
      </c>
      <c r="E98" s="453">
        <f>+C98+D98</f>
        <v>627507.79660407268</v>
      </c>
      <c r="F98" s="453">
        <v>201232.05</v>
      </c>
      <c r="G98" s="453">
        <v>197788.09</v>
      </c>
      <c r="H98" s="453">
        <f>+E98-F98</f>
        <v>426275.74660407269</v>
      </c>
      <c r="I98" s="452">
        <f>+F98/E98</f>
        <v>0.32068454143362263</v>
      </c>
    </row>
    <row r="99" spans="1:9" x14ac:dyDescent="0.25">
      <c r="A99" s="479">
        <v>242</v>
      </c>
      <c r="B99" s="478" t="s">
        <v>616</v>
      </c>
      <c r="C99" s="453">
        <f>C100</f>
        <v>126007.24592760553</v>
      </c>
      <c r="D99" s="453">
        <f>D100</f>
        <v>0</v>
      </c>
      <c r="E99" s="453">
        <f>+C99+D99</f>
        <v>126007.24592760553</v>
      </c>
      <c r="F99" s="453">
        <v>56902.770000000004</v>
      </c>
      <c r="G99" s="453">
        <v>56902.770000000004</v>
      </c>
      <c r="H99" s="453">
        <f>+E99-F99</f>
        <v>69104.475927605527</v>
      </c>
      <c r="I99" s="452">
        <f>+F99/E99</f>
        <v>0.45158331634906251</v>
      </c>
    </row>
    <row r="100" spans="1:9" x14ac:dyDescent="0.25">
      <c r="A100" s="482">
        <v>24201</v>
      </c>
      <c r="B100" s="481" t="s">
        <v>616</v>
      </c>
      <c r="C100" s="454">
        <v>126007.24592760553</v>
      </c>
      <c r="D100" s="454">
        <v>0</v>
      </c>
      <c r="E100" s="453">
        <f>+C100+D100</f>
        <v>126007.24592760553</v>
      </c>
      <c r="F100" s="454">
        <v>56902.770000000004</v>
      </c>
      <c r="G100" s="454">
        <v>56902.770000000004</v>
      </c>
      <c r="H100" s="453">
        <f>+E100-F100</f>
        <v>69104.475927605527</v>
      </c>
      <c r="I100" s="452">
        <f>+F100/E100</f>
        <v>0.45158331634906251</v>
      </c>
    </row>
    <row r="101" spans="1:9" x14ac:dyDescent="0.25">
      <c r="A101" s="479">
        <v>243</v>
      </c>
      <c r="B101" s="478" t="s">
        <v>615</v>
      </c>
      <c r="C101" s="453">
        <f>C102</f>
        <v>0</v>
      </c>
      <c r="D101" s="453">
        <v>0</v>
      </c>
      <c r="E101" s="453">
        <f>+C101+D101</f>
        <v>0</v>
      </c>
      <c r="F101" s="453">
        <v>0</v>
      </c>
      <c r="G101" s="453">
        <v>0</v>
      </c>
      <c r="H101" s="453">
        <f>+E101-F101</f>
        <v>0</v>
      </c>
      <c r="I101" s="452"/>
    </row>
    <row r="102" spans="1:9" x14ac:dyDescent="0.25">
      <c r="A102" s="482">
        <v>24301</v>
      </c>
      <c r="B102" s="481" t="s">
        <v>614</v>
      </c>
      <c r="C102" s="454">
        <v>0</v>
      </c>
      <c r="D102" s="454">
        <v>0</v>
      </c>
      <c r="E102" s="453">
        <f>+C102+D102</f>
        <v>0</v>
      </c>
      <c r="F102" s="454">
        <v>0</v>
      </c>
      <c r="G102" s="454">
        <v>0</v>
      </c>
      <c r="H102" s="453">
        <f>+E102-F102</f>
        <v>0</v>
      </c>
      <c r="I102" s="452"/>
    </row>
    <row r="103" spans="1:9" x14ac:dyDescent="0.25">
      <c r="A103" s="479">
        <v>244</v>
      </c>
      <c r="B103" s="478" t="s">
        <v>613</v>
      </c>
      <c r="C103" s="453">
        <f>C104</f>
        <v>0</v>
      </c>
      <c r="D103" s="453">
        <v>0</v>
      </c>
      <c r="E103" s="453">
        <f>+C103+D103</f>
        <v>0</v>
      </c>
      <c r="F103" s="453">
        <v>0</v>
      </c>
      <c r="G103" s="453">
        <v>0</v>
      </c>
      <c r="H103" s="453">
        <f>+E103-F103</f>
        <v>0</v>
      </c>
      <c r="I103" s="452"/>
    </row>
    <row r="104" spans="1:9" x14ac:dyDescent="0.25">
      <c r="A104" s="482">
        <v>24401</v>
      </c>
      <c r="B104" s="481" t="s">
        <v>613</v>
      </c>
      <c r="C104" s="454">
        <v>0</v>
      </c>
      <c r="D104" s="454">
        <v>0</v>
      </c>
      <c r="E104" s="453">
        <f>+C104+D104</f>
        <v>0</v>
      </c>
      <c r="F104" s="454">
        <v>0</v>
      </c>
      <c r="G104" s="454">
        <v>0</v>
      </c>
      <c r="H104" s="453">
        <f>+E104-F104</f>
        <v>0</v>
      </c>
      <c r="I104" s="452"/>
    </row>
    <row r="105" spans="1:9" x14ac:dyDescent="0.25">
      <c r="A105" s="479">
        <v>245</v>
      </c>
      <c r="B105" s="478" t="s">
        <v>612</v>
      </c>
      <c r="C105" s="453">
        <f>C106</f>
        <v>0</v>
      </c>
      <c r="D105" s="453">
        <v>0</v>
      </c>
      <c r="E105" s="453">
        <f>+C105+D105</f>
        <v>0</v>
      </c>
      <c r="F105" s="453">
        <v>0</v>
      </c>
      <c r="G105" s="453">
        <v>0</v>
      </c>
      <c r="H105" s="453">
        <f>+E105-F105</f>
        <v>0</v>
      </c>
      <c r="I105" s="452"/>
    </row>
    <row r="106" spans="1:9" x14ac:dyDescent="0.25">
      <c r="A106" s="482">
        <v>24501</v>
      </c>
      <c r="B106" s="481" t="s">
        <v>612</v>
      </c>
      <c r="C106" s="454">
        <v>0</v>
      </c>
      <c r="D106" s="454">
        <v>0</v>
      </c>
      <c r="E106" s="453">
        <f>+C106+D106</f>
        <v>0</v>
      </c>
      <c r="F106" s="454">
        <v>0</v>
      </c>
      <c r="G106" s="454">
        <v>0</v>
      </c>
      <c r="H106" s="453">
        <f>+E106-F106</f>
        <v>0</v>
      </c>
      <c r="I106" s="452"/>
    </row>
    <row r="107" spans="1:9" x14ac:dyDescent="0.25">
      <c r="A107" s="479">
        <v>246</v>
      </c>
      <c r="B107" s="478" t="s">
        <v>611</v>
      </c>
      <c r="C107" s="453">
        <f>C108+C109</f>
        <v>521536.55067646713</v>
      </c>
      <c r="D107" s="453">
        <f>D108+D109</f>
        <v>-20036</v>
      </c>
      <c r="E107" s="453">
        <f>+C107+D107</f>
        <v>501500.55067646713</v>
      </c>
      <c r="F107" s="453">
        <v>144329.28</v>
      </c>
      <c r="G107" s="453">
        <v>140885.32</v>
      </c>
      <c r="H107" s="453">
        <f>+E107-F107</f>
        <v>357171.2706764671</v>
      </c>
      <c r="I107" s="452">
        <f>+F107/E107</f>
        <v>0.28779485846090547</v>
      </c>
    </row>
    <row r="108" spans="1:9" x14ac:dyDescent="0.25">
      <c r="A108" s="482">
        <v>24601</v>
      </c>
      <c r="B108" s="481" t="s">
        <v>611</v>
      </c>
      <c r="C108" s="454">
        <v>521536.55067646713</v>
      </c>
      <c r="D108" s="454">
        <v>-25536</v>
      </c>
      <c r="E108" s="453">
        <f>+C108+D108</f>
        <v>496000.55067646713</v>
      </c>
      <c r="F108" s="454">
        <v>138968.28</v>
      </c>
      <c r="G108" s="454">
        <v>135524.32</v>
      </c>
      <c r="H108" s="453">
        <f>+E108-F108</f>
        <v>357032.2706764671</v>
      </c>
      <c r="I108" s="452">
        <f>+F108/E108</f>
        <v>0.28017767280796163</v>
      </c>
    </row>
    <row r="109" spans="1:9" x14ac:dyDescent="0.25">
      <c r="A109" s="482">
        <v>24801</v>
      </c>
      <c r="B109" s="481" t="s">
        <v>610</v>
      </c>
      <c r="C109" s="454">
        <v>0</v>
      </c>
      <c r="D109" s="454">
        <v>5500</v>
      </c>
      <c r="E109" s="453">
        <f>+C109+D109</f>
        <v>5500</v>
      </c>
      <c r="F109" s="454">
        <v>5361</v>
      </c>
      <c r="G109" s="454">
        <v>5361</v>
      </c>
      <c r="H109" s="453">
        <f>+E109-F109</f>
        <v>139</v>
      </c>
      <c r="I109" s="452"/>
    </row>
    <row r="110" spans="1:9" ht="22.5" x14ac:dyDescent="0.25">
      <c r="A110" s="479">
        <v>249</v>
      </c>
      <c r="B110" s="478" t="s">
        <v>609</v>
      </c>
      <c r="C110" s="453">
        <f>C111</f>
        <v>0</v>
      </c>
      <c r="D110" s="453">
        <v>0</v>
      </c>
      <c r="E110" s="453">
        <f>+C110+D110</f>
        <v>0</v>
      </c>
      <c r="F110" s="453">
        <v>0</v>
      </c>
      <c r="G110" s="453">
        <v>0</v>
      </c>
      <c r="H110" s="453">
        <f>+E110-F110</f>
        <v>0</v>
      </c>
      <c r="I110" s="452"/>
    </row>
    <row r="111" spans="1:9" ht="22.5" x14ac:dyDescent="0.25">
      <c r="A111" s="482">
        <v>24901</v>
      </c>
      <c r="B111" s="481" t="s">
        <v>609</v>
      </c>
      <c r="C111" s="454"/>
      <c r="D111" s="454">
        <v>0</v>
      </c>
      <c r="E111" s="453">
        <f>+C111+D111</f>
        <v>0</v>
      </c>
      <c r="F111" s="454">
        <v>0</v>
      </c>
      <c r="G111" s="454">
        <v>0</v>
      </c>
      <c r="H111" s="453">
        <f>+E111-F111</f>
        <v>0</v>
      </c>
      <c r="I111" s="452"/>
    </row>
    <row r="112" spans="1:9" ht="22.5" x14ac:dyDescent="0.25">
      <c r="A112" s="480">
        <v>2500</v>
      </c>
      <c r="B112" s="478" t="s">
        <v>608</v>
      </c>
      <c r="C112" s="453">
        <f>C113+C115+C117+C119+C121</f>
        <v>7668652.7501789946</v>
      </c>
      <c r="D112" s="453">
        <f>D113+D115+D117+D119+D121</f>
        <v>-255830</v>
      </c>
      <c r="E112" s="453">
        <f>+C112+D112</f>
        <v>7412822.7501789946</v>
      </c>
      <c r="F112" s="453">
        <v>136254.62</v>
      </c>
      <c r="G112" s="453">
        <v>43858.299999999996</v>
      </c>
      <c r="H112" s="453">
        <f>+E112-F112</f>
        <v>7276568.1301789945</v>
      </c>
      <c r="I112" s="452">
        <f>+F112/E112</f>
        <v>1.8380935925752427E-2</v>
      </c>
    </row>
    <row r="113" spans="1:9" x14ac:dyDescent="0.25">
      <c r="A113" s="479">
        <v>251</v>
      </c>
      <c r="B113" s="478" t="s">
        <v>607</v>
      </c>
      <c r="C113" s="453">
        <f>C114</f>
        <v>0</v>
      </c>
      <c r="D113" s="453">
        <v>0</v>
      </c>
      <c r="E113" s="453">
        <f>+C113+D113</f>
        <v>0</v>
      </c>
      <c r="F113" s="453">
        <v>0</v>
      </c>
      <c r="G113" s="453">
        <v>0</v>
      </c>
      <c r="H113" s="453">
        <f>+E113-F113</f>
        <v>0</v>
      </c>
      <c r="I113" s="452"/>
    </row>
    <row r="114" spans="1:9" x14ac:dyDescent="0.25">
      <c r="A114" s="482">
        <v>25101</v>
      </c>
      <c r="B114" s="481" t="s">
        <v>607</v>
      </c>
      <c r="C114" s="453">
        <v>0</v>
      </c>
      <c r="D114" s="454">
        <v>0</v>
      </c>
      <c r="E114" s="453">
        <f>+C114+D114</f>
        <v>0</v>
      </c>
      <c r="F114" s="453">
        <v>0</v>
      </c>
      <c r="G114" s="453">
        <v>0</v>
      </c>
      <c r="H114" s="453">
        <f>+E114-F114</f>
        <v>0</v>
      </c>
      <c r="I114" s="452"/>
    </row>
    <row r="115" spans="1:9" x14ac:dyDescent="0.25">
      <c r="A115" s="479">
        <v>252</v>
      </c>
      <c r="B115" s="478" t="s">
        <v>606</v>
      </c>
      <c r="C115" s="453">
        <f>C116</f>
        <v>0</v>
      </c>
      <c r="D115" s="453">
        <v>0</v>
      </c>
      <c r="E115" s="453">
        <f>+C115+D115</f>
        <v>0</v>
      </c>
      <c r="F115" s="453">
        <v>0</v>
      </c>
      <c r="G115" s="453">
        <v>0</v>
      </c>
      <c r="H115" s="453">
        <f>+E115-F115</f>
        <v>0</v>
      </c>
      <c r="I115" s="452"/>
    </row>
    <row r="116" spans="1:9" x14ac:dyDescent="0.25">
      <c r="A116" s="482">
        <v>25201</v>
      </c>
      <c r="B116" s="481" t="s">
        <v>606</v>
      </c>
      <c r="C116" s="454">
        <v>0</v>
      </c>
      <c r="D116" s="454">
        <v>0</v>
      </c>
      <c r="E116" s="453">
        <f>+C116+D116</f>
        <v>0</v>
      </c>
      <c r="F116" s="454">
        <v>0</v>
      </c>
      <c r="G116" s="454">
        <v>0</v>
      </c>
      <c r="H116" s="453">
        <f>+E116-F116</f>
        <v>0</v>
      </c>
      <c r="I116" s="452"/>
    </row>
    <row r="117" spans="1:9" x14ac:dyDescent="0.25">
      <c r="A117" s="479">
        <v>253</v>
      </c>
      <c r="B117" s="478" t="s">
        <v>605</v>
      </c>
      <c r="C117" s="453">
        <f>C118</f>
        <v>17050.360216439713</v>
      </c>
      <c r="D117" s="453">
        <f>D118</f>
        <v>17733</v>
      </c>
      <c r="E117" s="453">
        <f>+C117+D117</f>
        <v>34783.360216439716</v>
      </c>
      <c r="F117" s="453">
        <v>34783.74</v>
      </c>
      <c r="G117" s="453">
        <v>34783.74</v>
      </c>
      <c r="H117" s="453">
        <f>+E117-F117</f>
        <v>-0.37978356028179405</v>
      </c>
      <c r="I117" s="452">
        <f>+F117/E117</f>
        <v>1.0000109185414496</v>
      </c>
    </row>
    <row r="118" spans="1:9" x14ac:dyDescent="0.25">
      <c r="A118" s="482">
        <v>25301</v>
      </c>
      <c r="B118" s="481" t="s">
        <v>605</v>
      </c>
      <c r="C118" s="454">
        <v>17050.360216439713</v>
      </c>
      <c r="D118" s="454">
        <f>17628+105</f>
        <v>17733</v>
      </c>
      <c r="E118" s="453">
        <f>+C118+D118</f>
        <v>34783.360216439716</v>
      </c>
      <c r="F118" s="454">
        <v>34783.74</v>
      </c>
      <c r="G118" s="454">
        <v>34783.74</v>
      </c>
      <c r="H118" s="453">
        <f>+E118-F118</f>
        <v>-0.37978356028179405</v>
      </c>
      <c r="I118" s="452">
        <f>+F118/E118</f>
        <v>1.0000109185414496</v>
      </c>
    </row>
    <row r="119" spans="1:9" ht="22.5" x14ac:dyDescent="0.25">
      <c r="A119" s="479">
        <v>255</v>
      </c>
      <c r="B119" s="478" t="s">
        <v>604</v>
      </c>
      <c r="C119" s="453">
        <f>C120</f>
        <v>0</v>
      </c>
      <c r="D119" s="453">
        <v>0</v>
      </c>
      <c r="E119" s="453">
        <f>+C119+D119</f>
        <v>0</v>
      </c>
      <c r="F119" s="453">
        <v>0</v>
      </c>
      <c r="G119" s="453">
        <v>0</v>
      </c>
      <c r="H119" s="453">
        <f>+E119-F119</f>
        <v>0</v>
      </c>
      <c r="I119" s="452"/>
    </row>
    <row r="120" spans="1:9" x14ac:dyDescent="0.25">
      <c r="A120" s="482">
        <v>25501</v>
      </c>
      <c r="B120" s="481" t="s">
        <v>604</v>
      </c>
      <c r="C120" s="454"/>
      <c r="D120" s="454">
        <v>0</v>
      </c>
      <c r="E120" s="453">
        <f>+C120+D120</f>
        <v>0</v>
      </c>
      <c r="F120" s="454">
        <v>0</v>
      </c>
      <c r="G120" s="454">
        <v>0</v>
      </c>
      <c r="H120" s="453">
        <f>+E120-F120</f>
        <v>0</v>
      </c>
      <c r="I120" s="452"/>
    </row>
    <row r="121" spans="1:9" x14ac:dyDescent="0.25">
      <c r="A121" s="479">
        <v>259</v>
      </c>
      <c r="B121" s="478" t="s">
        <v>603</v>
      </c>
      <c r="C121" s="453">
        <f>C122</f>
        <v>7651602.3899625549</v>
      </c>
      <c r="D121" s="453">
        <f>D122</f>
        <v>-273563</v>
      </c>
      <c r="E121" s="453">
        <f>+C121+D121</f>
        <v>7378039.3899625549</v>
      </c>
      <c r="F121" s="453">
        <v>101470.88</v>
      </c>
      <c r="G121" s="453">
        <v>9074.56</v>
      </c>
      <c r="H121" s="453">
        <f>+E121-F121</f>
        <v>7276568.509962555</v>
      </c>
      <c r="I121" s="452">
        <f>+F121/E121</f>
        <v>1.3753095454877341E-2</v>
      </c>
    </row>
    <row r="122" spans="1:9" x14ac:dyDescent="0.25">
      <c r="A122" s="482">
        <v>25901</v>
      </c>
      <c r="B122" s="481" t="s">
        <v>603</v>
      </c>
      <c r="C122" s="454">
        <v>7651602.3899625549</v>
      </c>
      <c r="D122" s="454">
        <v>-273563</v>
      </c>
      <c r="E122" s="453">
        <f>+C122+D122</f>
        <v>7378039.3899625549</v>
      </c>
      <c r="F122" s="454">
        <v>101470.88</v>
      </c>
      <c r="G122" s="454">
        <v>9074.56</v>
      </c>
      <c r="H122" s="453">
        <f>+E122-F122</f>
        <v>7276568.509962555</v>
      </c>
      <c r="I122" s="452">
        <f>+F122/E122</f>
        <v>1.3753095454877341E-2</v>
      </c>
    </row>
    <row r="123" spans="1:9" x14ac:dyDescent="0.25">
      <c r="A123" s="480">
        <v>2600</v>
      </c>
      <c r="B123" s="478" t="s">
        <v>602</v>
      </c>
      <c r="C123" s="453">
        <f>C124</f>
        <v>7323123.8132909173</v>
      </c>
      <c r="D123" s="453">
        <f>D124</f>
        <v>55239.22</v>
      </c>
      <c r="E123" s="453">
        <f>+C123+D123</f>
        <v>7378363.0332909171</v>
      </c>
      <c r="F123" s="453">
        <v>5115976.4499999993</v>
      </c>
      <c r="G123" s="453">
        <v>4509472.97</v>
      </c>
      <c r="H123" s="453">
        <f>+E123-F123</f>
        <v>2262386.5832909178</v>
      </c>
      <c r="I123" s="452">
        <f>+F123/E123</f>
        <v>0.69337553965790133</v>
      </c>
    </row>
    <row r="124" spans="1:9" x14ac:dyDescent="0.25">
      <c r="A124" s="479">
        <v>261</v>
      </c>
      <c r="B124" s="478" t="s">
        <v>602</v>
      </c>
      <c r="C124" s="453">
        <f>SUM(C125:C126)</f>
        <v>7323123.8132909173</v>
      </c>
      <c r="D124" s="453">
        <f>SUM(D125:D126)</f>
        <v>55239.22</v>
      </c>
      <c r="E124" s="453">
        <f>+C124+D124</f>
        <v>7378363.0332909171</v>
      </c>
      <c r="F124" s="453">
        <v>5115976.4499999993</v>
      </c>
      <c r="G124" s="453">
        <v>4509472.97</v>
      </c>
      <c r="H124" s="453">
        <f>+E124-F124</f>
        <v>2262386.5832909178</v>
      </c>
      <c r="I124" s="452">
        <f>+F124/E124</f>
        <v>0.69337553965790133</v>
      </c>
    </row>
    <row r="125" spans="1:9" x14ac:dyDescent="0.25">
      <c r="A125" s="482">
        <v>26101</v>
      </c>
      <c r="B125" s="481" t="s">
        <v>601</v>
      </c>
      <c r="C125" s="454">
        <v>6902254.4553108262</v>
      </c>
      <c r="D125" s="454">
        <v>45349.22</v>
      </c>
      <c r="E125" s="453">
        <f>+C125+D125</f>
        <v>6947603.6753108259</v>
      </c>
      <c r="F125" s="454">
        <v>4855351.8400000008</v>
      </c>
      <c r="G125" s="454">
        <v>4270706.83</v>
      </c>
      <c r="H125" s="453">
        <f>+E125-F125</f>
        <v>2092251.8353108251</v>
      </c>
      <c r="I125" s="452">
        <f>+F125/E125</f>
        <v>0.69885273641242629</v>
      </c>
    </row>
    <row r="126" spans="1:9" x14ac:dyDescent="0.25">
      <c r="A126" s="482">
        <v>26102</v>
      </c>
      <c r="B126" s="481" t="s">
        <v>600</v>
      </c>
      <c r="C126" s="454">
        <v>420869.35798009124</v>
      </c>
      <c r="D126" s="454">
        <v>9890</v>
      </c>
      <c r="E126" s="453">
        <f>+C126+D126</f>
        <v>430759.35798009124</v>
      </c>
      <c r="F126" s="454">
        <v>260624.61</v>
      </c>
      <c r="G126" s="454">
        <v>238766.13999999998</v>
      </c>
      <c r="H126" s="453">
        <f>+E126-F126</f>
        <v>170134.74798009126</v>
      </c>
      <c r="I126" s="452">
        <f>+F126/E126</f>
        <v>0.60503528285982233</v>
      </c>
    </row>
    <row r="127" spans="1:9" ht="22.5" x14ac:dyDescent="0.25">
      <c r="A127" s="480">
        <v>2700</v>
      </c>
      <c r="B127" s="478" t="s">
        <v>599</v>
      </c>
      <c r="C127" s="453">
        <f>C128+C130</f>
        <v>2068168.613606584</v>
      </c>
      <c r="D127" s="453">
        <f>D128+D130</f>
        <v>468373.76000000001</v>
      </c>
      <c r="E127" s="453">
        <f>+C127+D127</f>
        <v>2536542.373606584</v>
      </c>
      <c r="F127" s="453">
        <v>169268.18</v>
      </c>
      <c r="G127" s="453">
        <v>159318.45000000001</v>
      </c>
      <c r="H127" s="453">
        <f>+E127-F127</f>
        <v>2367274.1936065839</v>
      </c>
      <c r="I127" s="452">
        <f>+F127/E127</f>
        <v>6.6731855837017198E-2</v>
      </c>
    </row>
    <row r="128" spans="1:9" x14ac:dyDescent="0.25">
      <c r="A128" s="479">
        <v>271</v>
      </c>
      <c r="B128" s="478" t="s">
        <v>598</v>
      </c>
      <c r="C128" s="453">
        <f>C129</f>
        <v>1912274.6190116936</v>
      </c>
      <c r="D128" s="453">
        <f>D129</f>
        <v>430567.76</v>
      </c>
      <c r="E128" s="453">
        <f>+C128+D128</f>
        <v>2342842.3790116934</v>
      </c>
      <c r="F128" s="453">
        <v>8073.6</v>
      </c>
      <c r="G128" s="453">
        <v>8073.6</v>
      </c>
      <c r="H128" s="453">
        <f>+E128-F128</f>
        <v>2334768.7790116933</v>
      </c>
      <c r="I128" s="452">
        <f>+F128/E128</f>
        <v>3.4460704963881414E-3</v>
      </c>
    </row>
    <row r="129" spans="1:9" x14ac:dyDescent="0.25">
      <c r="A129" s="482">
        <v>27101</v>
      </c>
      <c r="B129" s="481" t="s">
        <v>598</v>
      </c>
      <c r="C129" s="454">
        <v>1912274.6190116936</v>
      </c>
      <c r="D129" s="454">
        <v>430567.76</v>
      </c>
      <c r="E129" s="453">
        <f>+C129+D129</f>
        <v>2342842.3790116934</v>
      </c>
      <c r="F129" s="454">
        <v>8073.6</v>
      </c>
      <c r="G129" s="454">
        <v>8073.6</v>
      </c>
      <c r="H129" s="453">
        <f>+E129-F129</f>
        <v>2334768.7790116933</v>
      </c>
      <c r="I129" s="452">
        <f>+F129/E129</f>
        <v>3.4460704963881414E-3</v>
      </c>
    </row>
    <row r="130" spans="1:9" x14ac:dyDescent="0.25">
      <c r="A130" s="479">
        <v>272</v>
      </c>
      <c r="B130" s="478" t="s">
        <v>597</v>
      </c>
      <c r="C130" s="453">
        <f>C131</f>
        <v>155893.99459489042</v>
      </c>
      <c r="D130" s="453">
        <f>D131</f>
        <v>37806</v>
      </c>
      <c r="E130" s="453">
        <f>+C130+D130</f>
        <v>193699.99459489042</v>
      </c>
      <c r="F130" s="453">
        <v>161194.57999999999</v>
      </c>
      <c r="G130" s="453">
        <v>151244.85</v>
      </c>
      <c r="H130" s="453">
        <f>+E130-F130</f>
        <v>32505.414594890433</v>
      </c>
      <c r="I130" s="452">
        <f>+F130/E130</f>
        <v>0.83218680690790325</v>
      </c>
    </row>
    <row r="131" spans="1:9" x14ac:dyDescent="0.25">
      <c r="A131" s="482">
        <v>27201</v>
      </c>
      <c r="B131" s="481" t="s">
        <v>597</v>
      </c>
      <c r="C131" s="454">
        <v>155893.99459489042</v>
      </c>
      <c r="D131" s="454">
        <f>22806+15000</f>
        <v>37806</v>
      </c>
      <c r="E131" s="453">
        <f>+C131+D131</f>
        <v>193699.99459489042</v>
      </c>
      <c r="F131" s="454">
        <v>161194.57999999999</v>
      </c>
      <c r="G131" s="454">
        <v>151244.85</v>
      </c>
      <c r="H131" s="453">
        <f>+E131-F131</f>
        <v>32505.414594890433</v>
      </c>
      <c r="I131" s="452">
        <f>+F131/E131</f>
        <v>0.83218680690790325</v>
      </c>
    </row>
    <row r="132" spans="1:9" ht="22.5" x14ac:dyDescent="0.25">
      <c r="A132" s="480">
        <v>2900</v>
      </c>
      <c r="B132" s="478" t="s">
        <v>596</v>
      </c>
      <c r="C132" s="453">
        <f>C133+C135+C137+C139+C143+C145+C141</f>
        <v>2387835.9546775939</v>
      </c>
      <c r="D132" s="453">
        <f>D133+D135+D137+D139+D143+D145+D141</f>
        <v>203444.93000000011</v>
      </c>
      <c r="E132" s="453">
        <f>+C132+D132</f>
        <v>2591280.8846775941</v>
      </c>
      <c r="F132" s="453">
        <v>1464171.98</v>
      </c>
      <c r="G132" s="453">
        <v>1283014.92</v>
      </c>
      <c r="H132" s="453">
        <f>+E132-F132</f>
        <v>1127108.9046775941</v>
      </c>
      <c r="I132" s="452">
        <f>+F132/E132</f>
        <v>0.56503792724970126</v>
      </c>
    </row>
    <row r="133" spans="1:9" x14ac:dyDescent="0.25">
      <c r="A133" s="479">
        <v>291</v>
      </c>
      <c r="B133" s="478" t="s">
        <v>595</v>
      </c>
      <c r="C133" s="453">
        <f>C134</f>
        <v>251889.28417526121</v>
      </c>
      <c r="D133" s="453">
        <f>D134</f>
        <v>0</v>
      </c>
      <c r="E133" s="453">
        <f>+C133+D133</f>
        <v>251889.28417526121</v>
      </c>
      <c r="F133" s="453">
        <v>163280.77000000002</v>
      </c>
      <c r="G133" s="453">
        <v>151950.81000000003</v>
      </c>
      <c r="H133" s="453">
        <f>+E133-F133</f>
        <v>88608.514175261196</v>
      </c>
      <c r="I133" s="452">
        <f>+F133/E133</f>
        <v>0.64822435989929383</v>
      </c>
    </row>
    <row r="134" spans="1:9" x14ac:dyDescent="0.25">
      <c r="A134" s="482">
        <v>29101</v>
      </c>
      <c r="B134" s="481" t="s">
        <v>595</v>
      </c>
      <c r="C134" s="454">
        <v>251889.28417526121</v>
      </c>
      <c r="D134" s="454">
        <v>0</v>
      </c>
      <c r="E134" s="453">
        <f>+C134+D134</f>
        <v>251889.28417526121</v>
      </c>
      <c r="F134" s="454">
        <v>163280.77000000002</v>
      </c>
      <c r="G134" s="454">
        <v>151950.81000000003</v>
      </c>
      <c r="H134" s="453">
        <f>+E134-F134</f>
        <v>88608.514175261196</v>
      </c>
      <c r="I134" s="452">
        <f>+F134/E134</f>
        <v>0.64822435989929383</v>
      </c>
    </row>
    <row r="135" spans="1:9" x14ac:dyDescent="0.25">
      <c r="A135" s="479">
        <v>292</v>
      </c>
      <c r="B135" s="478" t="s">
        <v>594</v>
      </c>
      <c r="C135" s="453">
        <f>C136</f>
        <v>40453.74506604093</v>
      </c>
      <c r="D135" s="453">
        <f>D136</f>
        <v>0</v>
      </c>
      <c r="E135" s="453">
        <f>+C135+D135</f>
        <v>40453.74506604093</v>
      </c>
      <c r="F135" s="453">
        <v>8054.8</v>
      </c>
      <c r="G135" s="453">
        <v>8054.8</v>
      </c>
      <c r="H135" s="453">
        <f>+E135-F135</f>
        <v>32398.945066040931</v>
      </c>
      <c r="I135" s="452">
        <f>+F135/E135</f>
        <v>0.19911135512547729</v>
      </c>
    </row>
    <row r="136" spans="1:9" x14ac:dyDescent="0.25">
      <c r="A136" s="482">
        <v>29201</v>
      </c>
      <c r="B136" s="481" t="s">
        <v>594</v>
      </c>
      <c r="C136" s="454">
        <v>40453.74506604093</v>
      </c>
      <c r="D136" s="454">
        <v>0</v>
      </c>
      <c r="E136" s="453">
        <f>+C136+D136</f>
        <v>40453.74506604093</v>
      </c>
      <c r="F136" s="454">
        <v>8054.8</v>
      </c>
      <c r="G136" s="454">
        <v>8054.8</v>
      </c>
      <c r="H136" s="453">
        <f>+E136-F136</f>
        <v>32398.945066040931</v>
      </c>
      <c r="I136" s="452">
        <f>+F136/E136</f>
        <v>0.19911135512547729</v>
      </c>
    </row>
    <row r="137" spans="1:9" ht="33.75" x14ac:dyDescent="0.25">
      <c r="A137" s="479">
        <v>293</v>
      </c>
      <c r="B137" s="478" t="s">
        <v>593</v>
      </c>
      <c r="C137" s="453">
        <f>C138</f>
        <v>7147.9015132493396</v>
      </c>
      <c r="D137" s="453">
        <f>D138</f>
        <v>759</v>
      </c>
      <c r="E137" s="453">
        <f>+C137+D137</f>
        <v>7906.9015132493396</v>
      </c>
      <c r="F137" s="453">
        <v>5076.66</v>
      </c>
      <c r="G137" s="453">
        <v>5076.66</v>
      </c>
      <c r="H137" s="453">
        <f>+E137-F137</f>
        <v>2830.2415132493397</v>
      </c>
      <c r="I137" s="452">
        <f>+F137/E137</f>
        <v>0.64205428529661135</v>
      </c>
    </row>
    <row r="138" spans="1:9" ht="22.5" x14ac:dyDescent="0.25">
      <c r="A138" s="482">
        <v>29301</v>
      </c>
      <c r="B138" s="481" t="s">
        <v>592</v>
      </c>
      <c r="C138" s="454">
        <v>7147.9015132493396</v>
      </c>
      <c r="D138" s="454">
        <v>759</v>
      </c>
      <c r="E138" s="453">
        <f>+C138+D138</f>
        <v>7906.9015132493396</v>
      </c>
      <c r="F138" s="454">
        <v>5076.66</v>
      </c>
      <c r="G138" s="454">
        <v>5076.66</v>
      </c>
      <c r="H138" s="453">
        <f>+E138-F138</f>
        <v>2830.2415132493397</v>
      </c>
      <c r="I138" s="452">
        <f>+F138/E138</f>
        <v>0.64205428529661135</v>
      </c>
    </row>
    <row r="139" spans="1:9" ht="22.5" x14ac:dyDescent="0.25">
      <c r="A139" s="479">
        <v>294</v>
      </c>
      <c r="B139" s="478" t="s">
        <v>591</v>
      </c>
      <c r="C139" s="453">
        <f>C140</f>
        <v>66943.220433427457</v>
      </c>
      <c r="D139" s="453">
        <f>D140</f>
        <v>-759</v>
      </c>
      <c r="E139" s="453">
        <f>+C139+D139</f>
        <v>66184.220433427457</v>
      </c>
      <c r="F139" s="453">
        <v>3942.9799999999996</v>
      </c>
      <c r="G139" s="453">
        <v>3942.9799999999996</v>
      </c>
      <c r="H139" s="453">
        <f>+E139-F139</f>
        <v>62241.240433427462</v>
      </c>
      <c r="I139" s="452">
        <f>+F139/E139</f>
        <v>5.9575832036370575E-2</v>
      </c>
    </row>
    <row r="140" spans="1:9" ht="22.5" x14ac:dyDescent="0.25">
      <c r="A140" s="482">
        <v>29401</v>
      </c>
      <c r="B140" s="481" t="s">
        <v>591</v>
      </c>
      <c r="C140" s="454">
        <v>66943.220433427457</v>
      </c>
      <c r="D140" s="454">
        <v>-759</v>
      </c>
      <c r="E140" s="453">
        <f>+C140+D140</f>
        <v>66184.220433427457</v>
      </c>
      <c r="F140" s="454">
        <v>3942.9799999999996</v>
      </c>
      <c r="G140" s="454">
        <v>3942.9799999999996</v>
      </c>
      <c r="H140" s="453">
        <f>+E140-F140</f>
        <v>62241.240433427462</v>
      </c>
      <c r="I140" s="452">
        <f>+F140/E140</f>
        <v>5.9575832036370575E-2</v>
      </c>
    </row>
    <row r="141" spans="1:9" ht="22.5" x14ac:dyDescent="0.25">
      <c r="A141" s="479">
        <v>295</v>
      </c>
      <c r="B141" s="478" t="s">
        <v>590</v>
      </c>
      <c r="C141" s="454">
        <f>C142</f>
        <v>0</v>
      </c>
      <c r="D141" s="454">
        <f>D142</f>
        <v>4640</v>
      </c>
      <c r="E141" s="453">
        <f>+C141+D141</f>
        <v>4640</v>
      </c>
      <c r="F141" s="454">
        <v>4640</v>
      </c>
      <c r="G141" s="454">
        <v>4610</v>
      </c>
      <c r="H141" s="453">
        <f>+E141-F141</f>
        <v>0</v>
      </c>
      <c r="I141" s="452"/>
    </row>
    <row r="142" spans="1:9" ht="22.5" x14ac:dyDescent="0.25">
      <c r="A142" s="482">
        <v>29501</v>
      </c>
      <c r="B142" s="481" t="s">
        <v>589</v>
      </c>
      <c r="C142" s="454"/>
      <c r="D142" s="454">
        <v>4640</v>
      </c>
      <c r="E142" s="453">
        <f>+C142+D142</f>
        <v>4640</v>
      </c>
      <c r="F142" s="454">
        <v>4640</v>
      </c>
      <c r="G142" s="454">
        <v>4610</v>
      </c>
      <c r="H142" s="453">
        <f>+E142-F142</f>
        <v>0</v>
      </c>
      <c r="I142" s="452"/>
    </row>
    <row r="143" spans="1:9" ht="22.5" x14ac:dyDescent="0.25">
      <c r="A143" s="479">
        <v>296</v>
      </c>
      <c r="B143" s="478" t="s">
        <v>588</v>
      </c>
      <c r="C143" s="453">
        <f>C144</f>
        <v>1228244.9277371359</v>
      </c>
      <c r="D143" s="453">
        <f>D144</f>
        <v>-72371.969999999899</v>
      </c>
      <c r="E143" s="453">
        <f>+C143+D143</f>
        <v>1155872.9577371359</v>
      </c>
      <c r="F143" s="453">
        <v>633021.53</v>
      </c>
      <c r="G143" s="453">
        <v>493122.07999999996</v>
      </c>
      <c r="H143" s="453">
        <f>+E143-F143</f>
        <v>522851.42773713591</v>
      </c>
      <c r="I143" s="452">
        <f>+F143/E143</f>
        <v>0.54765666569384286</v>
      </c>
    </row>
    <row r="144" spans="1:9" ht="22.5" x14ac:dyDescent="0.25">
      <c r="A144" s="482">
        <v>29601</v>
      </c>
      <c r="B144" s="481" t="s">
        <v>588</v>
      </c>
      <c r="C144" s="454">
        <v>1228244.9277371359</v>
      </c>
      <c r="D144" s="454">
        <f>-52626.9699999999-105-4640-15000</f>
        <v>-72371.969999999899</v>
      </c>
      <c r="E144" s="453">
        <f>+C144+D144</f>
        <v>1155872.9577371359</v>
      </c>
      <c r="F144" s="454">
        <v>633021.53</v>
      </c>
      <c r="G144" s="454">
        <v>493122.07999999996</v>
      </c>
      <c r="H144" s="453">
        <f>+E144-F144</f>
        <v>522851.42773713591</v>
      </c>
      <c r="I144" s="452">
        <f>+F144/E144</f>
        <v>0.54765666569384286</v>
      </c>
    </row>
    <row r="145" spans="1:9" ht="22.5" x14ac:dyDescent="0.25">
      <c r="A145" s="479">
        <v>298</v>
      </c>
      <c r="B145" s="478" t="s">
        <v>587</v>
      </c>
      <c r="C145" s="453">
        <f>C146</f>
        <v>793156.87575247907</v>
      </c>
      <c r="D145" s="453">
        <f>D146</f>
        <v>271176.90000000002</v>
      </c>
      <c r="E145" s="453">
        <f>+C145+D145</f>
        <v>1064333.7757524792</v>
      </c>
      <c r="F145" s="453">
        <v>646155.24</v>
      </c>
      <c r="G145" s="453">
        <v>616257.59</v>
      </c>
      <c r="H145" s="453">
        <f>+E145-F145</f>
        <v>418178.53575247922</v>
      </c>
      <c r="I145" s="452">
        <f>+F145/E145</f>
        <v>0.6070983132553236</v>
      </c>
    </row>
    <row r="146" spans="1:9" ht="22.5" x14ac:dyDescent="0.25">
      <c r="A146" s="482">
        <v>29801</v>
      </c>
      <c r="B146" s="481" t="s">
        <v>587</v>
      </c>
      <c r="C146" s="454">
        <v>793156.87575247907</v>
      </c>
      <c r="D146" s="454">
        <v>271176.90000000002</v>
      </c>
      <c r="E146" s="453">
        <f>+C146+D146</f>
        <v>1064333.7757524792</v>
      </c>
      <c r="F146" s="454">
        <v>646155.24</v>
      </c>
      <c r="G146" s="454">
        <v>616257.59</v>
      </c>
      <c r="H146" s="453">
        <f>+E146-F146</f>
        <v>418178.53575247922</v>
      </c>
      <c r="I146" s="452">
        <f>+F146/E146</f>
        <v>0.6070983132553236</v>
      </c>
    </row>
    <row r="147" spans="1:9" x14ac:dyDescent="0.25">
      <c r="A147" s="482"/>
      <c r="B147" s="481"/>
      <c r="C147" s="454">
        <v>0</v>
      </c>
      <c r="D147" s="454">
        <v>0</v>
      </c>
      <c r="E147" s="453">
        <f>+C147+D147</f>
        <v>0</v>
      </c>
      <c r="F147" s="454">
        <v>0</v>
      </c>
      <c r="G147" s="454">
        <v>0</v>
      </c>
      <c r="H147" s="453">
        <f>+E147-F147</f>
        <v>0</v>
      </c>
      <c r="I147" s="452"/>
    </row>
    <row r="148" spans="1:9" x14ac:dyDescent="0.25">
      <c r="A148" s="483">
        <v>3000</v>
      </c>
      <c r="B148" s="478" t="s">
        <v>586</v>
      </c>
      <c r="C148" s="453">
        <f>C149+C166+C180+C199+C208+C225+C234+C249+C258</f>
        <v>174368088.12890899</v>
      </c>
      <c r="D148" s="453">
        <f>D149+D166+D180+D199+D208+D225+D234+D249+D258</f>
        <v>2153984.0200000014</v>
      </c>
      <c r="E148" s="453">
        <f>+C148+D148</f>
        <v>176522072.148909</v>
      </c>
      <c r="F148" s="453">
        <v>100645816.70999999</v>
      </c>
      <c r="G148" s="453">
        <v>83775530.13000001</v>
      </c>
      <c r="H148" s="453">
        <f>+E148-F148</f>
        <v>75876255.438909009</v>
      </c>
      <c r="I148" s="452">
        <f>+F148/E148</f>
        <v>0.57015995498340877</v>
      </c>
    </row>
    <row r="149" spans="1:9" x14ac:dyDescent="0.25">
      <c r="A149" s="480">
        <v>3100</v>
      </c>
      <c r="B149" s="478" t="s">
        <v>585</v>
      </c>
      <c r="C149" s="453">
        <f>C150+C152+C154+C156+C158+C160+C162+C164</f>
        <v>111236399.01198274</v>
      </c>
      <c r="D149" s="453">
        <f>D150+D152+D154+D156+D158+D160+D162+D164</f>
        <v>-17610894.690000001</v>
      </c>
      <c r="E149" s="453">
        <f>+C149+D149</f>
        <v>93625504.321982741</v>
      </c>
      <c r="F149" s="453">
        <v>57331769.040000007</v>
      </c>
      <c r="G149" s="453">
        <v>52538862.719999999</v>
      </c>
      <c r="H149" s="453">
        <f>+E149-F149</f>
        <v>36293735.281982735</v>
      </c>
      <c r="I149" s="452">
        <f>+F149/E149</f>
        <v>0.61235204504568774</v>
      </c>
    </row>
    <row r="150" spans="1:9" x14ac:dyDescent="0.25">
      <c r="A150" s="479">
        <v>311</v>
      </c>
      <c r="B150" s="478" t="s">
        <v>584</v>
      </c>
      <c r="C150" s="453">
        <f>C151</f>
        <v>110500794.92643769</v>
      </c>
      <c r="D150" s="453">
        <f>D151</f>
        <v>-17612226.690000001</v>
      </c>
      <c r="E150" s="453">
        <f>+C150+D150</f>
        <v>92888568.236437693</v>
      </c>
      <c r="F150" s="453">
        <v>56962762.539999999</v>
      </c>
      <c r="G150" s="453">
        <v>52232570</v>
      </c>
      <c r="H150" s="453">
        <f>+E150-F150</f>
        <v>35925805.696437694</v>
      </c>
      <c r="I150" s="452">
        <f>+F150/E150</f>
        <v>0.61323759878618778</v>
      </c>
    </row>
    <row r="151" spans="1:9" x14ac:dyDescent="0.25">
      <c r="A151" s="482">
        <v>31101</v>
      </c>
      <c r="B151" s="481" t="s">
        <v>584</v>
      </c>
      <c r="C151" s="454">
        <v>110500794.92643769</v>
      </c>
      <c r="D151" s="454">
        <f>-3229673.69-14382553</f>
        <v>-17612226.690000001</v>
      </c>
      <c r="E151" s="453">
        <f>+C151+D151</f>
        <v>92888568.236437693</v>
      </c>
      <c r="F151" s="454">
        <v>56962762.539999999</v>
      </c>
      <c r="G151" s="454">
        <v>52232570</v>
      </c>
      <c r="H151" s="453">
        <f>+E151-F151</f>
        <v>35925805.696437694</v>
      </c>
      <c r="I151" s="452">
        <f>+F151/E151</f>
        <v>0.61323759878618778</v>
      </c>
    </row>
    <row r="152" spans="1:9" x14ac:dyDescent="0.25">
      <c r="A152" s="479">
        <v>312</v>
      </c>
      <c r="B152" s="478" t="s">
        <v>583</v>
      </c>
      <c r="C152" s="453">
        <f>C153</f>
        <v>4499.7</v>
      </c>
      <c r="D152" s="453">
        <f>D153</f>
        <v>0</v>
      </c>
      <c r="E152" s="453">
        <f>+C152+D152</f>
        <v>4499.7</v>
      </c>
      <c r="F152" s="453">
        <v>1700.67</v>
      </c>
      <c r="G152" s="453">
        <v>1900.67</v>
      </c>
      <c r="H152" s="453">
        <f>+E152-F152</f>
        <v>2799.0299999999997</v>
      </c>
      <c r="I152" s="452">
        <f>+F152/E152</f>
        <v>0.37795186345756387</v>
      </c>
    </row>
    <row r="153" spans="1:9" x14ac:dyDescent="0.25">
      <c r="A153" s="482">
        <v>31201</v>
      </c>
      <c r="B153" s="481" t="s">
        <v>583</v>
      </c>
      <c r="C153" s="454">
        <v>4499.7</v>
      </c>
      <c r="D153" s="454">
        <v>0</v>
      </c>
      <c r="E153" s="453">
        <f>+C153+D153</f>
        <v>4499.7</v>
      </c>
      <c r="F153" s="454">
        <v>1700.67</v>
      </c>
      <c r="G153" s="454">
        <v>1900.67</v>
      </c>
      <c r="H153" s="453">
        <f>+E153-F153</f>
        <v>2799.0299999999997</v>
      </c>
      <c r="I153" s="452">
        <f>+F153/E153</f>
        <v>0.37795186345756387</v>
      </c>
    </row>
    <row r="154" spans="1:9" x14ac:dyDescent="0.25">
      <c r="A154" s="479">
        <v>313</v>
      </c>
      <c r="B154" s="478" t="s">
        <v>582</v>
      </c>
      <c r="C154" s="453">
        <f>C155</f>
        <v>49364</v>
      </c>
      <c r="D154" s="453">
        <f>D155</f>
        <v>0</v>
      </c>
      <c r="E154" s="453">
        <f>+C154+D154</f>
        <v>49364</v>
      </c>
      <c r="F154" s="453">
        <v>22898.799999999999</v>
      </c>
      <c r="G154" s="453">
        <v>22898.799999999999</v>
      </c>
      <c r="H154" s="453">
        <f>+E154-F154</f>
        <v>26465.200000000001</v>
      </c>
      <c r="I154" s="452">
        <f>+F154/E154</f>
        <v>0.46387650919698564</v>
      </c>
    </row>
    <row r="155" spans="1:9" x14ac:dyDescent="0.25">
      <c r="A155" s="482">
        <v>31301</v>
      </c>
      <c r="B155" s="481" t="s">
        <v>581</v>
      </c>
      <c r="C155" s="454">
        <v>49364</v>
      </c>
      <c r="D155" s="454">
        <v>0</v>
      </c>
      <c r="E155" s="453">
        <f>+C155+D155</f>
        <v>49364</v>
      </c>
      <c r="F155" s="454">
        <v>22898.799999999999</v>
      </c>
      <c r="G155" s="454">
        <v>22898.799999999999</v>
      </c>
      <c r="H155" s="453">
        <f>+E155-F155</f>
        <v>26465.200000000001</v>
      </c>
      <c r="I155" s="452">
        <f>+F155/E155</f>
        <v>0.46387650919698564</v>
      </c>
    </row>
    <row r="156" spans="1:9" x14ac:dyDescent="0.25">
      <c r="A156" s="479">
        <v>314</v>
      </c>
      <c r="B156" s="478" t="s">
        <v>580</v>
      </c>
      <c r="C156" s="453">
        <f>C157</f>
        <v>418510.70516212622</v>
      </c>
      <c r="D156" s="453">
        <f>D157</f>
        <v>-1466</v>
      </c>
      <c r="E156" s="453">
        <f>+C156+D156</f>
        <v>417044.70516212622</v>
      </c>
      <c r="F156" s="453">
        <v>213260.87000000002</v>
      </c>
      <c r="G156" s="453">
        <v>195156.76000000004</v>
      </c>
      <c r="H156" s="453">
        <f>+E156-F156</f>
        <v>203783.8351621262</v>
      </c>
      <c r="I156" s="452">
        <f>+F156/E156</f>
        <v>0.51136213302862776</v>
      </c>
    </row>
    <row r="157" spans="1:9" x14ac:dyDescent="0.25">
      <c r="A157" s="482">
        <v>31401</v>
      </c>
      <c r="B157" s="481" t="s">
        <v>580</v>
      </c>
      <c r="C157" s="454">
        <v>418510.70516212622</v>
      </c>
      <c r="D157" s="454">
        <v>-1466</v>
      </c>
      <c r="E157" s="453">
        <f>+C157+D157</f>
        <v>417044.70516212622</v>
      </c>
      <c r="F157" s="454">
        <v>213260.87000000002</v>
      </c>
      <c r="G157" s="454">
        <v>195156.76000000004</v>
      </c>
      <c r="H157" s="453">
        <f>+E157-F157</f>
        <v>203783.8351621262</v>
      </c>
      <c r="I157" s="452">
        <f>+F157/E157</f>
        <v>0.51136213302862776</v>
      </c>
    </row>
    <row r="158" spans="1:9" x14ac:dyDescent="0.25">
      <c r="A158" s="479">
        <v>315</v>
      </c>
      <c r="B158" s="478" t="s">
        <v>579</v>
      </c>
      <c r="C158" s="453">
        <f>C159</f>
        <v>3500</v>
      </c>
      <c r="D158" s="453">
        <f>D159</f>
        <v>2798</v>
      </c>
      <c r="E158" s="453">
        <f>+C158+D158</f>
        <v>6298</v>
      </c>
      <c r="F158" s="453">
        <v>3458.48</v>
      </c>
      <c r="G158" s="453">
        <v>3458.48</v>
      </c>
      <c r="H158" s="453">
        <f>+E158-F158</f>
        <v>2839.52</v>
      </c>
      <c r="I158" s="452">
        <f>+F158/E158</f>
        <v>0.54913940933629724</v>
      </c>
    </row>
    <row r="159" spans="1:9" x14ac:dyDescent="0.25">
      <c r="A159" s="482">
        <v>31501</v>
      </c>
      <c r="B159" s="481" t="s">
        <v>579</v>
      </c>
      <c r="C159" s="454">
        <v>3500</v>
      </c>
      <c r="D159" s="454">
        <v>2798</v>
      </c>
      <c r="E159" s="453">
        <f>+C159+D159</f>
        <v>6298</v>
      </c>
      <c r="F159" s="454">
        <v>3458.48</v>
      </c>
      <c r="G159" s="454">
        <v>3458.48</v>
      </c>
      <c r="H159" s="453">
        <f>+E159-F159</f>
        <v>2839.52</v>
      </c>
      <c r="I159" s="452">
        <f>+F159/E159</f>
        <v>0.54913940933629724</v>
      </c>
    </row>
    <row r="160" spans="1:9" x14ac:dyDescent="0.25">
      <c r="A160" s="479">
        <v>316</v>
      </c>
      <c r="B160" s="478" t="s">
        <v>578</v>
      </c>
      <c r="C160" s="453">
        <f>C161</f>
        <v>0</v>
      </c>
      <c r="D160" s="453">
        <v>0</v>
      </c>
      <c r="E160" s="453">
        <f>+C160+D160</f>
        <v>0</v>
      </c>
      <c r="F160" s="453">
        <v>0</v>
      </c>
      <c r="G160" s="453">
        <v>0</v>
      </c>
      <c r="H160" s="453">
        <f>+E160-F160</f>
        <v>0</v>
      </c>
      <c r="I160" s="452"/>
    </row>
    <row r="161" spans="1:9" x14ac:dyDescent="0.25">
      <c r="A161" s="482">
        <v>31601</v>
      </c>
      <c r="B161" s="481" t="s">
        <v>578</v>
      </c>
      <c r="C161" s="454">
        <v>0</v>
      </c>
      <c r="D161" s="454">
        <v>0</v>
      </c>
      <c r="E161" s="453">
        <f>+C161+D161</f>
        <v>0</v>
      </c>
      <c r="F161" s="454">
        <v>0</v>
      </c>
      <c r="G161" s="454">
        <v>0</v>
      </c>
      <c r="H161" s="453">
        <f>+E161-F161</f>
        <v>0</v>
      </c>
      <c r="I161" s="452"/>
    </row>
    <row r="162" spans="1:9" ht="22.5" x14ac:dyDescent="0.25">
      <c r="A162" s="479">
        <v>317</v>
      </c>
      <c r="B162" s="478" t="s">
        <v>577</v>
      </c>
      <c r="C162" s="453">
        <f>C163</f>
        <v>221230.98402013246</v>
      </c>
      <c r="D162" s="453">
        <f>D163</f>
        <v>0</v>
      </c>
      <c r="E162" s="453">
        <f>+C162+D162</f>
        <v>221230.98402013246</v>
      </c>
      <c r="F162" s="453">
        <v>114886.82999999999</v>
      </c>
      <c r="G162" s="453">
        <v>70077.16</v>
      </c>
      <c r="H162" s="453">
        <f>+E162-F162</f>
        <v>106344.15402013247</v>
      </c>
      <c r="I162" s="452">
        <f>+F162/E162</f>
        <v>0.51930714184928572</v>
      </c>
    </row>
    <row r="163" spans="1:9" ht="22.5" x14ac:dyDescent="0.25">
      <c r="A163" s="482">
        <v>31701</v>
      </c>
      <c r="B163" s="481" t="s">
        <v>577</v>
      </c>
      <c r="C163" s="454">
        <v>221230.98402013246</v>
      </c>
      <c r="D163" s="454">
        <v>0</v>
      </c>
      <c r="E163" s="453">
        <f>+C163+D163</f>
        <v>221230.98402013246</v>
      </c>
      <c r="F163" s="454">
        <v>114886.82999999999</v>
      </c>
      <c r="G163" s="454">
        <v>70077.16</v>
      </c>
      <c r="H163" s="453">
        <f>+E163-F163</f>
        <v>106344.15402013247</v>
      </c>
      <c r="I163" s="452">
        <f>+F163/E163</f>
        <v>0.51930714184928572</v>
      </c>
    </row>
    <row r="164" spans="1:9" x14ac:dyDescent="0.25">
      <c r="A164" s="479">
        <v>318</v>
      </c>
      <c r="B164" s="478" t="s">
        <v>576</v>
      </c>
      <c r="C164" s="453">
        <f>C165</f>
        <v>38498.696362792172</v>
      </c>
      <c r="D164" s="453">
        <f>D165</f>
        <v>0</v>
      </c>
      <c r="E164" s="453">
        <f>+C164+D164</f>
        <v>38498.696362792172</v>
      </c>
      <c r="F164" s="453">
        <v>12800.85</v>
      </c>
      <c r="G164" s="453">
        <v>12800.85</v>
      </c>
      <c r="H164" s="453">
        <f>+E164-F164</f>
        <v>25697.846362792174</v>
      </c>
      <c r="I164" s="452">
        <f>+F164/E164</f>
        <v>0.33250086910401555</v>
      </c>
    </row>
    <row r="165" spans="1:9" x14ac:dyDescent="0.25">
      <c r="A165" s="482">
        <v>31801</v>
      </c>
      <c r="B165" s="481" t="s">
        <v>575</v>
      </c>
      <c r="C165" s="454">
        <v>38498.696362792172</v>
      </c>
      <c r="D165" s="454">
        <v>0</v>
      </c>
      <c r="E165" s="453">
        <f>+C165+D165</f>
        <v>38498.696362792172</v>
      </c>
      <c r="F165" s="454">
        <v>12800.85</v>
      </c>
      <c r="G165" s="454">
        <v>12800.85</v>
      </c>
      <c r="H165" s="453">
        <f>+E165-F165</f>
        <v>25697.846362792174</v>
      </c>
      <c r="I165" s="452">
        <f>+F165/E165</f>
        <v>0.33250086910401555</v>
      </c>
    </row>
    <row r="166" spans="1:9" x14ac:dyDescent="0.25">
      <c r="A166" s="480">
        <v>3200</v>
      </c>
      <c r="B166" s="478" t="s">
        <v>574</v>
      </c>
      <c r="C166" s="453">
        <f>C167+C169+C171+C174+C176+C178</f>
        <v>5424645.4848321658</v>
      </c>
      <c r="D166" s="453">
        <f>D167+D169+D171+D174+D176+D178</f>
        <v>1031376.01</v>
      </c>
      <c r="E166" s="453">
        <f>+C166+D166</f>
        <v>6456021.4948321655</v>
      </c>
      <c r="F166" s="453">
        <v>3432337.64</v>
      </c>
      <c r="G166" s="453">
        <v>2544829.2900000005</v>
      </c>
      <c r="H166" s="453">
        <f>+E166-F166</f>
        <v>3023683.8548321654</v>
      </c>
      <c r="I166" s="452">
        <f>+F166/E166</f>
        <v>0.53164904155716863</v>
      </c>
    </row>
    <row r="167" spans="1:9" x14ac:dyDescent="0.25">
      <c r="A167" s="479">
        <v>321</v>
      </c>
      <c r="B167" s="478" t="s">
        <v>573</v>
      </c>
      <c r="C167" s="453">
        <f>C168</f>
        <v>736471.67713733204</v>
      </c>
      <c r="D167" s="453">
        <f>D168</f>
        <v>190000</v>
      </c>
      <c r="E167" s="453">
        <f>+C167+D167</f>
        <v>926471.67713733204</v>
      </c>
      <c r="F167" s="453">
        <v>78571.44</v>
      </c>
      <c r="G167" s="453">
        <v>78571.44</v>
      </c>
      <c r="H167" s="453">
        <f>+E167-F167</f>
        <v>847900.23713733209</v>
      </c>
      <c r="I167" s="452">
        <f>+F167/E167</f>
        <v>8.4807168895626436E-2</v>
      </c>
    </row>
    <row r="168" spans="1:9" x14ac:dyDescent="0.25">
      <c r="A168" s="482">
        <v>32101</v>
      </c>
      <c r="B168" s="481" t="s">
        <v>573</v>
      </c>
      <c r="C168" s="454">
        <v>736471.67713733204</v>
      </c>
      <c r="D168" s="454">
        <v>190000</v>
      </c>
      <c r="E168" s="453">
        <f>+C168+D168</f>
        <v>926471.67713733204</v>
      </c>
      <c r="F168" s="454">
        <v>78571.44</v>
      </c>
      <c r="G168" s="454">
        <v>78571.44</v>
      </c>
      <c r="H168" s="453">
        <f>+E168-F168</f>
        <v>847900.23713733209</v>
      </c>
      <c r="I168" s="452">
        <f>+F168/E168</f>
        <v>8.4807168895626436E-2</v>
      </c>
    </row>
    <row r="169" spans="1:9" x14ac:dyDescent="0.25">
      <c r="A169" s="479">
        <v>322</v>
      </c>
      <c r="B169" s="478" t="s">
        <v>572</v>
      </c>
      <c r="C169" s="453">
        <f>C170</f>
        <v>2580110.8765796819</v>
      </c>
      <c r="D169" s="453">
        <f>D170</f>
        <v>64544</v>
      </c>
      <c r="E169" s="453">
        <f>+C169+D169</f>
        <v>2644654.8765796819</v>
      </c>
      <c r="F169" s="453">
        <v>1194271.26</v>
      </c>
      <c r="G169" s="453">
        <v>1010705.52</v>
      </c>
      <c r="H169" s="453">
        <f>+E169-F169</f>
        <v>1450383.6165796819</v>
      </c>
      <c r="I169" s="452">
        <f>+F169/E169</f>
        <v>0.45157924785427755</v>
      </c>
    </row>
    <row r="170" spans="1:9" x14ac:dyDescent="0.25">
      <c r="A170" s="482">
        <v>32201</v>
      </c>
      <c r="B170" s="481" t="s">
        <v>572</v>
      </c>
      <c r="C170" s="454">
        <v>2580110.8765796819</v>
      </c>
      <c r="D170" s="454">
        <v>64544</v>
      </c>
      <c r="E170" s="453">
        <f>+C170+D170</f>
        <v>2644654.8765796819</v>
      </c>
      <c r="F170" s="454">
        <v>1194271.26</v>
      </c>
      <c r="G170" s="454">
        <v>1010705.52</v>
      </c>
      <c r="H170" s="453">
        <f>+E170-F170</f>
        <v>1450383.6165796819</v>
      </c>
      <c r="I170" s="452">
        <f>+F170/E170</f>
        <v>0.45157924785427755</v>
      </c>
    </row>
    <row r="171" spans="1:9" ht="22.5" x14ac:dyDescent="0.25">
      <c r="A171" s="479">
        <v>323</v>
      </c>
      <c r="B171" s="478" t="s">
        <v>571</v>
      </c>
      <c r="C171" s="453">
        <f>C172+C173</f>
        <v>692137.39333269931</v>
      </c>
      <c r="D171" s="453">
        <f>D172+D173</f>
        <v>182795.01</v>
      </c>
      <c r="E171" s="453">
        <f>+C171+D171</f>
        <v>874932.40333269932</v>
      </c>
      <c r="F171" s="453">
        <v>429251.03</v>
      </c>
      <c r="G171" s="453">
        <v>407953.43</v>
      </c>
      <c r="H171" s="453">
        <f>+E171-F171</f>
        <v>445681.3733326993</v>
      </c>
      <c r="I171" s="452">
        <f>+F171/E171</f>
        <v>0.49061050701167624</v>
      </c>
    </row>
    <row r="172" spans="1:9" x14ac:dyDescent="0.25">
      <c r="A172" s="482">
        <v>32301</v>
      </c>
      <c r="B172" s="481" t="s">
        <v>570</v>
      </c>
      <c r="C172" s="454">
        <v>59453.968637635495</v>
      </c>
      <c r="D172" s="454">
        <v>0</v>
      </c>
      <c r="E172" s="453">
        <f>+C172+D172</f>
        <v>59453.968637635495</v>
      </c>
      <c r="F172" s="454">
        <v>0</v>
      </c>
      <c r="G172" s="454">
        <v>0</v>
      </c>
      <c r="H172" s="453">
        <f>+E172-F172</f>
        <v>59453.968637635495</v>
      </c>
      <c r="I172" s="452">
        <f>+F172/E172</f>
        <v>0</v>
      </c>
    </row>
    <row r="173" spans="1:9" x14ac:dyDescent="0.25">
      <c r="A173" s="482">
        <v>32302</v>
      </c>
      <c r="B173" s="481" t="s">
        <v>569</v>
      </c>
      <c r="C173" s="454">
        <v>632683.42469506385</v>
      </c>
      <c r="D173" s="454">
        <v>182795.01</v>
      </c>
      <c r="E173" s="453">
        <f>+C173+D173</f>
        <v>815478.43469506386</v>
      </c>
      <c r="F173" s="454">
        <v>429251.03</v>
      </c>
      <c r="G173" s="454">
        <v>407953.43</v>
      </c>
      <c r="H173" s="453">
        <f>+E173-F173</f>
        <v>386227.40469506383</v>
      </c>
      <c r="I173" s="452">
        <f>+F173/E173</f>
        <v>0.5263793764951149</v>
      </c>
    </row>
    <row r="174" spans="1:9" x14ac:dyDescent="0.25">
      <c r="A174" s="479">
        <v>325</v>
      </c>
      <c r="B174" s="478" t="s">
        <v>568</v>
      </c>
      <c r="C174" s="453">
        <f>C175</f>
        <v>10000</v>
      </c>
      <c r="D174" s="453">
        <f>D175</f>
        <v>0</v>
      </c>
      <c r="E174" s="453">
        <f>+C174+D174</f>
        <v>10000</v>
      </c>
      <c r="F174" s="453">
        <v>0</v>
      </c>
      <c r="G174" s="453">
        <v>0</v>
      </c>
      <c r="H174" s="453">
        <f>+E174-F174</f>
        <v>10000</v>
      </c>
      <c r="I174" s="452">
        <f>+F174/E174</f>
        <v>0</v>
      </c>
    </row>
    <row r="175" spans="1:9" x14ac:dyDescent="0.25">
      <c r="A175" s="482">
        <v>32501</v>
      </c>
      <c r="B175" s="481" t="s">
        <v>568</v>
      </c>
      <c r="C175" s="454">
        <v>10000</v>
      </c>
      <c r="D175" s="454">
        <v>0</v>
      </c>
      <c r="E175" s="453">
        <f>+C175+D175</f>
        <v>10000</v>
      </c>
      <c r="F175" s="454">
        <v>0</v>
      </c>
      <c r="G175" s="454">
        <v>0</v>
      </c>
      <c r="H175" s="453">
        <f>+E175-F175</f>
        <v>10000</v>
      </c>
      <c r="I175" s="452">
        <f>+F175/E175</f>
        <v>0</v>
      </c>
    </row>
    <row r="176" spans="1:9" ht="22.5" x14ac:dyDescent="0.25">
      <c r="A176" s="479">
        <v>326</v>
      </c>
      <c r="B176" s="478" t="s">
        <v>567</v>
      </c>
      <c r="C176" s="453">
        <f>C177</f>
        <v>1398239.1990758115</v>
      </c>
      <c r="D176" s="453">
        <f>D177</f>
        <v>594037</v>
      </c>
      <c r="E176" s="453">
        <f>+C176+D176</f>
        <v>1992276.1990758115</v>
      </c>
      <c r="F176" s="453">
        <v>1730243.9100000001</v>
      </c>
      <c r="G176" s="453">
        <v>1047598.9</v>
      </c>
      <c r="H176" s="453">
        <f>+E176-F176</f>
        <v>262032.28907581139</v>
      </c>
      <c r="I176" s="452">
        <f>+F176/E176</f>
        <v>0.86847592256667805</v>
      </c>
    </row>
    <row r="177" spans="1:9" ht="22.5" x14ac:dyDescent="0.25">
      <c r="A177" s="482">
        <v>32601</v>
      </c>
      <c r="B177" s="481" t="s">
        <v>567</v>
      </c>
      <c r="C177" s="454">
        <v>1398239.1990758115</v>
      </c>
      <c r="D177" s="454">
        <v>594037</v>
      </c>
      <c r="E177" s="453">
        <f>+C177+D177</f>
        <v>1992276.1990758115</v>
      </c>
      <c r="F177" s="454">
        <v>1730243.9100000001</v>
      </c>
      <c r="G177" s="454">
        <v>1047598.9</v>
      </c>
      <c r="H177" s="453">
        <f>+E177-F177</f>
        <v>262032.28907581139</v>
      </c>
      <c r="I177" s="452">
        <f>+F177/E177</f>
        <v>0.86847592256667805</v>
      </c>
    </row>
    <row r="178" spans="1:9" x14ac:dyDescent="0.25">
      <c r="A178" s="479">
        <v>329</v>
      </c>
      <c r="B178" s="478" t="s">
        <v>566</v>
      </c>
      <c r="C178" s="453">
        <f>C179</f>
        <v>7686.3387066406913</v>
      </c>
      <c r="D178" s="453">
        <f>D179</f>
        <v>0</v>
      </c>
      <c r="E178" s="453">
        <f>+C178+D178</f>
        <v>7686.3387066406913</v>
      </c>
      <c r="F178" s="453">
        <v>0</v>
      </c>
      <c r="G178" s="453">
        <v>0</v>
      </c>
      <c r="H178" s="453">
        <f>+E178-F178</f>
        <v>7686.3387066406913</v>
      </c>
      <c r="I178" s="452">
        <f>+F178/E178</f>
        <v>0</v>
      </c>
    </row>
    <row r="179" spans="1:9" x14ac:dyDescent="0.25">
      <c r="A179" s="482">
        <v>32901</v>
      </c>
      <c r="B179" s="481" t="s">
        <v>566</v>
      </c>
      <c r="C179" s="454">
        <v>7686.3387066406913</v>
      </c>
      <c r="D179" s="454">
        <v>0</v>
      </c>
      <c r="E179" s="453">
        <f>+C179+D179</f>
        <v>7686.3387066406913</v>
      </c>
      <c r="F179" s="454">
        <v>0</v>
      </c>
      <c r="G179" s="454">
        <v>0</v>
      </c>
      <c r="H179" s="453">
        <f>+E179-F179</f>
        <v>7686.3387066406913</v>
      </c>
      <c r="I179" s="452">
        <f>+F179/E179</f>
        <v>0</v>
      </c>
    </row>
    <row r="180" spans="1:9" ht="22.5" x14ac:dyDescent="0.25">
      <c r="A180" s="480">
        <v>3300</v>
      </c>
      <c r="B180" s="478" t="s">
        <v>565</v>
      </c>
      <c r="C180" s="453">
        <f>C181+C183+C185+C188+C190+C195+C197</f>
        <v>15544134.88463385</v>
      </c>
      <c r="D180" s="453">
        <f>D181+D183+D185+D188+D190+D195+D197</f>
        <v>-1363903.07</v>
      </c>
      <c r="E180" s="453">
        <f>+C180+D180</f>
        <v>14180231.81463385</v>
      </c>
      <c r="F180" s="453">
        <v>4862880.4800000004</v>
      </c>
      <c r="G180" s="453">
        <v>2516852.0699999998</v>
      </c>
      <c r="H180" s="453">
        <f>+E180-F180</f>
        <v>9317351.3346338496</v>
      </c>
      <c r="I180" s="452">
        <f>+F180/E180</f>
        <v>0.34293377876809877</v>
      </c>
    </row>
    <row r="181" spans="1:9" ht="22.5" x14ac:dyDescent="0.25">
      <c r="A181" s="479">
        <v>331</v>
      </c>
      <c r="B181" s="478" t="s">
        <v>564</v>
      </c>
      <c r="C181" s="453">
        <f>C182</f>
        <v>9403867.5919109844</v>
      </c>
      <c r="D181" s="453">
        <f>D182</f>
        <v>-2236147</v>
      </c>
      <c r="E181" s="453">
        <f>+C181+D181</f>
        <v>7167720.5919109844</v>
      </c>
      <c r="F181" s="453">
        <v>2420566.62</v>
      </c>
      <c r="G181" s="453">
        <v>697628.46</v>
      </c>
      <c r="H181" s="453">
        <f>+E181-F181</f>
        <v>4747153.9719109843</v>
      </c>
      <c r="I181" s="452">
        <f>+F181/E181</f>
        <v>0.33770381936088462</v>
      </c>
    </row>
    <row r="182" spans="1:9" ht="22.5" x14ac:dyDescent="0.25">
      <c r="A182" s="470">
        <v>33101</v>
      </c>
      <c r="B182" s="469" t="s">
        <v>564</v>
      </c>
      <c r="C182" s="454">
        <v>9403867.5919109844</v>
      </c>
      <c r="D182" s="454">
        <f>-1986147-250000</f>
        <v>-2236147</v>
      </c>
      <c r="E182" s="453">
        <f>+C182+D182</f>
        <v>7167720.5919109844</v>
      </c>
      <c r="F182" s="454">
        <v>2420566.62</v>
      </c>
      <c r="G182" s="454">
        <v>697628.46</v>
      </c>
      <c r="H182" s="453">
        <f>+E182-F182</f>
        <v>4747153.9719109843</v>
      </c>
      <c r="I182" s="452">
        <f>+F182/E182</f>
        <v>0.33770381936088462</v>
      </c>
    </row>
    <row r="183" spans="1:9" ht="22.5" x14ac:dyDescent="0.25">
      <c r="A183" s="473">
        <v>332</v>
      </c>
      <c r="B183" s="477" t="s">
        <v>563</v>
      </c>
      <c r="C183" s="453">
        <f>C184</f>
        <v>836161.71267733793</v>
      </c>
      <c r="D183" s="453">
        <f>D184</f>
        <v>85528</v>
      </c>
      <c r="E183" s="453">
        <f>+C183+D183</f>
        <v>921689.71267733793</v>
      </c>
      <c r="F183" s="453">
        <v>309494.68</v>
      </c>
      <c r="G183" s="453">
        <v>258811.45</v>
      </c>
      <c r="H183" s="453">
        <f>+E183-F183</f>
        <v>612195.03267733799</v>
      </c>
      <c r="I183" s="452">
        <f>+F183/E183</f>
        <v>0.3357905331296096</v>
      </c>
    </row>
    <row r="184" spans="1:9" ht="22.5" x14ac:dyDescent="0.25">
      <c r="A184" s="470">
        <v>33201</v>
      </c>
      <c r="B184" s="469" t="s">
        <v>563</v>
      </c>
      <c r="C184" s="454">
        <v>836161.71267733793</v>
      </c>
      <c r="D184" s="454">
        <v>85528</v>
      </c>
      <c r="E184" s="453">
        <f>+C184+D184</f>
        <v>921689.71267733793</v>
      </c>
      <c r="F184" s="454">
        <v>309494.68</v>
      </c>
      <c r="G184" s="454">
        <v>258811.45</v>
      </c>
      <c r="H184" s="453">
        <f>+E184-F184</f>
        <v>612195.03267733799</v>
      </c>
      <c r="I184" s="452">
        <f>+F184/E184</f>
        <v>0.3357905331296096</v>
      </c>
    </row>
    <row r="185" spans="1:9" ht="33.75" x14ac:dyDescent="0.25">
      <c r="A185" s="473">
        <v>333</v>
      </c>
      <c r="B185" s="477" t="s">
        <v>562</v>
      </c>
      <c r="C185" s="453">
        <f>C186+C187</f>
        <v>745197.26600925426</v>
      </c>
      <c r="D185" s="453">
        <f>D186+D187</f>
        <v>320182.8</v>
      </c>
      <c r="E185" s="453">
        <f>+C185+D185</f>
        <v>1065380.0660092542</v>
      </c>
      <c r="F185" s="453">
        <v>436085.63</v>
      </c>
      <c r="G185" s="453">
        <v>324124.96000000002</v>
      </c>
      <c r="H185" s="453">
        <f>+E185-F185</f>
        <v>629294.43600925419</v>
      </c>
      <c r="I185" s="452">
        <f>+F185/E185</f>
        <v>0.40932399986936874</v>
      </c>
    </row>
    <row r="186" spans="1:9" x14ac:dyDescent="0.25">
      <c r="A186" s="470">
        <v>33301</v>
      </c>
      <c r="B186" s="469" t="s">
        <v>561</v>
      </c>
      <c r="C186" s="454">
        <v>525197.26600925426</v>
      </c>
      <c r="D186" s="454">
        <v>320182.8</v>
      </c>
      <c r="E186" s="453">
        <f>+C186+D186</f>
        <v>845380.06600925419</v>
      </c>
      <c r="F186" s="454">
        <v>436085.63</v>
      </c>
      <c r="G186" s="454">
        <v>324124.96000000002</v>
      </c>
      <c r="H186" s="453">
        <f>+E186-F186</f>
        <v>409294.43600925419</v>
      </c>
      <c r="I186" s="452">
        <f>+F186/E186</f>
        <v>0.51584565041686969</v>
      </c>
    </row>
    <row r="187" spans="1:9" x14ac:dyDescent="0.25">
      <c r="A187" s="470">
        <v>33302</v>
      </c>
      <c r="B187" s="469" t="s">
        <v>560</v>
      </c>
      <c r="C187" s="454">
        <v>220000</v>
      </c>
      <c r="D187" s="454">
        <v>0</v>
      </c>
      <c r="E187" s="453">
        <f>+C187+D187</f>
        <v>220000</v>
      </c>
      <c r="F187" s="454">
        <v>0</v>
      </c>
      <c r="G187" s="454">
        <v>0</v>
      </c>
      <c r="H187" s="453">
        <f>+E187-F187</f>
        <v>220000</v>
      </c>
      <c r="I187" s="452">
        <f>+F187/E187</f>
        <v>0</v>
      </c>
    </row>
    <row r="188" spans="1:9" x14ac:dyDescent="0.25">
      <c r="A188" s="473">
        <v>334</v>
      </c>
      <c r="B188" s="477" t="s">
        <v>559</v>
      </c>
      <c r="C188" s="453">
        <f>C189</f>
        <v>265881.04072757409</v>
      </c>
      <c r="D188" s="453">
        <f>D189</f>
        <v>0</v>
      </c>
      <c r="E188" s="453">
        <f>+C188+D188</f>
        <v>265881.04072757409</v>
      </c>
      <c r="F188" s="453">
        <v>0</v>
      </c>
      <c r="G188" s="453">
        <v>0</v>
      </c>
      <c r="H188" s="453">
        <f>+E188-F188</f>
        <v>265881.04072757409</v>
      </c>
      <c r="I188" s="452">
        <f>+F188/E188</f>
        <v>0</v>
      </c>
    </row>
    <row r="189" spans="1:9" x14ac:dyDescent="0.25">
      <c r="A189" s="470">
        <v>33401</v>
      </c>
      <c r="B189" s="469" t="s">
        <v>559</v>
      </c>
      <c r="C189" s="454">
        <v>265881.04072757409</v>
      </c>
      <c r="D189" s="454">
        <v>0</v>
      </c>
      <c r="E189" s="453">
        <f>+C189+D189</f>
        <v>265881.04072757409</v>
      </c>
      <c r="F189" s="454">
        <v>0</v>
      </c>
      <c r="G189" s="454">
        <v>0</v>
      </c>
      <c r="H189" s="453">
        <f>+E189-F189</f>
        <v>265881.04072757409</v>
      </c>
      <c r="I189" s="452">
        <f>+F189/E189</f>
        <v>0</v>
      </c>
    </row>
    <row r="190" spans="1:9" ht="22.5" x14ac:dyDescent="0.25">
      <c r="A190" s="473">
        <v>336</v>
      </c>
      <c r="B190" s="477" t="s">
        <v>558</v>
      </c>
      <c r="C190" s="453">
        <f>C191+C192+C193+C194</f>
        <v>1747566.4327522446</v>
      </c>
      <c r="D190" s="453">
        <f>D191+D192+D193+D194</f>
        <v>67732.959999999992</v>
      </c>
      <c r="E190" s="453">
        <f>+C190+D190</f>
        <v>1815299.3927522446</v>
      </c>
      <c r="F190" s="453">
        <v>617737.64999999991</v>
      </c>
      <c r="G190" s="453">
        <v>500111.10000000003</v>
      </c>
      <c r="H190" s="453">
        <f>+E190-F190</f>
        <v>1197561.7427522447</v>
      </c>
      <c r="I190" s="452">
        <f>+F190/E190</f>
        <v>0.34029518902852951</v>
      </c>
    </row>
    <row r="191" spans="1:9" x14ac:dyDescent="0.25">
      <c r="A191" s="470">
        <v>33601</v>
      </c>
      <c r="B191" s="469" t="s">
        <v>557</v>
      </c>
      <c r="C191" s="454">
        <v>0</v>
      </c>
      <c r="D191" s="454">
        <v>0</v>
      </c>
      <c r="E191" s="453">
        <f>+C191+D191</f>
        <v>0</v>
      </c>
      <c r="F191" s="454">
        <v>0</v>
      </c>
      <c r="G191" s="454">
        <v>0</v>
      </c>
      <c r="H191" s="453">
        <f>+E191-F191</f>
        <v>0</v>
      </c>
      <c r="I191" s="452"/>
    </row>
    <row r="192" spans="1:9" x14ac:dyDescent="0.25">
      <c r="A192" s="470">
        <v>33603</v>
      </c>
      <c r="B192" s="469" t="s">
        <v>556</v>
      </c>
      <c r="C192" s="454">
        <v>1240362.7027522447</v>
      </c>
      <c r="D192" s="454">
        <v>-888</v>
      </c>
      <c r="E192" s="453">
        <f>+C192+D192</f>
        <v>1239474.7027522447</v>
      </c>
      <c r="F192" s="454">
        <v>408648.45999999996</v>
      </c>
      <c r="G192" s="454">
        <v>345051.46</v>
      </c>
      <c r="H192" s="453">
        <f>+E192-F192</f>
        <v>830826.2427522447</v>
      </c>
      <c r="I192" s="452">
        <f>+F192/E192</f>
        <v>0.32969487726744162</v>
      </c>
    </row>
    <row r="193" spans="1:9" x14ac:dyDescent="0.25">
      <c r="A193" s="470">
        <v>33605</v>
      </c>
      <c r="B193" s="469" t="s">
        <v>555</v>
      </c>
      <c r="C193" s="454">
        <v>397203.73</v>
      </c>
      <c r="D193" s="454">
        <v>68620.959999999992</v>
      </c>
      <c r="E193" s="453">
        <f>+C193+D193</f>
        <v>465824.68999999994</v>
      </c>
      <c r="F193" s="454">
        <v>171667.36</v>
      </c>
      <c r="G193" s="454">
        <v>123747.76</v>
      </c>
      <c r="H193" s="453">
        <f>+E193-F193</f>
        <v>294157.32999999996</v>
      </c>
      <c r="I193" s="452">
        <f>+F193/E193</f>
        <v>0.36852353188921783</v>
      </c>
    </row>
    <row r="194" spans="1:9" ht="22.5" x14ac:dyDescent="0.25">
      <c r="A194" s="470">
        <v>33608</v>
      </c>
      <c r="B194" s="469" t="s">
        <v>554</v>
      </c>
      <c r="C194" s="454">
        <v>110000</v>
      </c>
      <c r="D194" s="454"/>
      <c r="E194" s="453">
        <f>+C194+D194</f>
        <v>110000</v>
      </c>
      <c r="F194" s="454">
        <v>37421.83</v>
      </c>
      <c r="G194" s="454">
        <v>31311.88</v>
      </c>
      <c r="H194" s="453">
        <f>+E194-F194</f>
        <v>72578.17</v>
      </c>
      <c r="I194" s="452"/>
    </row>
    <row r="195" spans="1:9" x14ac:dyDescent="0.25">
      <c r="A195" s="473">
        <v>338</v>
      </c>
      <c r="B195" s="477" t="s">
        <v>553</v>
      </c>
      <c r="C195" s="453">
        <f>C196</f>
        <v>1320380.8405564548</v>
      </c>
      <c r="D195" s="453">
        <f>D196</f>
        <v>148800.17000000001</v>
      </c>
      <c r="E195" s="453">
        <f>+C195+D195</f>
        <v>1469181.0105564548</v>
      </c>
      <c r="F195" s="453">
        <v>19186.400000000001</v>
      </c>
      <c r="G195" s="453">
        <v>18838.400000000001</v>
      </c>
      <c r="H195" s="453">
        <f>+E195-F195</f>
        <v>1449994.6105564549</v>
      </c>
      <c r="I195" s="452">
        <f>+F195/E195</f>
        <v>1.3059248562389953E-2</v>
      </c>
    </row>
    <row r="196" spans="1:9" x14ac:dyDescent="0.25">
      <c r="A196" s="470">
        <v>33801</v>
      </c>
      <c r="B196" s="469" t="s">
        <v>553</v>
      </c>
      <c r="C196" s="454">
        <v>1320380.8405564548</v>
      </c>
      <c r="D196" s="454">
        <v>148800.17000000001</v>
      </c>
      <c r="E196" s="453">
        <f>+C196+D196</f>
        <v>1469181.0105564548</v>
      </c>
      <c r="F196" s="454">
        <v>19186.400000000001</v>
      </c>
      <c r="G196" s="454">
        <v>18838.400000000001</v>
      </c>
      <c r="H196" s="453">
        <f>+E196-F196</f>
        <v>1449994.6105564549</v>
      </c>
      <c r="I196" s="452">
        <f>+F196/E196</f>
        <v>1.3059248562389953E-2</v>
      </c>
    </row>
    <row r="197" spans="1:9" ht="22.5" x14ac:dyDescent="0.25">
      <c r="A197" s="473">
        <v>339</v>
      </c>
      <c r="B197" s="477" t="s">
        <v>552</v>
      </c>
      <c r="C197" s="453">
        <f>C198</f>
        <v>1225080</v>
      </c>
      <c r="D197" s="453">
        <f>D198</f>
        <v>250000</v>
      </c>
      <c r="E197" s="453">
        <f>+C197+D197</f>
        <v>1475080</v>
      </c>
      <c r="F197" s="453">
        <v>1059809.5</v>
      </c>
      <c r="G197" s="453">
        <v>717337.7</v>
      </c>
      <c r="H197" s="453">
        <f>+E197-F197</f>
        <v>415270.5</v>
      </c>
      <c r="I197" s="452">
        <f>+F197/E197</f>
        <v>0.71847594706727769</v>
      </c>
    </row>
    <row r="198" spans="1:9" ht="22.5" x14ac:dyDescent="0.25">
      <c r="A198" s="470">
        <v>33901</v>
      </c>
      <c r="B198" s="469" t="s">
        <v>551</v>
      </c>
      <c r="C198" s="454">
        <v>1225080</v>
      </c>
      <c r="D198" s="454">
        <v>250000</v>
      </c>
      <c r="E198" s="453">
        <f>+C198+D198</f>
        <v>1475080</v>
      </c>
      <c r="F198" s="454">
        <v>1059809.5</v>
      </c>
      <c r="G198" s="454">
        <v>717337.7</v>
      </c>
      <c r="H198" s="453">
        <f>+E198-F198</f>
        <v>415270.5</v>
      </c>
      <c r="I198" s="452">
        <f>+F198/E198</f>
        <v>0.71847594706727769</v>
      </c>
    </row>
    <row r="199" spans="1:9" x14ac:dyDescent="0.25">
      <c r="A199" s="474">
        <v>3400</v>
      </c>
      <c r="B199" s="477" t="s">
        <v>550</v>
      </c>
      <c r="C199" s="453">
        <f>C200+C202+C204+C206</f>
        <v>17119181.076834731</v>
      </c>
      <c r="D199" s="453">
        <f>D200+D202+D204+D206</f>
        <v>1284606.23</v>
      </c>
      <c r="E199" s="453">
        <f>+C199+D199</f>
        <v>18403787.306834731</v>
      </c>
      <c r="F199" s="453">
        <v>5520120.2199999997</v>
      </c>
      <c r="G199" s="453">
        <v>4768723.1499999994</v>
      </c>
      <c r="H199" s="453">
        <f>+E199-F199</f>
        <v>12883667.086834732</v>
      </c>
      <c r="I199" s="452">
        <f>+F199/E199</f>
        <v>0.29994479549054326</v>
      </c>
    </row>
    <row r="200" spans="1:9" x14ac:dyDescent="0.25">
      <c r="A200" s="473">
        <v>341</v>
      </c>
      <c r="B200" s="477" t="s">
        <v>549</v>
      </c>
      <c r="C200" s="453">
        <f>C201</f>
        <v>464642.94520270464</v>
      </c>
      <c r="D200" s="453">
        <f>D201</f>
        <v>19173</v>
      </c>
      <c r="E200" s="453">
        <f>+C200+D200</f>
        <v>483815.94520270464</v>
      </c>
      <c r="F200" s="453">
        <v>303210.13</v>
      </c>
      <c r="G200" s="453">
        <v>294798.98000000004</v>
      </c>
      <c r="H200" s="453">
        <f>+E200-F200</f>
        <v>180605.81520270463</v>
      </c>
      <c r="I200" s="452">
        <f>+F200/E200</f>
        <v>0.62670553338824719</v>
      </c>
    </row>
    <row r="201" spans="1:9" x14ac:dyDescent="0.25">
      <c r="A201" s="470">
        <v>34101</v>
      </c>
      <c r="B201" s="469" t="s">
        <v>549</v>
      </c>
      <c r="C201" s="454">
        <v>464642.94520270464</v>
      </c>
      <c r="D201" s="454">
        <v>19173</v>
      </c>
      <c r="E201" s="453">
        <f>+C201+D201</f>
        <v>483815.94520270464</v>
      </c>
      <c r="F201" s="454">
        <v>303210.13</v>
      </c>
      <c r="G201" s="454">
        <v>294798.98000000004</v>
      </c>
      <c r="H201" s="453">
        <f>+E201-F201</f>
        <v>180605.81520270463</v>
      </c>
      <c r="I201" s="452">
        <f>+F201/E201</f>
        <v>0.62670553338824719</v>
      </c>
    </row>
    <row r="202" spans="1:9" ht="22.5" x14ac:dyDescent="0.25">
      <c r="A202" s="473">
        <v>343</v>
      </c>
      <c r="B202" s="477" t="s">
        <v>548</v>
      </c>
      <c r="C202" s="453">
        <f>C203</f>
        <v>14737774.376984211</v>
      </c>
      <c r="D202" s="453">
        <f>D203</f>
        <v>601721.82999999996</v>
      </c>
      <c r="E202" s="453">
        <f>+C202+D202</f>
        <v>15339496.206984211</v>
      </c>
      <c r="F202" s="453">
        <v>3627772.35</v>
      </c>
      <c r="G202" s="453">
        <v>3548497.83</v>
      </c>
      <c r="H202" s="453">
        <f>+E202-F202</f>
        <v>11711723.856984211</v>
      </c>
      <c r="I202" s="452">
        <f>+F202/E202</f>
        <v>0.23649879377057004</v>
      </c>
    </row>
    <row r="203" spans="1:9" ht="22.5" x14ac:dyDescent="0.25">
      <c r="A203" s="470">
        <v>34301</v>
      </c>
      <c r="B203" s="469" t="s">
        <v>548</v>
      </c>
      <c r="C203" s="454">
        <v>14737774.376984211</v>
      </c>
      <c r="D203" s="454">
        <v>601721.82999999996</v>
      </c>
      <c r="E203" s="453">
        <f>+C203+D203</f>
        <v>15339496.206984211</v>
      </c>
      <c r="F203" s="454">
        <v>3627772.35</v>
      </c>
      <c r="G203" s="454">
        <v>3548497.83</v>
      </c>
      <c r="H203" s="453">
        <f>+E203-F203</f>
        <v>11711723.856984211</v>
      </c>
      <c r="I203" s="452">
        <f>+F203/E203</f>
        <v>0.23649879377057004</v>
      </c>
    </row>
    <row r="204" spans="1:9" ht="22.5" x14ac:dyDescent="0.25">
      <c r="A204" s="473">
        <v>344</v>
      </c>
      <c r="B204" s="477" t="s">
        <v>547</v>
      </c>
      <c r="C204" s="453">
        <f>C205</f>
        <v>1870029.4739672802</v>
      </c>
      <c r="D204" s="453">
        <f>D205</f>
        <v>663711.4</v>
      </c>
      <c r="E204" s="453">
        <f>+C204+D204</f>
        <v>2533740.8739672801</v>
      </c>
      <c r="F204" s="453">
        <v>1580393.15</v>
      </c>
      <c r="G204" s="453">
        <v>916681.75</v>
      </c>
      <c r="H204" s="453">
        <f>+E204-F204</f>
        <v>953347.72396728024</v>
      </c>
      <c r="I204" s="452">
        <f>+F204/E204</f>
        <v>0.62373905960061826</v>
      </c>
    </row>
    <row r="205" spans="1:9" x14ac:dyDescent="0.25">
      <c r="A205" s="470">
        <v>34401</v>
      </c>
      <c r="B205" s="469" t="s">
        <v>547</v>
      </c>
      <c r="C205" s="454">
        <v>1870029.4739672802</v>
      </c>
      <c r="D205" s="454">
        <v>663711.4</v>
      </c>
      <c r="E205" s="453">
        <f>+C205+D205</f>
        <v>2533740.8739672801</v>
      </c>
      <c r="F205" s="454">
        <v>1580393.15</v>
      </c>
      <c r="G205" s="454">
        <v>916681.75</v>
      </c>
      <c r="H205" s="453">
        <f>+E205-F205</f>
        <v>953347.72396728024</v>
      </c>
      <c r="I205" s="452">
        <f>+F205/E205</f>
        <v>0.62373905960061826</v>
      </c>
    </row>
    <row r="206" spans="1:9" x14ac:dyDescent="0.25">
      <c r="A206" s="473">
        <v>347</v>
      </c>
      <c r="B206" s="477" t="s">
        <v>546</v>
      </c>
      <c r="C206" s="453">
        <f>C207</f>
        <v>46734.280680538155</v>
      </c>
      <c r="D206" s="453">
        <f>D207</f>
        <v>0</v>
      </c>
      <c r="E206" s="453">
        <f>+C206+D206</f>
        <v>46734.280680538155</v>
      </c>
      <c r="F206" s="453">
        <v>8744.59</v>
      </c>
      <c r="G206" s="453">
        <v>8744.59</v>
      </c>
      <c r="H206" s="453">
        <f>+E206-F206</f>
        <v>37989.690680538159</v>
      </c>
      <c r="I206" s="452">
        <f>+F206/E206</f>
        <v>0.18711296873863223</v>
      </c>
    </row>
    <row r="207" spans="1:9" x14ac:dyDescent="0.25">
      <c r="A207" s="470">
        <v>34701</v>
      </c>
      <c r="B207" s="469" t="s">
        <v>546</v>
      </c>
      <c r="C207" s="454">
        <v>46734.280680538155</v>
      </c>
      <c r="D207" s="454">
        <v>0</v>
      </c>
      <c r="E207" s="453">
        <f>+C207+D207</f>
        <v>46734.280680538155</v>
      </c>
      <c r="F207" s="454">
        <v>8744.59</v>
      </c>
      <c r="G207" s="454">
        <v>8744.59</v>
      </c>
      <c r="H207" s="453">
        <f>+E207-F207</f>
        <v>37989.690680538159</v>
      </c>
      <c r="I207" s="452">
        <f>+F207/E207</f>
        <v>0.18711296873863223</v>
      </c>
    </row>
    <row r="208" spans="1:9" ht="22.5" x14ac:dyDescent="0.25">
      <c r="A208" s="474">
        <v>3500</v>
      </c>
      <c r="B208" s="477" t="s">
        <v>545</v>
      </c>
      <c r="C208" s="453">
        <f>C209+C211+C213+C216+C218+C221+C223</f>
        <v>8212615.9761829665</v>
      </c>
      <c r="D208" s="453">
        <f>D209+D211+D213+D216+D218+D221+D223</f>
        <v>1799304</v>
      </c>
      <c r="E208" s="453">
        <f>+C208+D208</f>
        <v>10011919.976182967</v>
      </c>
      <c r="F208" s="453">
        <v>4215194.9400000004</v>
      </c>
      <c r="G208" s="453">
        <v>3421631.6899999995</v>
      </c>
      <c r="H208" s="453">
        <f>+E208-F208</f>
        <v>5796725.036182967</v>
      </c>
      <c r="I208" s="452">
        <f>+F208/E208</f>
        <v>0.42101764197350672</v>
      </c>
    </row>
    <row r="209" spans="1:9" ht="22.5" x14ac:dyDescent="0.25">
      <c r="A209" s="473">
        <v>351</v>
      </c>
      <c r="B209" s="477" t="s">
        <v>544</v>
      </c>
      <c r="C209" s="453">
        <f>C210</f>
        <v>710043.3511171923</v>
      </c>
      <c r="D209" s="453">
        <f>D210</f>
        <v>11284</v>
      </c>
      <c r="E209" s="453">
        <f>+C209+D209</f>
        <v>721327.3511171923</v>
      </c>
      <c r="F209" s="453">
        <v>92992.2</v>
      </c>
      <c r="G209" s="453">
        <v>16744.419999999998</v>
      </c>
      <c r="H209" s="453">
        <f>+E209-F209</f>
        <v>628335.15111719235</v>
      </c>
      <c r="I209" s="452">
        <f>+F209/E209</f>
        <v>0.12891816712061951</v>
      </c>
    </row>
    <row r="210" spans="1:9" x14ac:dyDescent="0.25">
      <c r="A210" s="470">
        <v>35101</v>
      </c>
      <c r="B210" s="469" t="s">
        <v>543</v>
      </c>
      <c r="C210" s="454">
        <v>710043.3511171923</v>
      </c>
      <c r="D210" s="454">
        <v>11284</v>
      </c>
      <c r="E210" s="453">
        <f>+C210+D210</f>
        <v>721327.3511171923</v>
      </c>
      <c r="F210" s="454">
        <v>92992.2</v>
      </c>
      <c r="G210" s="454">
        <v>16744.419999999998</v>
      </c>
      <c r="H210" s="453">
        <f>+E210-F210</f>
        <v>628335.15111719235</v>
      </c>
      <c r="I210" s="452">
        <f>+F210/E210</f>
        <v>0.12891816712061951</v>
      </c>
    </row>
    <row r="211" spans="1:9" ht="33.75" x14ac:dyDescent="0.25">
      <c r="A211" s="473">
        <v>352</v>
      </c>
      <c r="B211" s="477" t="s">
        <v>542</v>
      </c>
      <c r="C211" s="453">
        <f>C212</f>
        <v>135157.74024212468</v>
      </c>
      <c r="D211" s="453">
        <f>D212</f>
        <v>3190</v>
      </c>
      <c r="E211" s="453">
        <f>+C211+D211</f>
        <v>138347.74024212468</v>
      </c>
      <c r="F211" s="453">
        <v>99474.37</v>
      </c>
      <c r="G211" s="453">
        <v>89904.37</v>
      </c>
      <c r="H211" s="453">
        <f>+E211-F211</f>
        <v>38873.370242124685</v>
      </c>
      <c r="I211" s="452">
        <f>+F211/E211</f>
        <v>0.71901694834992058</v>
      </c>
    </row>
    <row r="212" spans="1:9" x14ac:dyDescent="0.25">
      <c r="A212" s="470">
        <v>35201</v>
      </c>
      <c r="B212" s="469" t="s">
        <v>541</v>
      </c>
      <c r="C212" s="454">
        <v>135157.74024212468</v>
      </c>
      <c r="D212" s="454">
        <v>3190</v>
      </c>
      <c r="E212" s="453">
        <f>+C212+D212</f>
        <v>138347.74024212468</v>
      </c>
      <c r="F212" s="454">
        <v>99474.37</v>
      </c>
      <c r="G212" s="454">
        <v>89904.37</v>
      </c>
      <c r="H212" s="453">
        <f>+E212-F212</f>
        <v>38873.370242124685</v>
      </c>
      <c r="I212" s="452">
        <f>+F212/E212</f>
        <v>0.71901694834992058</v>
      </c>
    </row>
    <row r="213" spans="1:9" ht="22.5" x14ac:dyDescent="0.25">
      <c r="A213" s="473">
        <v>353</v>
      </c>
      <c r="B213" s="477" t="s">
        <v>540</v>
      </c>
      <c r="C213" s="453">
        <f>C214+C215</f>
        <v>25932.08532136105</v>
      </c>
      <c r="D213" s="453">
        <f>D214+D215</f>
        <v>0</v>
      </c>
      <c r="E213" s="453">
        <f>+C213+D213</f>
        <v>25932.08532136105</v>
      </c>
      <c r="F213" s="453">
        <v>896</v>
      </c>
      <c r="G213" s="453">
        <v>896</v>
      </c>
      <c r="H213" s="453">
        <f>+E213-F213</f>
        <v>25036.08532136105</v>
      </c>
      <c r="I213" s="452">
        <f>+F213/E213</f>
        <v>3.4551791300097931E-2</v>
      </c>
    </row>
    <row r="214" spans="1:9" x14ac:dyDescent="0.25">
      <c r="A214" s="470">
        <v>35301</v>
      </c>
      <c r="B214" s="469" t="s">
        <v>539</v>
      </c>
      <c r="C214" s="454">
        <v>0</v>
      </c>
      <c r="D214" s="454">
        <v>0</v>
      </c>
      <c r="E214" s="453">
        <f>+C214+D214</f>
        <v>0</v>
      </c>
      <c r="F214" s="454">
        <v>0</v>
      </c>
      <c r="G214" s="454">
        <v>0</v>
      </c>
      <c r="H214" s="453">
        <f>+E214-F214</f>
        <v>0</v>
      </c>
      <c r="I214" s="452"/>
    </row>
    <row r="215" spans="1:9" x14ac:dyDescent="0.25">
      <c r="A215" s="470">
        <v>35302</v>
      </c>
      <c r="B215" s="469" t="s">
        <v>538</v>
      </c>
      <c r="C215" s="454">
        <v>25932.08532136105</v>
      </c>
      <c r="D215" s="454">
        <v>0</v>
      </c>
      <c r="E215" s="453">
        <f>+C215+D215</f>
        <v>25932.08532136105</v>
      </c>
      <c r="F215" s="454">
        <v>896</v>
      </c>
      <c r="G215" s="454">
        <v>896</v>
      </c>
      <c r="H215" s="453">
        <f>+E215-F215</f>
        <v>25036.08532136105</v>
      </c>
      <c r="I215" s="452">
        <f>+F215/E215</f>
        <v>3.4551791300097931E-2</v>
      </c>
    </row>
    <row r="216" spans="1:9" ht="22.5" x14ac:dyDescent="0.25">
      <c r="A216" s="473">
        <v>355</v>
      </c>
      <c r="B216" s="477" t="s">
        <v>537</v>
      </c>
      <c r="C216" s="453">
        <f>C217</f>
        <v>1692326.2405160463</v>
      </c>
      <c r="D216" s="453">
        <f>D217</f>
        <v>83000</v>
      </c>
      <c r="E216" s="453">
        <f>+C216+D216</f>
        <v>1775326.2405160463</v>
      </c>
      <c r="F216" s="453">
        <v>636606.65</v>
      </c>
      <c r="G216" s="453">
        <v>469087.47</v>
      </c>
      <c r="H216" s="453">
        <f>+E216-F216</f>
        <v>1138719.5905160462</v>
      </c>
      <c r="I216" s="452">
        <f>+F216/E216</f>
        <v>0.35858572665210714</v>
      </c>
    </row>
    <row r="217" spans="1:9" ht="22.5" x14ac:dyDescent="0.25">
      <c r="A217" s="470">
        <v>35501</v>
      </c>
      <c r="B217" s="469" t="s">
        <v>536</v>
      </c>
      <c r="C217" s="454">
        <v>1692326.2405160463</v>
      </c>
      <c r="D217" s="454">
        <v>83000</v>
      </c>
      <c r="E217" s="453">
        <f>+C217+D217</f>
        <v>1775326.2405160463</v>
      </c>
      <c r="F217" s="454">
        <v>636606.65</v>
      </c>
      <c r="G217" s="454">
        <v>469087.47</v>
      </c>
      <c r="H217" s="453">
        <f>+E217-F217</f>
        <v>1138719.5905160462</v>
      </c>
      <c r="I217" s="452">
        <f>+F217/E217</f>
        <v>0.35858572665210714</v>
      </c>
    </row>
    <row r="218" spans="1:9" ht="22.5" x14ac:dyDescent="0.25">
      <c r="A218" s="473">
        <v>357</v>
      </c>
      <c r="B218" s="477" t="s">
        <v>535</v>
      </c>
      <c r="C218" s="453">
        <f>C219+C220</f>
        <v>5269468.1940494394</v>
      </c>
      <c r="D218" s="453">
        <f>D219+D220</f>
        <v>1689230</v>
      </c>
      <c r="E218" s="453">
        <f>+C218+D218</f>
        <v>6958698.1940494394</v>
      </c>
      <c r="F218" s="453">
        <v>3191737.24</v>
      </c>
      <c r="G218" s="453">
        <v>2690786.23</v>
      </c>
      <c r="H218" s="453">
        <f>+E218-F218</f>
        <v>3766960.9540494392</v>
      </c>
      <c r="I218" s="452">
        <f>+F218/E218</f>
        <v>0.45866872667783415</v>
      </c>
    </row>
    <row r="219" spans="1:9" x14ac:dyDescent="0.25">
      <c r="A219" s="470">
        <v>35701</v>
      </c>
      <c r="B219" s="469" t="s">
        <v>534</v>
      </c>
      <c r="C219" s="454">
        <v>5269468.1940494394</v>
      </c>
      <c r="D219" s="454">
        <v>1689230</v>
      </c>
      <c r="E219" s="453">
        <f>+C219+D219</f>
        <v>6958698.1940494394</v>
      </c>
      <c r="F219" s="454">
        <v>3191737.24</v>
      </c>
      <c r="G219" s="454">
        <v>2690786.23</v>
      </c>
      <c r="H219" s="453">
        <f>+E219-F219</f>
        <v>3766960.9540494392</v>
      </c>
      <c r="I219" s="452">
        <f>+F219/E219</f>
        <v>0.45866872667783415</v>
      </c>
    </row>
    <row r="220" spans="1:9" ht="22.5" x14ac:dyDescent="0.25">
      <c r="A220" s="470">
        <v>35702</v>
      </c>
      <c r="B220" s="469" t="s">
        <v>533</v>
      </c>
      <c r="C220" s="454">
        <v>0</v>
      </c>
      <c r="D220" s="454">
        <v>0</v>
      </c>
      <c r="E220" s="453">
        <f>+C220+D220</f>
        <v>0</v>
      </c>
      <c r="F220" s="454">
        <v>0</v>
      </c>
      <c r="G220" s="454">
        <v>0</v>
      </c>
      <c r="H220" s="453">
        <f>+E220-F220</f>
        <v>0</v>
      </c>
      <c r="I220" s="452"/>
    </row>
    <row r="221" spans="1:9" x14ac:dyDescent="0.25">
      <c r="A221" s="473">
        <v>358</v>
      </c>
      <c r="B221" s="477" t="s">
        <v>532</v>
      </c>
      <c r="C221" s="453">
        <f>C222</f>
        <v>229552.02061253379</v>
      </c>
      <c r="D221" s="453">
        <f>D222</f>
        <v>0</v>
      </c>
      <c r="E221" s="453">
        <f>+C221+D221</f>
        <v>229552.02061253379</v>
      </c>
      <c r="F221" s="453">
        <v>101890.16</v>
      </c>
      <c r="G221" s="453">
        <v>89489.760000000009</v>
      </c>
      <c r="H221" s="453">
        <f>+E221-F221</f>
        <v>127661.86061253378</v>
      </c>
      <c r="I221" s="452">
        <f>+F221/E221</f>
        <v>0.44386522814357093</v>
      </c>
    </row>
    <row r="222" spans="1:9" x14ac:dyDescent="0.25">
      <c r="A222" s="470">
        <v>35801</v>
      </c>
      <c r="B222" s="469" t="s">
        <v>532</v>
      </c>
      <c r="C222" s="454">
        <v>229552.02061253379</v>
      </c>
      <c r="D222" s="454">
        <v>0</v>
      </c>
      <c r="E222" s="453">
        <f>+C222+D222</f>
        <v>229552.02061253379</v>
      </c>
      <c r="F222" s="454">
        <v>101890.16</v>
      </c>
      <c r="G222" s="454">
        <v>89489.760000000009</v>
      </c>
      <c r="H222" s="453">
        <f>+E222-F222</f>
        <v>127661.86061253378</v>
      </c>
      <c r="I222" s="452">
        <f>+F222/E222</f>
        <v>0.44386522814357093</v>
      </c>
    </row>
    <row r="223" spans="1:9" x14ac:dyDescent="0.25">
      <c r="A223" s="473">
        <v>359</v>
      </c>
      <c r="B223" s="477" t="s">
        <v>531</v>
      </c>
      <c r="C223" s="453">
        <f>C224</f>
        <v>150136.34432426884</v>
      </c>
      <c r="D223" s="453">
        <f>D224</f>
        <v>12600</v>
      </c>
      <c r="E223" s="453">
        <f>+C223+D223</f>
        <v>162736.34432426884</v>
      </c>
      <c r="F223" s="453">
        <v>91598.32</v>
      </c>
      <c r="G223" s="453">
        <v>64723.44</v>
      </c>
      <c r="H223" s="453">
        <f>+E223-F223</f>
        <v>71138.02432426883</v>
      </c>
      <c r="I223" s="452">
        <f>+F223/E223</f>
        <v>0.56286332583138876</v>
      </c>
    </row>
    <row r="224" spans="1:9" x14ac:dyDescent="0.25">
      <c r="A224" s="470">
        <v>35901</v>
      </c>
      <c r="B224" s="469" t="s">
        <v>531</v>
      </c>
      <c r="C224" s="454">
        <v>150136.34432426884</v>
      </c>
      <c r="D224" s="454">
        <v>12600</v>
      </c>
      <c r="E224" s="453">
        <f>+C224+D224</f>
        <v>162736.34432426884</v>
      </c>
      <c r="F224" s="454">
        <v>91598.32</v>
      </c>
      <c r="G224" s="454">
        <v>64723.44</v>
      </c>
      <c r="H224" s="453">
        <f>+E224-F224</f>
        <v>71138.02432426883</v>
      </c>
      <c r="I224" s="452">
        <f>+F224/E224</f>
        <v>0.56286332583138876</v>
      </c>
    </row>
    <row r="225" spans="1:9" x14ac:dyDescent="0.25">
      <c r="A225" s="474">
        <v>3600</v>
      </c>
      <c r="B225" s="477" t="s">
        <v>530</v>
      </c>
      <c r="C225" s="453">
        <f>C226+C228+C230+C232</f>
        <v>1384669.3778340495</v>
      </c>
      <c r="D225" s="453">
        <f>D226+D228+D230+D232</f>
        <v>158000</v>
      </c>
      <c r="E225" s="453">
        <f>+C225+D225</f>
        <v>1542669.3778340495</v>
      </c>
      <c r="F225" s="453">
        <v>595080</v>
      </c>
      <c r="G225" s="453">
        <v>265640</v>
      </c>
      <c r="H225" s="453">
        <f>+E225-F225</f>
        <v>947589.37783404952</v>
      </c>
      <c r="I225" s="452">
        <f>+F225/E225</f>
        <v>0.3857469452304218</v>
      </c>
    </row>
    <row r="226" spans="1:9" ht="33.75" x14ac:dyDescent="0.25">
      <c r="A226" s="473">
        <v>361</v>
      </c>
      <c r="B226" s="477" t="s">
        <v>529</v>
      </c>
      <c r="C226" s="453">
        <f>C227</f>
        <v>1143972.3808239913</v>
      </c>
      <c r="D226" s="453">
        <f>D227</f>
        <v>120000</v>
      </c>
      <c r="E226" s="453">
        <f>+C226+D226</f>
        <v>1263972.3808239913</v>
      </c>
      <c r="F226" s="453">
        <v>504600</v>
      </c>
      <c r="G226" s="453">
        <v>207640</v>
      </c>
      <c r="H226" s="453">
        <f>+E226-F226</f>
        <v>759372.38082399126</v>
      </c>
      <c r="I226" s="452">
        <f>+F226/E226</f>
        <v>0.39921758390879414</v>
      </c>
    </row>
    <row r="227" spans="1:9" ht="33.75" x14ac:dyDescent="0.25">
      <c r="A227" s="470">
        <v>36101</v>
      </c>
      <c r="B227" s="469" t="s">
        <v>529</v>
      </c>
      <c r="C227" s="454">
        <v>1143972.3808239913</v>
      </c>
      <c r="D227" s="454">
        <v>120000</v>
      </c>
      <c r="E227" s="453">
        <f>+C227+D227</f>
        <v>1263972.3808239913</v>
      </c>
      <c r="F227" s="454">
        <v>504600</v>
      </c>
      <c r="G227" s="454">
        <v>207640</v>
      </c>
      <c r="H227" s="453">
        <f>+E227-F227</f>
        <v>759372.38082399126</v>
      </c>
      <c r="I227" s="452">
        <f>+F227/E227</f>
        <v>0.39921758390879414</v>
      </c>
    </row>
    <row r="228" spans="1:9" x14ac:dyDescent="0.25">
      <c r="A228" s="473">
        <v>364</v>
      </c>
      <c r="B228" s="477" t="s">
        <v>528</v>
      </c>
      <c r="C228" s="453">
        <f>C229</f>
        <v>387.80982328732495</v>
      </c>
      <c r="D228" s="453">
        <f>D229</f>
        <v>0</v>
      </c>
      <c r="E228" s="453">
        <f>+C228+D228</f>
        <v>387.80982328732495</v>
      </c>
      <c r="F228" s="453">
        <v>0</v>
      </c>
      <c r="G228" s="453">
        <v>0</v>
      </c>
      <c r="H228" s="453">
        <f>+E228-F228</f>
        <v>387.80982328732495</v>
      </c>
      <c r="I228" s="452">
        <f>+F228/E228</f>
        <v>0</v>
      </c>
    </row>
    <row r="229" spans="1:9" x14ac:dyDescent="0.25">
      <c r="A229" s="470">
        <v>36401</v>
      </c>
      <c r="B229" s="469" t="s">
        <v>528</v>
      </c>
      <c r="C229" s="454">
        <v>387.80982328732495</v>
      </c>
      <c r="D229" s="454">
        <v>0</v>
      </c>
      <c r="E229" s="453">
        <f>+C229+D229</f>
        <v>387.80982328732495</v>
      </c>
      <c r="F229" s="454">
        <v>0</v>
      </c>
      <c r="G229" s="454">
        <v>0</v>
      </c>
      <c r="H229" s="453">
        <f>+E229-F229</f>
        <v>387.80982328732495</v>
      </c>
      <c r="I229" s="452">
        <f>+F229/E229</f>
        <v>0</v>
      </c>
    </row>
    <row r="230" spans="1:9" ht="22.5" x14ac:dyDescent="0.25">
      <c r="A230" s="473">
        <v>365</v>
      </c>
      <c r="B230" s="477" t="s">
        <v>527</v>
      </c>
      <c r="C230" s="453">
        <f>C231</f>
        <v>80000</v>
      </c>
      <c r="D230" s="453">
        <f>D231</f>
        <v>38000</v>
      </c>
      <c r="E230" s="453">
        <f>+C230+D230</f>
        <v>118000</v>
      </c>
      <c r="F230" s="454">
        <v>90480</v>
      </c>
      <c r="G230" s="454">
        <v>58000</v>
      </c>
      <c r="H230" s="453">
        <f>+E230-F230</f>
        <v>27520</v>
      </c>
      <c r="I230" s="452">
        <f>+F230/E230</f>
        <v>0.76677966101694917</v>
      </c>
    </row>
    <row r="231" spans="1:9" ht="22.5" x14ac:dyDescent="0.25">
      <c r="A231" s="470">
        <v>36501</v>
      </c>
      <c r="B231" s="469" t="s">
        <v>527</v>
      </c>
      <c r="C231" s="454">
        <v>80000</v>
      </c>
      <c r="D231" s="454">
        <v>38000</v>
      </c>
      <c r="E231" s="453">
        <f>+C231+D231</f>
        <v>118000</v>
      </c>
      <c r="F231" s="454">
        <v>90480</v>
      </c>
      <c r="G231" s="454">
        <v>58000</v>
      </c>
      <c r="H231" s="453">
        <f>+E231-F231</f>
        <v>27520</v>
      </c>
      <c r="I231" s="452">
        <f>+F231/E231</f>
        <v>0.76677966101694917</v>
      </c>
    </row>
    <row r="232" spans="1:9" x14ac:dyDescent="0.25">
      <c r="A232" s="473">
        <v>369</v>
      </c>
      <c r="B232" s="477" t="s">
        <v>526</v>
      </c>
      <c r="C232" s="453">
        <f>C233</f>
        <v>160309.18718677078</v>
      </c>
      <c r="D232" s="453">
        <f>D233</f>
        <v>0</v>
      </c>
      <c r="E232" s="453">
        <f>+C232+D232</f>
        <v>160309.18718677078</v>
      </c>
      <c r="F232" s="453">
        <v>0</v>
      </c>
      <c r="G232" s="453">
        <v>0</v>
      </c>
      <c r="H232" s="453">
        <f>+E232-F232</f>
        <v>160309.18718677078</v>
      </c>
      <c r="I232" s="452">
        <f>+F232/E232</f>
        <v>0</v>
      </c>
    </row>
    <row r="233" spans="1:9" x14ac:dyDescent="0.25">
      <c r="A233" s="470">
        <v>36901</v>
      </c>
      <c r="B233" s="469" t="s">
        <v>526</v>
      </c>
      <c r="C233" s="454">
        <v>160309.18718677078</v>
      </c>
      <c r="D233" s="454">
        <v>0</v>
      </c>
      <c r="E233" s="453">
        <f>+C233+D233</f>
        <v>160309.18718677078</v>
      </c>
      <c r="F233" s="454">
        <v>0</v>
      </c>
      <c r="G233" s="454">
        <v>0</v>
      </c>
      <c r="H233" s="453">
        <f>+E233-F233</f>
        <v>160309.18718677078</v>
      </c>
      <c r="I233" s="452">
        <f>+F233/E233</f>
        <v>0</v>
      </c>
    </row>
    <row r="234" spans="1:9" x14ac:dyDescent="0.25">
      <c r="A234" s="474">
        <v>3700</v>
      </c>
      <c r="B234" s="477" t="s">
        <v>525</v>
      </c>
      <c r="C234" s="453">
        <f>C235+C238+C240+C243+C245+C247</f>
        <v>3092396.6332266806</v>
      </c>
      <c r="D234" s="453">
        <f>D235+D238+D240+D243+D245+D247</f>
        <v>78841</v>
      </c>
      <c r="E234" s="453">
        <f>+C234+D234</f>
        <v>3171237.6332266806</v>
      </c>
      <c r="F234" s="453">
        <v>1017426.78</v>
      </c>
      <c r="G234" s="453">
        <v>1018426.78</v>
      </c>
      <c r="H234" s="453">
        <f>+E234-F234</f>
        <v>2153810.8532266803</v>
      </c>
      <c r="I234" s="452">
        <f>+F234/E234</f>
        <v>0.32082956172691024</v>
      </c>
    </row>
    <row r="235" spans="1:9" x14ac:dyDescent="0.25">
      <c r="A235" s="473">
        <v>371</v>
      </c>
      <c r="B235" s="477" t="s">
        <v>524</v>
      </c>
      <c r="C235" s="453">
        <f>C236+C237</f>
        <v>726220.09522999078</v>
      </c>
      <c r="D235" s="453">
        <f>D236+D237</f>
        <v>0</v>
      </c>
      <c r="E235" s="453">
        <f>+C235+D235</f>
        <v>726220.09522999078</v>
      </c>
      <c r="F235" s="453">
        <v>97276</v>
      </c>
      <c r="G235" s="453">
        <v>97276</v>
      </c>
      <c r="H235" s="453">
        <f>+E235-F235</f>
        <v>628944.09522999078</v>
      </c>
      <c r="I235" s="452">
        <f>+F235/E235</f>
        <v>0.13394837273016125</v>
      </c>
    </row>
    <row r="236" spans="1:9" x14ac:dyDescent="0.25">
      <c r="A236" s="470">
        <v>37101</v>
      </c>
      <c r="B236" s="469" t="s">
        <v>523</v>
      </c>
      <c r="C236" s="454">
        <v>726220.09522999078</v>
      </c>
      <c r="D236" s="454">
        <v>0</v>
      </c>
      <c r="E236" s="453">
        <f>+C236+D236</f>
        <v>726220.09522999078</v>
      </c>
      <c r="F236" s="454">
        <v>97276</v>
      </c>
      <c r="G236" s="454">
        <v>97276</v>
      </c>
      <c r="H236" s="453">
        <f>+E236-F236</f>
        <v>628944.09522999078</v>
      </c>
      <c r="I236" s="452">
        <f>+F236/E236</f>
        <v>0.13394837273016125</v>
      </c>
    </row>
    <row r="237" spans="1:9" x14ac:dyDescent="0.25">
      <c r="A237" s="470">
        <v>37104</v>
      </c>
      <c r="B237" s="469" t="s">
        <v>522</v>
      </c>
      <c r="C237" s="454">
        <v>0</v>
      </c>
      <c r="D237" s="454">
        <v>0</v>
      </c>
      <c r="E237" s="453">
        <f>+C237+D237</f>
        <v>0</v>
      </c>
      <c r="F237" s="454">
        <v>0</v>
      </c>
      <c r="G237" s="454">
        <v>0</v>
      </c>
      <c r="H237" s="453">
        <f>+E237-F237</f>
        <v>0</v>
      </c>
      <c r="I237" s="452"/>
    </row>
    <row r="238" spans="1:9" x14ac:dyDescent="0.25">
      <c r="A238" s="473">
        <v>372</v>
      </c>
      <c r="B238" s="477" t="s">
        <v>521</v>
      </c>
      <c r="C238" s="453">
        <f>C239</f>
        <v>70186.502399999998</v>
      </c>
      <c r="D238" s="453">
        <f>D239</f>
        <v>0</v>
      </c>
      <c r="E238" s="453">
        <f>+C238+D238</f>
        <v>70186.502399999998</v>
      </c>
      <c r="F238" s="453">
        <v>15976.02</v>
      </c>
      <c r="G238" s="453">
        <v>15976.02</v>
      </c>
      <c r="H238" s="453">
        <f>+E238-F238</f>
        <v>54210.482399999994</v>
      </c>
      <c r="I238" s="452">
        <f>+F238/E238</f>
        <v>0.22762239823479224</v>
      </c>
    </row>
    <row r="239" spans="1:9" x14ac:dyDescent="0.25">
      <c r="A239" s="470">
        <v>37201</v>
      </c>
      <c r="B239" s="469" t="s">
        <v>521</v>
      </c>
      <c r="C239" s="454">
        <v>70186.502399999998</v>
      </c>
      <c r="D239" s="454">
        <v>0</v>
      </c>
      <c r="E239" s="453">
        <f>+C239+D239</f>
        <v>70186.502399999998</v>
      </c>
      <c r="F239" s="454">
        <v>15976.02</v>
      </c>
      <c r="G239" s="454">
        <v>15976.02</v>
      </c>
      <c r="H239" s="453">
        <f>+E239-F239</f>
        <v>54210.482399999994</v>
      </c>
      <c r="I239" s="452">
        <f>+F239/E239</f>
        <v>0.22762239823479224</v>
      </c>
    </row>
    <row r="240" spans="1:9" x14ac:dyDescent="0.25">
      <c r="A240" s="473">
        <v>375</v>
      </c>
      <c r="B240" s="477" t="s">
        <v>520</v>
      </c>
      <c r="C240" s="453">
        <f>C241+C242</f>
        <v>2083335.4873966896</v>
      </c>
      <c r="D240" s="453">
        <f>D241+D242</f>
        <v>78841</v>
      </c>
      <c r="E240" s="453">
        <f>+C240+D240</f>
        <v>2162176.4873966896</v>
      </c>
      <c r="F240" s="453">
        <v>890311.76</v>
      </c>
      <c r="G240" s="453">
        <v>891311.76</v>
      </c>
      <c r="H240" s="453">
        <f>+E240-F240</f>
        <v>1271864.7273966896</v>
      </c>
      <c r="I240" s="452">
        <f>+F240/E240</f>
        <v>0.41176646087385582</v>
      </c>
    </row>
    <row r="241" spans="1:9" x14ac:dyDescent="0.25">
      <c r="A241" s="470">
        <v>37501</v>
      </c>
      <c r="B241" s="469" t="s">
        <v>520</v>
      </c>
      <c r="C241" s="454">
        <v>1358479.8643430811</v>
      </c>
      <c r="D241" s="454">
        <v>100044</v>
      </c>
      <c r="E241" s="453">
        <f>+C241+D241</f>
        <v>1458523.8643430811</v>
      </c>
      <c r="F241" s="454">
        <v>652211.76</v>
      </c>
      <c r="G241" s="454">
        <v>652911.76</v>
      </c>
      <c r="H241" s="453">
        <f>+E241-F241</f>
        <v>806312.10434308113</v>
      </c>
      <c r="I241" s="452">
        <f>+F241/E241</f>
        <v>0.44717249812964566</v>
      </c>
    </row>
    <row r="242" spans="1:9" x14ac:dyDescent="0.25">
      <c r="A242" s="470">
        <v>37502</v>
      </c>
      <c r="B242" s="469" t="s">
        <v>519</v>
      </c>
      <c r="C242" s="454">
        <v>724855.62305360846</v>
      </c>
      <c r="D242" s="454">
        <v>-21203</v>
      </c>
      <c r="E242" s="453">
        <f>+C242+D242</f>
        <v>703652.62305360846</v>
      </c>
      <c r="F242" s="454">
        <v>238100</v>
      </c>
      <c r="G242" s="454">
        <v>238400</v>
      </c>
      <c r="H242" s="453">
        <f>+E242-F242</f>
        <v>465552.62305360846</v>
      </c>
      <c r="I242" s="452">
        <f>+F242/E242</f>
        <v>0.3383771938015786</v>
      </c>
    </row>
    <row r="243" spans="1:9" x14ac:dyDescent="0.25">
      <c r="A243" s="473">
        <v>376</v>
      </c>
      <c r="B243" s="477" t="s">
        <v>518</v>
      </c>
      <c r="C243" s="453">
        <f>C244</f>
        <v>150303.92800000001</v>
      </c>
      <c r="D243" s="453">
        <f>D244</f>
        <v>0</v>
      </c>
      <c r="E243" s="453">
        <f>+C243+D243</f>
        <v>150303.92800000001</v>
      </c>
      <c r="F243" s="453">
        <v>3816</v>
      </c>
      <c r="G243" s="453">
        <v>3816</v>
      </c>
      <c r="H243" s="453">
        <f>+E243-F243</f>
        <v>146487.92800000001</v>
      </c>
      <c r="I243" s="452">
        <f>+F243/E243</f>
        <v>2.5388558042208981E-2</v>
      </c>
    </row>
    <row r="244" spans="1:9" x14ac:dyDescent="0.25">
      <c r="A244" s="470">
        <v>37601</v>
      </c>
      <c r="B244" s="469" t="s">
        <v>518</v>
      </c>
      <c r="C244" s="454">
        <v>150303.92800000001</v>
      </c>
      <c r="D244" s="454">
        <v>0</v>
      </c>
      <c r="E244" s="453">
        <f>+C244+D244</f>
        <v>150303.92800000001</v>
      </c>
      <c r="F244" s="454">
        <v>3816</v>
      </c>
      <c r="G244" s="454">
        <v>3816</v>
      </c>
      <c r="H244" s="453">
        <f>+E244-F244</f>
        <v>146487.92800000001</v>
      </c>
      <c r="I244" s="452">
        <f>+F244/E244</f>
        <v>2.5388558042208981E-2</v>
      </c>
    </row>
    <row r="245" spans="1:9" x14ac:dyDescent="0.25">
      <c r="A245" s="473">
        <v>378</v>
      </c>
      <c r="B245" s="477" t="s">
        <v>517</v>
      </c>
      <c r="C245" s="453">
        <f>C246</f>
        <v>13500</v>
      </c>
      <c r="D245" s="453">
        <f>D246</f>
        <v>0</v>
      </c>
      <c r="E245" s="453">
        <f>+C245+D245</f>
        <v>13500</v>
      </c>
      <c r="F245" s="453">
        <v>5153</v>
      </c>
      <c r="G245" s="453">
        <v>5153</v>
      </c>
      <c r="H245" s="453">
        <f>+E245-F245</f>
        <v>8347</v>
      </c>
      <c r="I245" s="452">
        <f>+F245/E245</f>
        <v>0.38170370370370371</v>
      </c>
    </row>
    <row r="246" spans="1:9" x14ac:dyDescent="0.25">
      <c r="A246" s="470">
        <v>37801</v>
      </c>
      <c r="B246" s="469" t="s">
        <v>517</v>
      </c>
      <c r="C246" s="454">
        <v>13500</v>
      </c>
      <c r="D246" s="454">
        <v>0</v>
      </c>
      <c r="E246" s="453">
        <f>+C246+D246</f>
        <v>13500</v>
      </c>
      <c r="F246" s="454">
        <v>5153</v>
      </c>
      <c r="G246" s="454">
        <v>5153</v>
      </c>
      <c r="H246" s="453">
        <f>+E246-F246</f>
        <v>8347</v>
      </c>
      <c r="I246" s="452">
        <f>+F246/E246</f>
        <v>0.38170370370370371</v>
      </c>
    </row>
    <row r="247" spans="1:9" x14ac:dyDescent="0.25">
      <c r="A247" s="473">
        <v>379</v>
      </c>
      <c r="B247" s="477" t="s">
        <v>516</v>
      </c>
      <c r="C247" s="453">
        <f>C248</f>
        <v>48850.620200000005</v>
      </c>
      <c r="D247" s="453">
        <f>D248</f>
        <v>0</v>
      </c>
      <c r="E247" s="453">
        <f>+C247+D247</f>
        <v>48850.620200000005</v>
      </c>
      <c r="F247" s="453">
        <v>4894</v>
      </c>
      <c r="G247" s="453">
        <v>4894</v>
      </c>
      <c r="H247" s="453">
        <f>+E247-F247</f>
        <v>43956.620200000005</v>
      </c>
      <c r="I247" s="452">
        <f>+F247/E247</f>
        <v>0.10018296553786639</v>
      </c>
    </row>
    <row r="248" spans="1:9" x14ac:dyDescent="0.25">
      <c r="A248" s="470">
        <v>37901</v>
      </c>
      <c r="B248" s="469" t="s">
        <v>515</v>
      </c>
      <c r="C248" s="454">
        <v>48850.620200000005</v>
      </c>
      <c r="D248" s="454">
        <v>0</v>
      </c>
      <c r="E248" s="453">
        <f>+C248+D248</f>
        <v>48850.620200000005</v>
      </c>
      <c r="F248" s="454">
        <v>4894</v>
      </c>
      <c r="G248" s="454">
        <v>4894</v>
      </c>
      <c r="H248" s="453">
        <f>+E248-F248</f>
        <v>43956.620200000005</v>
      </c>
      <c r="I248" s="452">
        <f>+F248/E248</f>
        <v>0.10018296553786639</v>
      </c>
    </row>
    <row r="249" spans="1:9" x14ac:dyDescent="0.25">
      <c r="A249" s="474">
        <v>3800</v>
      </c>
      <c r="B249" s="477" t="s">
        <v>514</v>
      </c>
      <c r="C249" s="453">
        <f>C250+C252+C254+C256</f>
        <v>182017.4938</v>
      </c>
      <c r="D249" s="453">
        <f>D250+D252+D254+D256</f>
        <v>9860</v>
      </c>
      <c r="E249" s="453">
        <f>+C249+D249</f>
        <v>191877.4938</v>
      </c>
      <c r="F249" s="453">
        <v>9860</v>
      </c>
      <c r="G249" s="453">
        <v>9860</v>
      </c>
      <c r="H249" s="453">
        <f>+E249-F249</f>
        <v>182017.4938</v>
      </c>
      <c r="I249" s="452">
        <f>+F249/E249</f>
        <v>5.1386954273425059E-2</v>
      </c>
    </row>
    <row r="250" spans="1:9" x14ac:dyDescent="0.25">
      <c r="A250" s="473">
        <v>381</v>
      </c>
      <c r="B250" s="477" t="s">
        <v>513</v>
      </c>
      <c r="C250" s="453">
        <f>C251</f>
        <v>23500</v>
      </c>
      <c r="D250" s="453">
        <f>D251</f>
        <v>9860</v>
      </c>
      <c r="E250" s="453">
        <f>+C250+D250</f>
        <v>33360</v>
      </c>
      <c r="F250" s="453">
        <v>9860</v>
      </c>
      <c r="G250" s="453">
        <v>9860</v>
      </c>
      <c r="H250" s="453">
        <f>+E250-F250</f>
        <v>23500</v>
      </c>
      <c r="I250" s="452">
        <f>+F250/E250</f>
        <v>0.29556354916067146</v>
      </c>
    </row>
    <row r="251" spans="1:9" x14ac:dyDescent="0.25">
      <c r="A251" s="470">
        <v>38101</v>
      </c>
      <c r="B251" s="469" t="s">
        <v>513</v>
      </c>
      <c r="C251" s="454">
        <v>23500</v>
      </c>
      <c r="D251" s="454">
        <v>9860</v>
      </c>
      <c r="E251" s="453">
        <f>+C251+D251</f>
        <v>33360</v>
      </c>
      <c r="F251" s="454">
        <v>9860</v>
      </c>
      <c r="G251" s="454">
        <v>9860</v>
      </c>
      <c r="H251" s="453">
        <f>+E251-F251</f>
        <v>23500</v>
      </c>
      <c r="I251" s="452">
        <f>+F251/E251</f>
        <v>0.29556354916067146</v>
      </c>
    </row>
    <row r="252" spans="1:9" x14ac:dyDescent="0.25">
      <c r="A252" s="473">
        <v>382</v>
      </c>
      <c r="B252" s="477" t="s">
        <v>512</v>
      </c>
      <c r="C252" s="453">
        <f>C253</f>
        <v>0</v>
      </c>
      <c r="D252" s="453">
        <v>0</v>
      </c>
      <c r="E252" s="453">
        <f>+C252+D252</f>
        <v>0</v>
      </c>
      <c r="F252" s="453">
        <v>0</v>
      </c>
      <c r="G252" s="453">
        <v>0</v>
      </c>
      <c r="H252" s="453">
        <f>+E252-F252</f>
        <v>0</v>
      </c>
      <c r="I252" s="452"/>
    </row>
    <row r="253" spans="1:9" x14ac:dyDescent="0.25">
      <c r="A253" s="470">
        <v>38201</v>
      </c>
      <c r="B253" s="469" t="s">
        <v>512</v>
      </c>
      <c r="C253" s="454">
        <v>0</v>
      </c>
      <c r="D253" s="454">
        <v>0</v>
      </c>
      <c r="E253" s="453">
        <f>+C253+D253</f>
        <v>0</v>
      </c>
      <c r="F253" s="454">
        <v>0</v>
      </c>
      <c r="G253" s="454">
        <v>0</v>
      </c>
      <c r="H253" s="453">
        <f>+E253-F253</f>
        <v>0</v>
      </c>
      <c r="I253" s="452"/>
    </row>
    <row r="254" spans="1:9" x14ac:dyDescent="0.25">
      <c r="A254" s="473">
        <v>383</v>
      </c>
      <c r="B254" s="477" t="s">
        <v>511</v>
      </c>
      <c r="C254" s="453">
        <f>C255</f>
        <v>158517.4938</v>
      </c>
      <c r="D254" s="453">
        <f>D255</f>
        <v>0</v>
      </c>
      <c r="E254" s="453">
        <f>+C254+D254</f>
        <v>158517.4938</v>
      </c>
      <c r="F254" s="453">
        <v>0</v>
      </c>
      <c r="G254" s="453">
        <v>0</v>
      </c>
      <c r="H254" s="453">
        <f>+E254-F254</f>
        <v>158517.4938</v>
      </c>
      <c r="I254" s="452">
        <f>+F254/E254</f>
        <v>0</v>
      </c>
    </row>
    <row r="255" spans="1:9" x14ac:dyDescent="0.25">
      <c r="A255" s="470">
        <v>38301</v>
      </c>
      <c r="B255" s="469" t="s">
        <v>511</v>
      </c>
      <c r="C255" s="454">
        <v>158517.4938</v>
      </c>
      <c r="D255" s="454">
        <v>0</v>
      </c>
      <c r="E255" s="453">
        <f>+C255+D255</f>
        <v>158517.4938</v>
      </c>
      <c r="F255" s="454">
        <v>0</v>
      </c>
      <c r="G255" s="454">
        <v>0</v>
      </c>
      <c r="H255" s="453">
        <f>+E255-F255</f>
        <v>158517.4938</v>
      </c>
      <c r="I255" s="452">
        <f>+F255/E255</f>
        <v>0</v>
      </c>
    </row>
    <row r="256" spans="1:9" x14ac:dyDescent="0.25">
      <c r="A256" s="473">
        <v>385</v>
      </c>
      <c r="B256" s="477" t="s">
        <v>510</v>
      </c>
      <c r="C256" s="453">
        <f>C257</f>
        <v>0</v>
      </c>
      <c r="D256" s="453">
        <v>0</v>
      </c>
      <c r="E256" s="453">
        <f>+C256+D256</f>
        <v>0</v>
      </c>
      <c r="F256" s="453">
        <v>0</v>
      </c>
      <c r="G256" s="453">
        <v>0</v>
      </c>
      <c r="H256" s="453">
        <f>+E256-F256</f>
        <v>0</v>
      </c>
      <c r="I256" s="452"/>
    </row>
    <row r="257" spans="1:9" x14ac:dyDescent="0.25">
      <c r="A257" s="470">
        <v>38501</v>
      </c>
      <c r="B257" s="469" t="s">
        <v>509</v>
      </c>
      <c r="C257" s="454">
        <v>0</v>
      </c>
      <c r="D257" s="454">
        <v>0</v>
      </c>
      <c r="E257" s="453">
        <f>+C257+D257</f>
        <v>0</v>
      </c>
      <c r="F257" s="454">
        <v>0</v>
      </c>
      <c r="G257" s="454">
        <v>0</v>
      </c>
      <c r="H257" s="453">
        <f>+E257-F257</f>
        <v>0</v>
      </c>
      <c r="I257" s="452"/>
    </row>
    <row r="258" spans="1:9" x14ac:dyDescent="0.25">
      <c r="A258" s="474">
        <v>3900</v>
      </c>
      <c r="B258" s="477" t="s">
        <v>508</v>
      </c>
      <c r="C258" s="453">
        <f>C259+C261+C263+C265</f>
        <v>12172028.189581791</v>
      </c>
      <c r="D258" s="453">
        <f>D259+D261+D263+D265</f>
        <v>16766794.540000001</v>
      </c>
      <c r="E258" s="453">
        <f>+C258+D258</f>
        <v>28938822.729581792</v>
      </c>
      <c r="F258" s="453">
        <v>23661147.609999999</v>
      </c>
      <c r="G258" s="453">
        <v>16690704.43</v>
      </c>
      <c r="H258" s="453">
        <f>+E258-F258</f>
        <v>5277675.1195817925</v>
      </c>
      <c r="I258" s="452">
        <f>+F258/E258</f>
        <v>0.81762647468769156</v>
      </c>
    </row>
    <row r="259" spans="1:9" x14ac:dyDescent="0.25">
      <c r="A259" s="473">
        <v>392</v>
      </c>
      <c r="B259" s="477" t="s">
        <v>507</v>
      </c>
      <c r="C259" s="453">
        <f>C260</f>
        <v>9212516.1936479136</v>
      </c>
      <c r="D259" s="453">
        <f>D260</f>
        <v>618912.64</v>
      </c>
      <c r="E259" s="453">
        <f>+C259+D259</f>
        <v>9831428.8336479142</v>
      </c>
      <c r="F259" s="453">
        <v>6634838.2699999996</v>
      </c>
      <c r="G259" s="453">
        <v>123773.39</v>
      </c>
      <c r="H259" s="453">
        <f>+E259-F259</f>
        <v>3196590.5636479147</v>
      </c>
      <c r="I259" s="452">
        <f>+F259/E259</f>
        <v>0.67486002108791832</v>
      </c>
    </row>
    <row r="260" spans="1:9" x14ac:dyDescent="0.25">
      <c r="A260" s="470">
        <v>39201</v>
      </c>
      <c r="B260" s="469" t="s">
        <v>507</v>
      </c>
      <c r="C260" s="454">
        <v>9212516.1936479136</v>
      </c>
      <c r="D260" s="454">
        <f>-198228.63+817141.27</f>
        <v>618912.64</v>
      </c>
      <c r="E260" s="453">
        <f>+C260+D260</f>
        <v>9831428.8336479142</v>
      </c>
      <c r="F260" s="454">
        <v>6634838.2699999996</v>
      </c>
      <c r="G260" s="454">
        <v>123773.39</v>
      </c>
      <c r="H260" s="453">
        <f>+E260-F260</f>
        <v>3196590.5636479147</v>
      </c>
      <c r="I260" s="452">
        <f>+F260/E260</f>
        <v>0.67486002108791832</v>
      </c>
    </row>
    <row r="261" spans="1:9" x14ac:dyDescent="0.25">
      <c r="A261" s="473">
        <v>395</v>
      </c>
      <c r="B261" s="477" t="s">
        <v>506</v>
      </c>
      <c r="C261" s="453">
        <f>C262</f>
        <v>1095290.4708353805</v>
      </c>
      <c r="D261" s="453">
        <f>D262</f>
        <v>15976003.9</v>
      </c>
      <c r="E261" s="453">
        <f>+C261+D261</f>
        <v>17071294.370835382</v>
      </c>
      <c r="F261" s="453">
        <v>15515034.040000001</v>
      </c>
      <c r="G261" s="453">
        <v>15522334.92</v>
      </c>
      <c r="H261" s="453">
        <f>+E261-F261</f>
        <v>1556260.3308353815</v>
      </c>
      <c r="I261" s="452">
        <f>+F261/E261</f>
        <v>0.90883759034147416</v>
      </c>
    </row>
    <row r="262" spans="1:9" x14ac:dyDescent="0.25">
      <c r="A262" s="470">
        <v>39501</v>
      </c>
      <c r="B262" s="469" t="s">
        <v>506</v>
      </c>
      <c r="C262" s="454">
        <v>1095290.4708353805</v>
      </c>
      <c r="D262" s="454">
        <f>12793145.17+3182858.73</f>
        <v>15976003.9</v>
      </c>
      <c r="E262" s="453">
        <f>+C262+D262</f>
        <v>17071294.370835382</v>
      </c>
      <c r="F262" s="454">
        <v>15515034.040000001</v>
      </c>
      <c r="G262" s="454">
        <v>15522334.92</v>
      </c>
      <c r="H262" s="453">
        <f>+E262-F262</f>
        <v>1556260.3308353815</v>
      </c>
      <c r="I262" s="452">
        <f>+F262/E262</f>
        <v>0.90883759034147416</v>
      </c>
    </row>
    <row r="263" spans="1:9" x14ac:dyDescent="0.25">
      <c r="A263" s="473">
        <v>396</v>
      </c>
      <c r="B263" s="477" t="s">
        <v>505</v>
      </c>
      <c r="C263" s="453">
        <f>C264</f>
        <v>8599.8850984971123</v>
      </c>
      <c r="D263" s="453">
        <f>D264</f>
        <v>0</v>
      </c>
      <c r="E263" s="453">
        <f>+C263+D263</f>
        <v>8599.8850984971123</v>
      </c>
      <c r="F263" s="453">
        <v>0</v>
      </c>
      <c r="G263" s="453">
        <v>0</v>
      </c>
      <c r="H263" s="453">
        <f>+E263-F263</f>
        <v>8599.8850984971123</v>
      </c>
      <c r="I263" s="452">
        <f>+F263/E263</f>
        <v>0</v>
      </c>
    </row>
    <row r="264" spans="1:9" x14ac:dyDescent="0.25">
      <c r="A264" s="470">
        <v>39601</v>
      </c>
      <c r="B264" s="469" t="s">
        <v>504</v>
      </c>
      <c r="C264" s="454">
        <v>8599.8850984971123</v>
      </c>
      <c r="D264" s="454">
        <v>0</v>
      </c>
      <c r="E264" s="453">
        <f>+C264+D264</f>
        <v>8599.8850984971123</v>
      </c>
      <c r="F264" s="454">
        <v>0</v>
      </c>
      <c r="G264" s="454">
        <v>0</v>
      </c>
      <c r="H264" s="453">
        <f>+E264-F264</f>
        <v>8599.8850984971123</v>
      </c>
      <c r="I264" s="452">
        <f>+F264/E264</f>
        <v>0</v>
      </c>
    </row>
    <row r="265" spans="1:9" ht="22.5" x14ac:dyDescent="0.25">
      <c r="A265" s="473">
        <v>398</v>
      </c>
      <c r="B265" s="477" t="s">
        <v>503</v>
      </c>
      <c r="C265" s="453">
        <f>C266</f>
        <v>1855621.6400000001</v>
      </c>
      <c r="D265" s="453">
        <f>D266</f>
        <v>171878</v>
      </c>
      <c r="E265" s="453">
        <f>+C265+D265</f>
        <v>2027499.6400000001</v>
      </c>
      <c r="F265" s="453">
        <v>1511275.3</v>
      </c>
      <c r="G265" s="453">
        <v>1044596.12</v>
      </c>
      <c r="H265" s="453">
        <f>+E265-F265</f>
        <v>516224.34000000008</v>
      </c>
      <c r="I265" s="452">
        <f>+F265/E265</f>
        <v>0.74538868968677097</v>
      </c>
    </row>
    <row r="266" spans="1:9" x14ac:dyDescent="0.25">
      <c r="A266" s="470">
        <v>39801</v>
      </c>
      <c r="B266" s="469" t="s">
        <v>502</v>
      </c>
      <c r="C266" s="454">
        <v>1855621.6400000001</v>
      </c>
      <c r="D266" s="454">
        <v>171878</v>
      </c>
      <c r="E266" s="453">
        <f>+C266+D266</f>
        <v>2027499.6400000001</v>
      </c>
      <c r="F266" s="454">
        <v>1511275.3</v>
      </c>
      <c r="G266" s="454">
        <v>1044596.12</v>
      </c>
      <c r="H266" s="453">
        <f>+E266-F266</f>
        <v>516224.34000000008</v>
      </c>
      <c r="I266" s="452">
        <f>+F266/E266</f>
        <v>0.74538868968677097</v>
      </c>
    </row>
    <row r="267" spans="1:9" x14ac:dyDescent="0.25">
      <c r="A267" s="470"/>
      <c r="B267" s="469"/>
      <c r="C267" s="454"/>
      <c r="D267" s="454">
        <v>0</v>
      </c>
      <c r="E267" s="453"/>
      <c r="F267" s="454">
        <v>0</v>
      </c>
      <c r="G267" s="454">
        <v>0</v>
      </c>
      <c r="H267" s="453">
        <f>+E267-F267</f>
        <v>0</v>
      </c>
      <c r="I267" s="452"/>
    </row>
    <row r="268" spans="1:9" ht="22.5" x14ac:dyDescent="0.25">
      <c r="A268" s="464">
        <v>4000</v>
      </c>
      <c r="B268" s="477" t="s">
        <v>501</v>
      </c>
      <c r="C268" s="453">
        <f>C269+C274+C277+C279+C282</f>
        <v>0</v>
      </c>
      <c r="D268" s="453">
        <f>D269+D274+D277+D279+D282</f>
        <v>2162000</v>
      </c>
      <c r="E268" s="453">
        <f>+C268+D268</f>
        <v>2162000</v>
      </c>
      <c r="F268" s="453">
        <v>2161999.6800000002</v>
      </c>
      <c r="G268" s="453">
        <v>2161999.6800000002</v>
      </c>
      <c r="H268" s="453">
        <f>+E268-F268</f>
        <v>0.31999999983236194</v>
      </c>
      <c r="I268" s="452">
        <f>+F268/E268</f>
        <v>0.99999985198889929</v>
      </c>
    </row>
    <row r="269" spans="1:9" ht="22.5" x14ac:dyDescent="0.25">
      <c r="A269" s="474">
        <v>4100</v>
      </c>
      <c r="B269" s="477" t="s">
        <v>500</v>
      </c>
      <c r="C269" s="453">
        <f>C270+C272</f>
        <v>0</v>
      </c>
      <c r="D269" s="453">
        <f>D270+D272</f>
        <v>0</v>
      </c>
      <c r="E269" s="453">
        <f>+C269+D269</f>
        <v>0</v>
      </c>
      <c r="F269" s="453">
        <v>0</v>
      </c>
      <c r="G269" s="453">
        <v>0</v>
      </c>
      <c r="H269" s="453">
        <f>+E269-F269</f>
        <v>0</v>
      </c>
      <c r="I269" s="452"/>
    </row>
    <row r="270" spans="1:9" x14ac:dyDescent="0.25">
      <c r="A270" s="473">
        <v>411</v>
      </c>
      <c r="B270" s="477" t="s">
        <v>499</v>
      </c>
      <c r="C270" s="453">
        <f>C271</f>
        <v>0</v>
      </c>
      <c r="D270" s="453">
        <f>D271</f>
        <v>0</v>
      </c>
      <c r="E270" s="453">
        <f>+C270+D270</f>
        <v>0</v>
      </c>
      <c r="F270" s="453">
        <v>0</v>
      </c>
      <c r="G270" s="453">
        <v>0</v>
      </c>
      <c r="H270" s="453">
        <f>+E270-F270</f>
        <v>0</v>
      </c>
      <c r="I270" s="452"/>
    </row>
    <row r="271" spans="1:9" x14ac:dyDescent="0.25">
      <c r="A271" s="470">
        <v>41104</v>
      </c>
      <c r="B271" s="469" t="s">
        <v>498</v>
      </c>
      <c r="C271" s="453">
        <v>0</v>
      </c>
      <c r="D271" s="453">
        <v>0</v>
      </c>
      <c r="E271" s="453">
        <f>+C271+D271</f>
        <v>0</v>
      </c>
      <c r="F271" s="453">
        <v>0</v>
      </c>
      <c r="G271" s="453">
        <v>0</v>
      </c>
      <c r="H271" s="453">
        <f>+E271-F271</f>
        <v>0</v>
      </c>
      <c r="I271" s="452"/>
    </row>
    <row r="272" spans="1:9" ht="22.5" x14ac:dyDescent="0.25">
      <c r="A272" s="473">
        <v>415</v>
      </c>
      <c r="B272" s="477" t="s">
        <v>497</v>
      </c>
      <c r="C272" s="453">
        <f>C273</f>
        <v>0</v>
      </c>
      <c r="D272" s="453">
        <f>D273</f>
        <v>0</v>
      </c>
      <c r="E272" s="453">
        <f>+C272+D272</f>
        <v>0</v>
      </c>
      <c r="F272" s="453">
        <v>0</v>
      </c>
      <c r="G272" s="453">
        <v>0</v>
      </c>
      <c r="H272" s="453">
        <f>+E272-F272</f>
        <v>0</v>
      </c>
      <c r="I272" s="452"/>
    </row>
    <row r="273" spans="1:9" x14ac:dyDescent="0.25">
      <c r="A273" s="470">
        <v>41502</v>
      </c>
      <c r="B273" s="469" t="s">
        <v>496</v>
      </c>
      <c r="C273" s="453">
        <v>0</v>
      </c>
      <c r="D273" s="453">
        <v>0</v>
      </c>
      <c r="E273" s="453">
        <f>+C273+D273</f>
        <v>0</v>
      </c>
      <c r="F273" s="453">
        <v>0</v>
      </c>
      <c r="G273" s="453">
        <v>0</v>
      </c>
      <c r="H273" s="453">
        <f>+E273-F273</f>
        <v>0</v>
      </c>
      <c r="I273" s="452"/>
    </row>
    <row r="274" spans="1:9" x14ac:dyDescent="0.25">
      <c r="A274" s="474">
        <v>4200</v>
      </c>
      <c r="B274" s="477" t="s">
        <v>495</v>
      </c>
      <c r="C274" s="453">
        <f>C275</f>
        <v>0</v>
      </c>
      <c r="D274" s="453">
        <f>D275</f>
        <v>2162000</v>
      </c>
      <c r="E274" s="453">
        <f>+C274+D274</f>
        <v>2162000</v>
      </c>
      <c r="F274" s="453">
        <v>2161999.6800000002</v>
      </c>
      <c r="G274" s="453">
        <v>2161999.6800000002</v>
      </c>
      <c r="H274" s="453">
        <f>+E274-F274</f>
        <v>0.31999999983236194</v>
      </c>
      <c r="I274" s="452">
        <f>+F274/E274</f>
        <v>0.99999985198889929</v>
      </c>
    </row>
    <row r="275" spans="1:9" ht="22.5" x14ac:dyDescent="0.25">
      <c r="A275" s="473">
        <v>424</v>
      </c>
      <c r="B275" s="477" t="s">
        <v>494</v>
      </c>
      <c r="C275" s="453">
        <f>C276</f>
        <v>0</v>
      </c>
      <c r="D275" s="453">
        <f>D276</f>
        <v>2162000</v>
      </c>
      <c r="E275" s="453">
        <f>+C275+D275</f>
        <v>2162000</v>
      </c>
      <c r="F275" s="453">
        <v>2161999.6800000002</v>
      </c>
      <c r="G275" s="453">
        <v>2161999.6800000002</v>
      </c>
      <c r="H275" s="453">
        <f>+E275-F275</f>
        <v>0.31999999983236194</v>
      </c>
      <c r="I275" s="452">
        <f>+F275/E275</f>
        <v>0.99999985198889929</v>
      </c>
    </row>
    <row r="276" spans="1:9" ht="22.5" x14ac:dyDescent="0.25">
      <c r="A276" s="470">
        <v>42401</v>
      </c>
      <c r="B276" s="469" t="s">
        <v>494</v>
      </c>
      <c r="C276" s="454">
        <v>0</v>
      </c>
      <c r="D276" s="454">
        <v>2162000</v>
      </c>
      <c r="E276" s="453">
        <f>+C276+D276</f>
        <v>2162000</v>
      </c>
      <c r="F276" s="454">
        <v>2161999.6800000002</v>
      </c>
      <c r="G276" s="454">
        <v>2161999.6800000002</v>
      </c>
      <c r="H276" s="453">
        <f>+E276-F276</f>
        <v>0.31999999983236194</v>
      </c>
      <c r="I276" s="452">
        <f>+F276/E276</f>
        <v>0.99999985198889929</v>
      </c>
    </row>
    <row r="277" spans="1:9" x14ac:dyDescent="0.25">
      <c r="A277" s="474">
        <v>4300</v>
      </c>
      <c r="B277" s="477" t="s">
        <v>493</v>
      </c>
      <c r="C277" s="453">
        <f>C278</f>
        <v>0</v>
      </c>
      <c r="D277" s="453">
        <f>D278</f>
        <v>0</v>
      </c>
      <c r="E277" s="453">
        <f>+C277+D277</f>
        <v>0</v>
      </c>
      <c r="F277" s="453">
        <v>0</v>
      </c>
      <c r="G277" s="453">
        <v>0</v>
      </c>
      <c r="H277" s="453">
        <f>+E277-F277</f>
        <v>0</v>
      </c>
      <c r="I277" s="452"/>
    </row>
    <row r="278" spans="1:9" x14ac:dyDescent="0.25">
      <c r="A278" s="470">
        <v>43401</v>
      </c>
      <c r="B278" s="469" t="s">
        <v>493</v>
      </c>
      <c r="C278" s="454">
        <v>0</v>
      </c>
      <c r="D278" s="454">
        <v>0</v>
      </c>
      <c r="E278" s="453">
        <f>+C278+D278</f>
        <v>0</v>
      </c>
      <c r="F278" s="454">
        <v>0</v>
      </c>
      <c r="G278" s="454">
        <v>0</v>
      </c>
      <c r="H278" s="453">
        <f>+E278-F278</f>
        <v>0</v>
      </c>
      <c r="I278" s="452"/>
    </row>
    <row r="279" spans="1:9" x14ac:dyDescent="0.25">
      <c r="A279" s="474">
        <v>4400</v>
      </c>
      <c r="B279" s="477" t="s">
        <v>492</v>
      </c>
      <c r="C279" s="453">
        <f>C280</f>
        <v>0</v>
      </c>
      <c r="D279" s="453">
        <f>D280</f>
        <v>0</v>
      </c>
      <c r="E279" s="453">
        <f>+C279+D279</f>
        <v>0</v>
      </c>
      <c r="F279" s="453">
        <v>0</v>
      </c>
      <c r="G279" s="453">
        <v>0</v>
      </c>
      <c r="H279" s="453">
        <f>+E279-F279</f>
        <v>0</v>
      </c>
      <c r="I279" s="452"/>
    </row>
    <row r="280" spans="1:9" ht="22.5" x14ac:dyDescent="0.25">
      <c r="A280" s="473">
        <v>442</v>
      </c>
      <c r="B280" s="477" t="s">
        <v>491</v>
      </c>
      <c r="C280" s="453">
        <f>C281</f>
        <v>0</v>
      </c>
      <c r="D280" s="453">
        <f>D281</f>
        <v>0</v>
      </c>
      <c r="E280" s="453">
        <f>+C280+D280</f>
        <v>0</v>
      </c>
      <c r="F280" s="453">
        <v>0</v>
      </c>
      <c r="G280" s="453">
        <v>0</v>
      </c>
      <c r="H280" s="453">
        <f>+E280-F280</f>
        <v>0</v>
      </c>
      <c r="I280" s="452"/>
    </row>
    <row r="281" spans="1:9" x14ac:dyDescent="0.25">
      <c r="A281" s="470">
        <v>44204</v>
      </c>
      <c r="B281" s="469" t="s">
        <v>490</v>
      </c>
      <c r="C281" s="453">
        <v>0</v>
      </c>
      <c r="D281" s="453">
        <v>0</v>
      </c>
      <c r="E281" s="453">
        <f>+C281+D281</f>
        <v>0</v>
      </c>
      <c r="F281" s="453">
        <v>0</v>
      </c>
      <c r="G281" s="453">
        <v>0</v>
      </c>
      <c r="H281" s="453">
        <f>+E281-F281</f>
        <v>0</v>
      </c>
      <c r="I281" s="452"/>
    </row>
    <row r="282" spans="1:9" x14ac:dyDescent="0.25">
      <c r="A282" s="474">
        <v>4800</v>
      </c>
      <c r="B282" s="477" t="s">
        <v>489</v>
      </c>
      <c r="C282" s="453">
        <f>C283</f>
        <v>0</v>
      </c>
      <c r="D282" s="453">
        <f>D283</f>
        <v>0</v>
      </c>
      <c r="E282" s="453">
        <f>+C282+D282</f>
        <v>0</v>
      </c>
      <c r="F282" s="453">
        <v>0</v>
      </c>
      <c r="G282" s="453">
        <v>0</v>
      </c>
      <c r="H282" s="453">
        <f>+E282-F282</f>
        <v>0</v>
      </c>
      <c r="I282" s="452"/>
    </row>
    <row r="283" spans="1:9" x14ac:dyDescent="0.25">
      <c r="A283" s="473">
        <v>481</v>
      </c>
      <c r="B283" s="477" t="s">
        <v>488</v>
      </c>
      <c r="C283" s="453">
        <f>C284</f>
        <v>0</v>
      </c>
      <c r="D283" s="453">
        <f>D284</f>
        <v>0</v>
      </c>
      <c r="E283" s="453">
        <f>+C283+D283</f>
        <v>0</v>
      </c>
      <c r="F283" s="453">
        <v>0</v>
      </c>
      <c r="G283" s="453">
        <v>0</v>
      </c>
      <c r="H283" s="453">
        <f>+E283-F283</f>
        <v>0</v>
      </c>
      <c r="I283" s="452"/>
    </row>
    <row r="284" spans="1:9" x14ac:dyDescent="0.25">
      <c r="A284" s="470">
        <v>48101</v>
      </c>
      <c r="B284" s="469" t="s">
        <v>488</v>
      </c>
      <c r="C284" s="454">
        <v>0</v>
      </c>
      <c r="D284" s="454">
        <v>0</v>
      </c>
      <c r="E284" s="453">
        <f>+C284+D284</f>
        <v>0</v>
      </c>
      <c r="F284" s="454">
        <v>0</v>
      </c>
      <c r="G284" s="454">
        <v>0</v>
      </c>
      <c r="H284" s="453">
        <f>+E284-F284</f>
        <v>0</v>
      </c>
      <c r="I284" s="452"/>
    </row>
    <row r="285" spans="1:9" x14ac:dyDescent="0.25">
      <c r="A285" s="470"/>
      <c r="B285" s="469"/>
      <c r="C285" s="454">
        <v>0</v>
      </c>
      <c r="D285" s="454">
        <v>0</v>
      </c>
      <c r="E285" s="453">
        <f>+C285+D285</f>
        <v>0</v>
      </c>
      <c r="F285" s="454">
        <v>0</v>
      </c>
      <c r="G285" s="454">
        <v>0</v>
      </c>
      <c r="H285" s="453">
        <f>+E285-F285</f>
        <v>0</v>
      </c>
      <c r="I285" s="452"/>
    </row>
    <row r="286" spans="1:9" x14ac:dyDescent="0.25">
      <c r="A286" s="464">
        <v>5000</v>
      </c>
      <c r="B286" s="477" t="s">
        <v>487</v>
      </c>
      <c r="C286" s="453">
        <f>C287+C296+C301+C304+C309+C323+C326</f>
        <v>0</v>
      </c>
      <c r="D286" s="453">
        <v>648631.28</v>
      </c>
      <c r="E286" s="453">
        <f>+C286+D286</f>
        <v>648631.28</v>
      </c>
      <c r="F286" s="453">
        <v>645400.71</v>
      </c>
      <c r="G286" s="453">
        <v>535389.81999999995</v>
      </c>
      <c r="H286" s="453">
        <f>+E286-F286</f>
        <v>3230.5700000000652</v>
      </c>
      <c r="I286" s="452">
        <f>+F286/E286</f>
        <v>0.99501940455292248</v>
      </c>
    </row>
    <row r="287" spans="1:9" x14ac:dyDescent="0.25">
      <c r="A287" s="474">
        <v>5100</v>
      </c>
      <c r="B287" s="477" t="s">
        <v>486</v>
      </c>
      <c r="C287" s="453">
        <f>C288+C290+C292+C294</f>
        <v>0</v>
      </c>
      <c r="D287" s="453">
        <v>0</v>
      </c>
      <c r="E287" s="453">
        <f>+C287+D287</f>
        <v>0</v>
      </c>
      <c r="F287" s="453">
        <v>0</v>
      </c>
      <c r="G287" s="453">
        <v>0</v>
      </c>
      <c r="H287" s="453">
        <f>+E287-F287</f>
        <v>0</v>
      </c>
      <c r="I287" s="452"/>
    </row>
    <row r="288" spans="1:9" x14ac:dyDescent="0.25">
      <c r="A288" s="473">
        <v>511</v>
      </c>
      <c r="B288" s="477" t="s">
        <v>485</v>
      </c>
      <c r="C288" s="453">
        <f>C289</f>
        <v>0</v>
      </c>
      <c r="D288" s="453">
        <v>0</v>
      </c>
      <c r="E288" s="453">
        <f>+C288+D288</f>
        <v>0</v>
      </c>
      <c r="F288" s="453">
        <v>0</v>
      </c>
      <c r="G288" s="453">
        <v>0</v>
      </c>
      <c r="H288" s="453">
        <f>+E288-F288</f>
        <v>0</v>
      </c>
      <c r="I288" s="452"/>
    </row>
    <row r="289" spans="1:9" x14ac:dyDescent="0.25">
      <c r="A289" s="470">
        <v>51101</v>
      </c>
      <c r="B289" s="469" t="s">
        <v>484</v>
      </c>
      <c r="C289" s="454"/>
      <c r="D289" s="454">
        <v>0</v>
      </c>
      <c r="E289" s="453">
        <f>+C289+D289</f>
        <v>0</v>
      </c>
      <c r="F289" s="454">
        <v>0</v>
      </c>
      <c r="G289" s="454">
        <v>0</v>
      </c>
      <c r="H289" s="453">
        <f>+E289-F289</f>
        <v>0</v>
      </c>
      <c r="I289" s="452"/>
    </row>
    <row r="290" spans="1:9" x14ac:dyDescent="0.25">
      <c r="A290" s="473">
        <v>512</v>
      </c>
      <c r="B290" s="477" t="s">
        <v>483</v>
      </c>
      <c r="C290" s="453">
        <f>C291</f>
        <v>0</v>
      </c>
      <c r="D290" s="453">
        <v>0</v>
      </c>
      <c r="E290" s="453">
        <f>+C290+D290</f>
        <v>0</v>
      </c>
      <c r="F290" s="453">
        <v>0</v>
      </c>
      <c r="G290" s="453">
        <v>0</v>
      </c>
      <c r="H290" s="453">
        <f>+E290-F290</f>
        <v>0</v>
      </c>
      <c r="I290" s="452"/>
    </row>
    <row r="291" spans="1:9" x14ac:dyDescent="0.25">
      <c r="A291" s="470">
        <v>51201</v>
      </c>
      <c r="B291" s="469" t="s">
        <v>483</v>
      </c>
      <c r="C291" s="454"/>
      <c r="D291" s="454">
        <v>0</v>
      </c>
      <c r="E291" s="453">
        <f>+C291+D291</f>
        <v>0</v>
      </c>
      <c r="F291" s="454">
        <v>0</v>
      </c>
      <c r="G291" s="454">
        <v>0</v>
      </c>
      <c r="H291" s="453">
        <f>+E291-F291</f>
        <v>0</v>
      </c>
      <c r="I291" s="452"/>
    </row>
    <row r="292" spans="1:9" ht="22.5" x14ac:dyDescent="0.25">
      <c r="A292" s="473">
        <v>515</v>
      </c>
      <c r="B292" s="477" t="s">
        <v>482</v>
      </c>
      <c r="C292" s="453">
        <f>C293</f>
        <v>0</v>
      </c>
      <c r="D292" s="453">
        <v>0</v>
      </c>
      <c r="E292" s="453">
        <f>+C292+D292</f>
        <v>0</v>
      </c>
      <c r="F292" s="453">
        <v>0</v>
      </c>
      <c r="G292" s="453">
        <v>0</v>
      </c>
      <c r="H292" s="453">
        <f>+E292-F292</f>
        <v>0</v>
      </c>
      <c r="I292" s="452"/>
    </row>
    <row r="293" spans="1:9" x14ac:dyDescent="0.25">
      <c r="A293" s="470">
        <v>51501</v>
      </c>
      <c r="B293" s="469" t="s">
        <v>481</v>
      </c>
      <c r="C293" s="454"/>
      <c r="D293" s="454">
        <v>0</v>
      </c>
      <c r="E293" s="453">
        <f>+C293+D293</f>
        <v>0</v>
      </c>
      <c r="F293" s="454">
        <v>0</v>
      </c>
      <c r="G293" s="454">
        <v>0</v>
      </c>
      <c r="H293" s="453">
        <f>+E293-F293</f>
        <v>0</v>
      </c>
      <c r="I293" s="452"/>
    </row>
    <row r="294" spans="1:9" x14ac:dyDescent="0.25">
      <c r="A294" s="473">
        <v>519</v>
      </c>
      <c r="B294" s="477" t="s">
        <v>480</v>
      </c>
      <c r="C294" s="453">
        <f>C295</f>
        <v>0</v>
      </c>
      <c r="D294" s="453">
        <v>0</v>
      </c>
      <c r="E294" s="453">
        <f>+C294+D294</f>
        <v>0</v>
      </c>
      <c r="F294" s="453">
        <v>0</v>
      </c>
      <c r="G294" s="453">
        <v>0</v>
      </c>
      <c r="H294" s="453">
        <f>+E294-F294</f>
        <v>0</v>
      </c>
      <c r="I294" s="452"/>
    </row>
    <row r="295" spans="1:9" x14ac:dyDescent="0.25">
      <c r="A295" s="470">
        <v>51901</v>
      </c>
      <c r="B295" s="469" t="s">
        <v>479</v>
      </c>
      <c r="C295" s="454"/>
      <c r="D295" s="454">
        <v>0</v>
      </c>
      <c r="E295" s="453">
        <f>+C295+D295</f>
        <v>0</v>
      </c>
      <c r="F295" s="454">
        <v>0</v>
      </c>
      <c r="G295" s="454">
        <v>0</v>
      </c>
      <c r="H295" s="453">
        <f>+E295-F295</f>
        <v>0</v>
      </c>
      <c r="I295" s="452"/>
    </row>
    <row r="296" spans="1:9" x14ac:dyDescent="0.25">
      <c r="A296" s="474">
        <v>5200</v>
      </c>
      <c r="B296" s="477" t="s">
        <v>478</v>
      </c>
      <c r="C296" s="453">
        <f>C297+C299</f>
        <v>0</v>
      </c>
      <c r="D296" s="453">
        <v>0</v>
      </c>
      <c r="E296" s="453">
        <f>+C296+D296</f>
        <v>0</v>
      </c>
      <c r="F296" s="453">
        <v>0</v>
      </c>
      <c r="G296" s="453">
        <v>0</v>
      </c>
      <c r="H296" s="453">
        <f>+E296-F296</f>
        <v>0</v>
      </c>
      <c r="I296" s="452"/>
    </row>
    <row r="297" spans="1:9" x14ac:dyDescent="0.25">
      <c r="A297" s="473">
        <v>521</v>
      </c>
      <c r="B297" s="477" t="s">
        <v>477</v>
      </c>
      <c r="C297" s="453">
        <f>C298</f>
        <v>0</v>
      </c>
      <c r="D297" s="453">
        <v>0</v>
      </c>
      <c r="E297" s="453">
        <f>+C297+D297</f>
        <v>0</v>
      </c>
      <c r="F297" s="453">
        <v>0</v>
      </c>
      <c r="G297" s="453">
        <v>0</v>
      </c>
      <c r="H297" s="453">
        <f>+E297-F297</f>
        <v>0</v>
      </c>
      <c r="I297" s="452"/>
    </row>
    <row r="298" spans="1:9" x14ac:dyDescent="0.25">
      <c r="A298" s="470">
        <v>52101</v>
      </c>
      <c r="B298" s="469" t="s">
        <v>477</v>
      </c>
      <c r="C298" s="454"/>
      <c r="D298" s="454">
        <v>0</v>
      </c>
      <c r="E298" s="453">
        <f>+C298+D298</f>
        <v>0</v>
      </c>
      <c r="F298" s="454">
        <v>0</v>
      </c>
      <c r="G298" s="454">
        <v>0</v>
      </c>
      <c r="H298" s="453">
        <f>+E298-F298</f>
        <v>0</v>
      </c>
      <c r="I298" s="452"/>
    </row>
    <row r="299" spans="1:9" x14ac:dyDescent="0.25">
      <c r="A299" s="473">
        <v>523</v>
      </c>
      <c r="B299" s="477" t="s">
        <v>476</v>
      </c>
      <c r="C299" s="453">
        <f>C300</f>
        <v>0</v>
      </c>
      <c r="D299" s="453">
        <v>0</v>
      </c>
      <c r="E299" s="453">
        <f>+C299+D299</f>
        <v>0</v>
      </c>
      <c r="F299" s="453">
        <v>0</v>
      </c>
      <c r="G299" s="453">
        <v>0</v>
      </c>
      <c r="H299" s="453">
        <f>+E299-F299</f>
        <v>0</v>
      </c>
      <c r="I299" s="452"/>
    </row>
    <row r="300" spans="1:9" x14ac:dyDescent="0.25">
      <c r="A300" s="470">
        <v>52301</v>
      </c>
      <c r="B300" s="469" t="s">
        <v>476</v>
      </c>
      <c r="C300" s="454"/>
      <c r="D300" s="454">
        <v>0</v>
      </c>
      <c r="E300" s="453">
        <f>+C300+D300</f>
        <v>0</v>
      </c>
      <c r="F300" s="454">
        <v>0</v>
      </c>
      <c r="G300" s="454">
        <v>0</v>
      </c>
      <c r="H300" s="453">
        <f>+E300-F300</f>
        <v>0</v>
      </c>
      <c r="I300" s="452"/>
    </row>
    <row r="301" spans="1:9" x14ac:dyDescent="0.25">
      <c r="A301" s="474">
        <v>5300</v>
      </c>
      <c r="B301" s="477" t="s">
        <v>475</v>
      </c>
      <c r="C301" s="454">
        <f>C302</f>
        <v>0</v>
      </c>
      <c r="D301" s="454">
        <v>0</v>
      </c>
      <c r="E301" s="453">
        <f>+C301+D301</f>
        <v>0</v>
      </c>
      <c r="F301" s="454">
        <v>0</v>
      </c>
      <c r="G301" s="454">
        <v>0</v>
      </c>
      <c r="H301" s="453">
        <f>+E301-F301</f>
        <v>0</v>
      </c>
      <c r="I301" s="452"/>
    </row>
    <row r="302" spans="1:9" x14ac:dyDescent="0.25">
      <c r="A302" s="473">
        <v>532</v>
      </c>
      <c r="B302" s="477" t="s">
        <v>474</v>
      </c>
      <c r="C302" s="454">
        <f>C303</f>
        <v>0</v>
      </c>
      <c r="D302" s="454">
        <v>0</v>
      </c>
      <c r="E302" s="453">
        <f>+C302+D302</f>
        <v>0</v>
      </c>
      <c r="F302" s="454">
        <v>0</v>
      </c>
      <c r="G302" s="454">
        <v>0</v>
      </c>
      <c r="H302" s="453">
        <f>+E302-F302</f>
        <v>0</v>
      </c>
      <c r="I302" s="452"/>
    </row>
    <row r="303" spans="1:9" x14ac:dyDescent="0.25">
      <c r="A303" s="470">
        <v>53201</v>
      </c>
      <c r="B303" s="469" t="s">
        <v>474</v>
      </c>
      <c r="C303" s="454"/>
      <c r="D303" s="454">
        <v>0</v>
      </c>
      <c r="E303" s="453">
        <f>+C303+D303</f>
        <v>0</v>
      </c>
      <c r="F303" s="454">
        <v>0</v>
      </c>
      <c r="G303" s="454">
        <v>0</v>
      </c>
      <c r="H303" s="453">
        <f>+E303-F303</f>
        <v>0</v>
      </c>
      <c r="I303" s="452"/>
    </row>
    <row r="304" spans="1:9" x14ac:dyDescent="0.25">
      <c r="A304" s="474">
        <v>5400</v>
      </c>
      <c r="B304" s="477" t="s">
        <v>473</v>
      </c>
      <c r="C304" s="453">
        <f>C305+C307</f>
        <v>0</v>
      </c>
      <c r="D304" s="453">
        <v>241161.68</v>
      </c>
      <c r="E304" s="453">
        <f>+C304+D304</f>
        <v>241161.68</v>
      </c>
      <c r="F304" s="453">
        <v>239585.33</v>
      </c>
      <c r="G304" s="453">
        <v>239585.33</v>
      </c>
      <c r="H304" s="453">
        <f>+E304-F304</f>
        <v>1576.3500000000058</v>
      </c>
      <c r="I304" s="452">
        <f>+F304/E304</f>
        <v>0.99346351377217146</v>
      </c>
    </row>
    <row r="305" spans="1:9" x14ac:dyDescent="0.25">
      <c r="A305" s="473">
        <v>541</v>
      </c>
      <c r="B305" s="477" t="s">
        <v>473</v>
      </c>
      <c r="C305" s="453">
        <f>C306</f>
        <v>0</v>
      </c>
      <c r="D305" s="453">
        <v>1576.3500000000058</v>
      </c>
      <c r="E305" s="453">
        <f>+C305+D305</f>
        <v>1576.3500000000058</v>
      </c>
      <c r="F305" s="453">
        <v>0</v>
      </c>
      <c r="G305" s="453">
        <v>0</v>
      </c>
      <c r="H305" s="453">
        <f>+E305-F305</f>
        <v>1576.3500000000058</v>
      </c>
      <c r="I305" s="452">
        <f>+F305/E305</f>
        <v>0</v>
      </c>
    </row>
    <row r="306" spans="1:9" x14ac:dyDescent="0.25">
      <c r="A306" s="470">
        <v>54101</v>
      </c>
      <c r="B306" s="469" t="s">
        <v>472</v>
      </c>
      <c r="C306" s="454"/>
      <c r="D306" s="454">
        <v>1576.3500000000058</v>
      </c>
      <c r="E306" s="453">
        <f>+C306+D306</f>
        <v>1576.3500000000058</v>
      </c>
      <c r="F306" s="454">
        <v>0</v>
      </c>
      <c r="G306" s="454">
        <v>0</v>
      </c>
      <c r="H306" s="453">
        <f>+E306-F306</f>
        <v>1576.3500000000058</v>
      </c>
      <c r="I306" s="452">
        <f>+F306/E306</f>
        <v>0</v>
      </c>
    </row>
    <row r="307" spans="1:9" x14ac:dyDescent="0.25">
      <c r="A307" s="473">
        <v>549</v>
      </c>
      <c r="B307" s="477" t="s">
        <v>471</v>
      </c>
      <c r="C307" s="453">
        <f>C308</f>
        <v>0</v>
      </c>
      <c r="D307" s="453">
        <v>239585.33</v>
      </c>
      <c r="E307" s="453">
        <f>+C307+D307</f>
        <v>239585.33</v>
      </c>
      <c r="F307" s="453">
        <v>239585.33</v>
      </c>
      <c r="G307" s="453">
        <v>239585.33</v>
      </c>
      <c r="H307" s="453">
        <f>+E307-F307</f>
        <v>0</v>
      </c>
      <c r="I307" s="452"/>
    </row>
    <row r="308" spans="1:9" x14ac:dyDescent="0.25">
      <c r="A308" s="470">
        <v>54901</v>
      </c>
      <c r="B308" s="469" t="s">
        <v>471</v>
      </c>
      <c r="C308" s="454"/>
      <c r="D308" s="454">
        <v>239585.33</v>
      </c>
      <c r="E308" s="453">
        <f>+C308+D308</f>
        <v>239585.33</v>
      </c>
      <c r="F308" s="454">
        <v>239585.33</v>
      </c>
      <c r="G308" s="454">
        <v>239585.33</v>
      </c>
      <c r="H308" s="453">
        <f>+E308-F308</f>
        <v>0</v>
      </c>
      <c r="I308" s="452"/>
    </row>
    <row r="309" spans="1:9" x14ac:dyDescent="0.25">
      <c r="A309" s="474">
        <v>5600</v>
      </c>
      <c r="B309" s="477" t="s">
        <v>470</v>
      </c>
      <c r="C309" s="453">
        <f>C310+C312+C314+C316+C318+C320</f>
        <v>0</v>
      </c>
      <c r="D309" s="453">
        <v>407469.6</v>
      </c>
      <c r="E309" s="453">
        <f>+C309+D309</f>
        <v>407469.6</v>
      </c>
      <c r="F309" s="453">
        <v>405815.38</v>
      </c>
      <c r="G309" s="453">
        <v>295804.49</v>
      </c>
      <c r="H309" s="453">
        <f>+E309-F309</f>
        <v>1654.2199999999721</v>
      </c>
      <c r="I309" s="452">
        <f>+F309/E309</f>
        <v>0.99594026155570881</v>
      </c>
    </row>
    <row r="310" spans="1:9" x14ac:dyDescent="0.25">
      <c r="A310" s="473">
        <v>562</v>
      </c>
      <c r="B310" s="477" t="s">
        <v>469</v>
      </c>
      <c r="C310" s="453">
        <f>C311</f>
        <v>0</v>
      </c>
      <c r="D310" s="453">
        <v>376497.6</v>
      </c>
      <c r="E310" s="453">
        <f>+C310+D310</f>
        <v>376497.6</v>
      </c>
      <c r="F310" s="453">
        <v>374843.38</v>
      </c>
      <c r="G310" s="453">
        <v>264832.49</v>
      </c>
      <c r="H310" s="453">
        <f>+E310-F310</f>
        <v>1654.2199999999721</v>
      </c>
      <c r="I310" s="452">
        <f>+F310/E310</f>
        <v>0.99560629337345052</v>
      </c>
    </row>
    <row r="311" spans="1:9" x14ac:dyDescent="0.25">
      <c r="A311" s="470">
        <v>56201</v>
      </c>
      <c r="B311" s="469" t="s">
        <v>469</v>
      </c>
      <c r="C311" s="454"/>
      <c r="D311" s="454">
        <v>376497.6</v>
      </c>
      <c r="E311" s="453">
        <f>+C311+D311</f>
        <v>376497.6</v>
      </c>
      <c r="F311" s="454">
        <v>374843.38</v>
      </c>
      <c r="G311" s="454">
        <v>264832.49</v>
      </c>
      <c r="H311" s="453">
        <f>+E311-F311</f>
        <v>1654.2199999999721</v>
      </c>
      <c r="I311" s="452">
        <f>+F311/E311</f>
        <v>0.99560629337345052</v>
      </c>
    </row>
    <row r="312" spans="1:9" ht="22.5" x14ac:dyDescent="0.25">
      <c r="A312" s="473">
        <v>564</v>
      </c>
      <c r="B312" s="477" t="s">
        <v>468</v>
      </c>
      <c r="C312" s="453">
        <f>C313</f>
        <v>0</v>
      </c>
      <c r="D312" s="453">
        <v>30972</v>
      </c>
      <c r="E312" s="453">
        <f>+C312+D312</f>
        <v>30972</v>
      </c>
      <c r="F312" s="453">
        <v>30972</v>
      </c>
      <c r="G312" s="453">
        <v>30972</v>
      </c>
      <c r="H312" s="453">
        <f>+E312-F312</f>
        <v>0</v>
      </c>
      <c r="I312" s="452"/>
    </row>
    <row r="313" spans="1:9" ht="22.5" x14ac:dyDescent="0.25">
      <c r="A313" s="470">
        <v>56401</v>
      </c>
      <c r="B313" s="469" t="s">
        <v>468</v>
      </c>
      <c r="C313" s="454"/>
      <c r="D313" s="454">
        <v>30972</v>
      </c>
      <c r="E313" s="453">
        <f>+C313+D313</f>
        <v>30972</v>
      </c>
      <c r="F313" s="454">
        <v>30972</v>
      </c>
      <c r="G313" s="454">
        <v>30972</v>
      </c>
      <c r="H313" s="453">
        <f>+E313-F313</f>
        <v>0</v>
      </c>
      <c r="I313" s="452"/>
    </row>
    <row r="314" spans="1:9" x14ac:dyDescent="0.25">
      <c r="A314" s="476">
        <v>565</v>
      </c>
      <c r="B314" s="472" t="s">
        <v>467</v>
      </c>
      <c r="C314" s="453">
        <f>C315</f>
        <v>0</v>
      </c>
      <c r="D314" s="453">
        <v>0</v>
      </c>
      <c r="E314" s="453">
        <f>+C314+D314</f>
        <v>0</v>
      </c>
      <c r="F314" s="453">
        <v>0</v>
      </c>
      <c r="G314" s="453">
        <v>0</v>
      </c>
      <c r="H314" s="453">
        <f>+E314-F314</f>
        <v>0</v>
      </c>
      <c r="I314" s="452"/>
    </row>
    <row r="315" spans="1:9" x14ac:dyDescent="0.25">
      <c r="A315" s="475">
        <v>56501</v>
      </c>
      <c r="B315" s="471" t="s">
        <v>467</v>
      </c>
      <c r="C315" s="454"/>
      <c r="D315" s="454">
        <v>0</v>
      </c>
      <c r="E315" s="453">
        <f>+C315+D315</f>
        <v>0</v>
      </c>
      <c r="F315" s="454">
        <v>0</v>
      </c>
      <c r="G315" s="454">
        <v>0</v>
      </c>
      <c r="H315" s="453">
        <f>+E315-F315</f>
        <v>0</v>
      </c>
      <c r="I315" s="452"/>
    </row>
    <row r="316" spans="1:9" ht="22.5" x14ac:dyDescent="0.25">
      <c r="A316" s="476">
        <v>566</v>
      </c>
      <c r="B316" s="472" t="s">
        <v>466</v>
      </c>
      <c r="C316" s="453">
        <f>C317</f>
        <v>0</v>
      </c>
      <c r="D316" s="453">
        <v>0</v>
      </c>
      <c r="E316" s="453">
        <f>+C316+D316</f>
        <v>0</v>
      </c>
      <c r="F316" s="453">
        <v>0</v>
      </c>
      <c r="G316" s="453">
        <v>0</v>
      </c>
      <c r="H316" s="453">
        <f>+E316-F316</f>
        <v>0</v>
      </c>
      <c r="I316" s="452"/>
    </row>
    <row r="317" spans="1:9" x14ac:dyDescent="0.25">
      <c r="A317" s="475">
        <v>56601</v>
      </c>
      <c r="B317" s="471" t="s">
        <v>465</v>
      </c>
      <c r="C317" s="454"/>
      <c r="D317" s="454">
        <v>0</v>
      </c>
      <c r="E317" s="453">
        <f>+C317+D317</f>
        <v>0</v>
      </c>
      <c r="F317" s="454">
        <v>0</v>
      </c>
      <c r="G317" s="454">
        <v>0</v>
      </c>
      <c r="H317" s="453">
        <f>+E317-F317</f>
        <v>0</v>
      </c>
      <c r="I317" s="452"/>
    </row>
    <row r="318" spans="1:9" x14ac:dyDescent="0.25">
      <c r="A318" s="476">
        <v>567</v>
      </c>
      <c r="B318" s="472" t="s">
        <v>464</v>
      </c>
      <c r="C318" s="453">
        <f>C319</f>
        <v>0</v>
      </c>
      <c r="D318" s="453">
        <v>0</v>
      </c>
      <c r="E318" s="453">
        <f>+C318+D318</f>
        <v>0</v>
      </c>
      <c r="F318" s="453">
        <v>0</v>
      </c>
      <c r="G318" s="453">
        <v>0</v>
      </c>
      <c r="H318" s="453">
        <f>+E318-F318</f>
        <v>0</v>
      </c>
      <c r="I318" s="452"/>
    </row>
    <row r="319" spans="1:9" x14ac:dyDescent="0.25">
      <c r="A319" s="475">
        <v>56701</v>
      </c>
      <c r="B319" s="471" t="s">
        <v>463</v>
      </c>
      <c r="C319" s="454"/>
      <c r="D319" s="454">
        <v>0</v>
      </c>
      <c r="E319" s="453">
        <f>+C319+D319</f>
        <v>0</v>
      </c>
      <c r="F319" s="454">
        <v>0</v>
      </c>
      <c r="G319" s="454">
        <v>0</v>
      </c>
      <c r="H319" s="453">
        <f>+E319-F319</f>
        <v>0</v>
      </c>
      <c r="I319" s="452"/>
    </row>
    <row r="320" spans="1:9" x14ac:dyDescent="0.25">
      <c r="A320" s="476">
        <v>569</v>
      </c>
      <c r="B320" s="472" t="s">
        <v>462</v>
      </c>
      <c r="C320" s="453">
        <f>C321+C322</f>
        <v>0</v>
      </c>
      <c r="D320" s="453">
        <v>0</v>
      </c>
      <c r="E320" s="453">
        <f>+C320+D320</f>
        <v>0</v>
      </c>
      <c r="F320" s="453">
        <v>0</v>
      </c>
      <c r="G320" s="453">
        <v>0</v>
      </c>
      <c r="H320" s="453">
        <f>+E320-F320</f>
        <v>0</v>
      </c>
      <c r="I320" s="452"/>
    </row>
    <row r="321" spans="1:9" x14ac:dyDescent="0.25">
      <c r="A321" s="475">
        <v>56901</v>
      </c>
      <c r="B321" s="471" t="s">
        <v>461</v>
      </c>
      <c r="C321" s="454"/>
      <c r="D321" s="454">
        <v>0</v>
      </c>
      <c r="E321" s="453">
        <f>+C321+D321</f>
        <v>0</v>
      </c>
      <c r="F321" s="454">
        <v>0</v>
      </c>
      <c r="G321" s="454">
        <v>0</v>
      </c>
      <c r="H321" s="453">
        <f>+E321-F321</f>
        <v>0</v>
      </c>
      <c r="I321" s="452"/>
    </row>
    <row r="322" spans="1:9" x14ac:dyDescent="0.25">
      <c r="A322" s="475">
        <v>56902</v>
      </c>
      <c r="B322" s="471" t="s">
        <v>460</v>
      </c>
      <c r="C322" s="454"/>
      <c r="D322" s="454">
        <v>0</v>
      </c>
      <c r="E322" s="453">
        <f>+C322+D322</f>
        <v>0</v>
      </c>
      <c r="F322" s="454">
        <v>0</v>
      </c>
      <c r="G322" s="454">
        <v>0</v>
      </c>
      <c r="H322" s="453">
        <f>+E322-F322</f>
        <v>0</v>
      </c>
      <c r="I322" s="452"/>
    </row>
    <row r="323" spans="1:9" x14ac:dyDescent="0.25">
      <c r="A323" s="474">
        <v>5800</v>
      </c>
      <c r="B323" s="472" t="s">
        <v>156</v>
      </c>
      <c r="C323" s="454">
        <f>C324</f>
        <v>0</v>
      </c>
      <c r="D323" s="454">
        <v>0</v>
      </c>
      <c r="E323" s="453">
        <f>+C323+D323</f>
        <v>0</v>
      </c>
      <c r="F323" s="454">
        <v>0</v>
      </c>
      <c r="G323" s="454">
        <v>0</v>
      </c>
      <c r="H323" s="453">
        <f>+E323-F323</f>
        <v>0</v>
      </c>
      <c r="I323" s="452"/>
    </row>
    <row r="324" spans="1:9" x14ac:dyDescent="0.25">
      <c r="A324" s="473">
        <v>581</v>
      </c>
      <c r="B324" s="472" t="s">
        <v>459</v>
      </c>
      <c r="C324" s="454">
        <f>C325</f>
        <v>0</v>
      </c>
      <c r="D324" s="454">
        <v>0</v>
      </c>
      <c r="E324" s="453">
        <f>+C324+D324</f>
        <v>0</v>
      </c>
      <c r="F324" s="454">
        <v>0</v>
      </c>
      <c r="G324" s="454">
        <v>0</v>
      </c>
      <c r="H324" s="453">
        <f>+E324-F324</f>
        <v>0</v>
      </c>
      <c r="I324" s="452"/>
    </row>
    <row r="325" spans="1:9" x14ac:dyDescent="0.25">
      <c r="A325" s="470">
        <v>58101</v>
      </c>
      <c r="B325" s="471" t="s">
        <v>459</v>
      </c>
      <c r="C325" s="454"/>
      <c r="D325" s="454">
        <v>0</v>
      </c>
      <c r="E325" s="453">
        <f>+C325+D325</f>
        <v>0</v>
      </c>
      <c r="F325" s="454">
        <v>0</v>
      </c>
      <c r="G325" s="454">
        <v>0</v>
      </c>
      <c r="H325" s="453">
        <f>+E325-F325</f>
        <v>0</v>
      </c>
      <c r="I325" s="452"/>
    </row>
    <row r="326" spans="1:9" x14ac:dyDescent="0.25">
      <c r="A326" s="474">
        <v>5900</v>
      </c>
      <c r="B326" s="472" t="s">
        <v>458</v>
      </c>
      <c r="C326" s="453">
        <f>C327</f>
        <v>0</v>
      </c>
      <c r="D326" s="453">
        <v>0</v>
      </c>
      <c r="E326" s="453">
        <f>+C326+D326</f>
        <v>0</v>
      </c>
      <c r="F326" s="453">
        <v>0</v>
      </c>
      <c r="G326" s="453">
        <v>0</v>
      </c>
      <c r="H326" s="453">
        <f>+E326-F326</f>
        <v>0</v>
      </c>
      <c r="I326" s="452"/>
    </row>
    <row r="327" spans="1:9" x14ac:dyDescent="0.25">
      <c r="A327" s="473">
        <v>591</v>
      </c>
      <c r="B327" s="472" t="s">
        <v>457</v>
      </c>
      <c r="C327" s="453">
        <f>C328</f>
        <v>0</v>
      </c>
      <c r="D327" s="453">
        <v>0</v>
      </c>
      <c r="E327" s="453">
        <f>+C327+D327</f>
        <v>0</v>
      </c>
      <c r="F327" s="453">
        <v>0</v>
      </c>
      <c r="G327" s="453">
        <v>0</v>
      </c>
      <c r="H327" s="453">
        <f>+E327-F327</f>
        <v>0</v>
      </c>
      <c r="I327" s="452"/>
    </row>
    <row r="328" spans="1:9" x14ac:dyDescent="0.25">
      <c r="A328" s="470">
        <v>59101</v>
      </c>
      <c r="B328" s="471" t="s">
        <v>457</v>
      </c>
      <c r="C328" s="454">
        <v>0</v>
      </c>
      <c r="D328" s="454">
        <v>0</v>
      </c>
      <c r="E328" s="453">
        <f>+C328+D328</f>
        <v>0</v>
      </c>
      <c r="F328" s="454">
        <v>0</v>
      </c>
      <c r="G328" s="454">
        <v>0</v>
      </c>
      <c r="H328" s="453">
        <f>+E328-F328</f>
        <v>0</v>
      </c>
      <c r="I328" s="452"/>
    </row>
    <row r="329" spans="1:9" x14ac:dyDescent="0.25">
      <c r="A329" s="470"/>
      <c r="B329" s="469"/>
      <c r="C329" s="454">
        <v>0</v>
      </c>
      <c r="D329" s="454">
        <v>0</v>
      </c>
      <c r="E329" s="453">
        <f>+C329+D329</f>
        <v>0</v>
      </c>
      <c r="F329" s="454">
        <v>0</v>
      </c>
      <c r="G329" s="454">
        <v>0</v>
      </c>
      <c r="H329" s="453">
        <f>+E329-F329</f>
        <v>0</v>
      </c>
      <c r="I329" s="452"/>
    </row>
    <row r="330" spans="1:9" x14ac:dyDescent="0.25">
      <c r="A330" s="459">
        <v>6000</v>
      </c>
      <c r="B330" s="464" t="s">
        <v>154</v>
      </c>
      <c r="C330" s="453">
        <f>C331+C352</f>
        <v>166755176</v>
      </c>
      <c r="D330" s="453">
        <f>D331+D352</f>
        <v>43640495.189999998</v>
      </c>
      <c r="E330" s="453">
        <f>+C330+D330</f>
        <v>210395671.19</v>
      </c>
      <c r="F330" s="453">
        <v>10227607.74</v>
      </c>
      <c r="G330" s="453">
        <v>10227607.74</v>
      </c>
      <c r="H330" s="453">
        <f>+E330-F330</f>
        <v>200168063.44999999</v>
      </c>
      <c r="I330" s="452">
        <f>+F330/E330</f>
        <v>4.8611303085051842E-2</v>
      </c>
    </row>
    <row r="331" spans="1:9" x14ac:dyDescent="0.25">
      <c r="A331" s="462"/>
      <c r="B331" s="464" t="s">
        <v>456</v>
      </c>
      <c r="C331" s="453">
        <f>C332+C347</f>
        <v>78479942</v>
      </c>
      <c r="D331" s="453">
        <f>D332+D347</f>
        <v>0</v>
      </c>
      <c r="E331" s="453">
        <f>+C331+D331</f>
        <v>78479942</v>
      </c>
      <c r="F331" s="453">
        <v>1978523.84</v>
      </c>
      <c r="G331" s="453">
        <v>1978523.84</v>
      </c>
      <c r="H331" s="453">
        <f>+E331-F331</f>
        <v>76501418.159999996</v>
      </c>
      <c r="I331" s="452">
        <f>+F331/E331</f>
        <v>2.5210567051642319E-2</v>
      </c>
    </row>
    <row r="332" spans="1:9" x14ac:dyDescent="0.25">
      <c r="A332" s="459">
        <v>6100</v>
      </c>
      <c r="B332" s="464" t="s">
        <v>449</v>
      </c>
      <c r="C332" s="453">
        <f>C333+C338</f>
        <v>78479942</v>
      </c>
      <c r="D332" s="453">
        <f>D333+D338</f>
        <v>0</v>
      </c>
      <c r="E332" s="453">
        <f>+C332+D332</f>
        <v>78479942</v>
      </c>
      <c r="F332" s="453">
        <v>1978523.84</v>
      </c>
      <c r="G332" s="453">
        <v>1978523.84</v>
      </c>
      <c r="H332" s="453">
        <f>+E332-F332</f>
        <v>76501418.159999996</v>
      </c>
      <c r="I332" s="452">
        <f>+F332/E332</f>
        <v>2.5210567051642319E-2</v>
      </c>
    </row>
    <row r="333" spans="1:9" ht="33.75" x14ac:dyDescent="0.25">
      <c r="A333" s="462">
        <v>613</v>
      </c>
      <c r="B333" s="464" t="s">
        <v>448</v>
      </c>
      <c r="C333" s="453">
        <f>SUM(C334:C337)</f>
        <v>0</v>
      </c>
      <c r="D333" s="453">
        <f>SUM(D334:D337)</f>
        <v>0</v>
      </c>
      <c r="E333" s="453">
        <f>+C333+D333</f>
        <v>0</v>
      </c>
      <c r="F333" s="453">
        <v>0</v>
      </c>
      <c r="G333" s="453">
        <v>0</v>
      </c>
      <c r="H333" s="453">
        <f>+E333-F333</f>
        <v>0</v>
      </c>
      <c r="I333" s="452"/>
    </row>
    <row r="334" spans="1:9" ht="22.5" x14ac:dyDescent="0.25">
      <c r="A334" s="460">
        <v>61305</v>
      </c>
      <c r="B334" s="463" t="s">
        <v>447</v>
      </c>
      <c r="C334" s="454"/>
      <c r="D334" s="454">
        <v>0</v>
      </c>
      <c r="E334" s="453">
        <f>+C334+D334</f>
        <v>0</v>
      </c>
      <c r="F334" s="454">
        <v>0</v>
      </c>
      <c r="G334" s="454">
        <v>0</v>
      </c>
      <c r="H334" s="453">
        <f>+E334-F334</f>
        <v>0</v>
      </c>
      <c r="I334" s="452"/>
    </row>
    <row r="335" spans="1:9" ht="22.5" x14ac:dyDescent="0.25">
      <c r="A335" s="460">
        <v>61309</v>
      </c>
      <c r="B335" s="463" t="s">
        <v>455</v>
      </c>
      <c r="C335" s="454"/>
      <c r="D335" s="454">
        <v>0</v>
      </c>
      <c r="E335" s="453">
        <f>+C335+D335</f>
        <v>0</v>
      </c>
      <c r="F335" s="454">
        <v>0</v>
      </c>
      <c r="G335" s="454">
        <v>0</v>
      </c>
      <c r="H335" s="453">
        <f>+E335-F335</f>
        <v>0</v>
      </c>
      <c r="I335" s="452"/>
    </row>
    <row r="336" spans="1:9" x14ac:dyDescent="0.25">
      <c r="A336" s="460">
        <v>61310</v>
      </c>
      <c r="B336" s="463" t="s">
        <v>446</v>
      </c>
      <c r="C336" s="454"/>
      <c r="D336" s="454">
        <v>0</v>
      </c>
      <c r="E336" s="453">
        <f>+C336+D336</f>
        <v>0</v>
      </c>
      <c r="F336" s="454">
        <v>0</v>
      </c>
      <c r="G336" s="454">
        <v>0</v>
      </c>
      <c r="H336" s="453">
        <f>+E336-F336</f>
        <v>0</v>
      </c>
      <c r="I336" s="452"/>
    </row>
    <row r="337" spans="1:9" x14ac:dyDescent="0.25">
      <c r="A337" s="460">
        <v>61315</v>
      </c>
      <c r="B337" s="463" t="s">
        <v>440</v>
      </c>
      <c r="C337" s="454"/>
      <c r="D337" s="454">
        <v>0</v>
      </c>
      <c r="E337" s="453">
        <f>+C337+D337</f>
        <v>0</v>
      </c>
      <c r="F337" s="454">
        <v>0</v>
      </c>
      <c r="G337" s="454">
        <v>0</v>
      </c>
      <c r="H337" s="453">
        <f>+E337-F337</f>
        <v>0</v>
      </c>
      <c r="I337" s="452"/>
    </row>
    <row r="338" spans="1:9" ht="22.5" x14ac:dyDescent="0.25">
      <c r="A338" s="462">
        <v>614</v>
      </c>
      <c r="B338" s="464" t="s">
        <v>444</v>
      </c>
      <c r="C338" s="453">
        <f>SUM(C339:C346)</f>
        <v>78479942</v>
      </c>
      <c r="D338" s="453">
        <f>SUM(D339:D346)</f>
        <v>0</v>
      </c>
      <c r="E338" s="453">
        <f>+C338+D338</f>
        <v>78479942</v>
      </c>
      <c r="F338" s="453">
        <v>1978523.84</v>
      </c>
      <c r="G338" s="453">
        <v>1978523.84</v>
      </c>
      <c r="H338" s="453">
        <f>+E338-F338</f>
        <v>76501418.159999996</v>
      </c>
      <c r="I338" s="452">
        <f>+F338/E338</f>
        <v>2.5210567051642319E-2</v>
      </c>
    </row>
    <row r="339" spans="1:9" x14ac:dyDescent="0.25">
      <c r="A339" s="460">
        <v>61404</v>
      </c>
      <c r="B339" s="463" t="s">
        <v>452</v>
      </c>
      <c r="C339" s="454"/>
      <c r="D339" s="454">
        <v>0</v>
      </c>
      <c r="E339" s="453">
        <f>+C339+D339</f>
        <v>0</v>
      </c>
      <c r="F339" s="454">
        <v>0</v>
      </c>
      <c r="G339" s="454">
        <v>0</v>
      </c>
      <c r="H339" s="453">
        <f>+E339-F339</f>
        <v>0</v>
      </c>
      <c r="I339" s="452"/>
    </row>
    <row r="340" spans="1:9" x14ac:dyDescent="0.25">
      <c r="A340" s="460">
        <v>61405</v>
      </c>
      <c r="B340" s="463" t="s">
        <v>454</v>
      </c>
      <c r="C340" s="454"/>
      <c r="D340" s="454">
        <v>0</v>
      </c>
      <c r="E340" s="453">
        <f>+C340+D340</f>
        <v>0</v>
      </c>
      <c r="F340" s="454">
        <v>0</v>
      </c>
      <c r="G340" s="454">
        <v>0</v>
      </c>
      <c r="H340" s="453">
        <f>+E340-F340</f>
        <v>0</v>
      </c>
      <c r="I340" s="452"/>
    </row>
    <row r="341" spans="1:9" x14ac:dyDescent="0.25">
      <c r="A341" s="460">
        <v>61406</v>
      </c>
      <c r="B341" s="463" t="s">
        <v>443</v>
      </c>
      <c r="C341" s="454"/>
      <c r="D341" s="454">
        <v>0</v>
      </c>
      <c r="E341" s="453">
        <f>+C341+D341</f>
        <v>0</v>
      </c>
      <c r="F341" s="454">
        <v>0</v>
      </c>
      <c r="G341" s="454">
        <v>0</v>
      </c>
      <c r="H341" s="453">
        <f>+E341-F341</f>
        <v>0</v>
      </c>
      <c r="I341" s="452"/>
    </row>
    <row r="342" spans="1:9" ht="22.5" x14ac:dyDescent="0.25">
      <c r="A342" s="460">
        <v>61408</v>
      </c>
      <c r="B342" s="463" t="s">
        <v>442</v>
      </c>
      <c r="C342" s="454">
        <v>78479942</v>
      </c>
      <c r="D342" s="454">
        <v>0</v>
      </c>
      <c r="E342" s="453">
        <f>+C342+D342</f>
        <v>78479942</v>
      </c>
      <c r="F342" s="454">
        <v>1978523.84</v>
      </c>
      <c r="G342" s="454">
        <v>1978523.84</v>
      </c>
      <c r="H342" s="453">
        <f>+E342-F342</f>
        <v>76501418.159999996</v>
      </c>
      <c r="I342" s="452">
        <f>+F342/E342</f>
        <v>2.5210567051642319E-2</v>
      </c>
    </row>
    <row r="343" spans="1:9" ht="22.5" x14ac:dyDescent="0.25">
      <c r="A343" s="460">
        <v>61409</v>
      </c>
      <c r="B343" s="463" t="s">
        <v>441</v>
      </c>
      <c r="C343" s="454"/>
      <c r="D343" s="454">
        <v>0</v>
      </c>
      <c r="E343" s="453">
        <f>+C343+D343</f>
        <v>0</v>
      </c>
      <c r="F343" s="454">
        <v>0</v>
      </c>
      <c r="G343" s="454">
        <v>0</v>
      </c>
      <c r="H343" s="453">
        <f>+E343-F343</f>
        <v>0</v>
      </c>
      <c r="I343" s="452"/>
    </row>
    <row r="344" spans="1:9" x14ac:dyDescent="0.25">
      <c r="A344" s="460">
        <v>61415</v>
      </c>
      <c r="B344" s="463" t="s">
        <v>440</v>
      </c>
      <c r="C344" s="454"/>
      <c r="D344" s="454">
        <v>0</v>
      </c>
      <c r="E344" s="453">
        <f>+C344+D344</f>
        <v>0</v>
      </c>
      <c r="F344" s="454">
        <v>0</v>
      </c>
      <c r="G344" s="454">
        <v>0</v>
      </c>
      <c r="H344" s="453">
        <f>+E344-F344</f>
        <v>0</v>
      </c>
      <c r="I344" s="452"/>
    </row>
    <row r="345" spans="1:9" ht="22.5" x14ac:dyDescent="0.25">
      <c r="A345" s="456">
        <v>61424</v>
      </c>
      <c r="B345" s="455" t="s">
        <v>439</v>
      </c>
      <c r="C345" s="454"/>
      <c r="D345" s="454">
        <v>0</v>
      </c>
      <c r="E345" s="453">
        <f>+C345+D345</f>
        <v>0</v>
      </c>
      <c r="F345" s="454">
        <v>0</v>
      </c>
      <c r="G345" s="454">
        <v>0</v>
      </c>
      <c r="H345" s="453">
        <f>+E345-F345</f>
        <v>0</v>
      </c>
      <c r="I345" s="452"/>
    </row>
    <row r="346" spans="1:9" x14ac:dyDescent="0.25">
      <c r="A346" s="456">
        <v>61425</v>
      </c>
      <c r="B346" s="455" t="s">
        <v>438</v>
      </c>
      <c r="C346" s="454"/>
      <c r="D346" s="454">
        <v>0</v>
      </c>
      <c r="E346" s="453">
        <f>+C346+D346</f>
        <v>0</v>
      </c>
      <c r="F346" s="454">
        <v>0</v>
      </c>
      <c r="G346" s="454">
        <v>0</v>
      </c>
      <c r="H346" s="453">
        <f>+E346-F346</f>
        <v>0</v>
      </c>
      <c r="I346" s="452"/>
    </row>
    <row r="347" spans="1:9" x14ac:dyDescent="0.25">
      <c r="A347" s="468">
        <v>6200</v>
      </c>
      <c r="B347" s="457" t="s">
        <v>453</v>
      </c>
      <c r="C347" s="453">
        <f>C348</f>
        <v>0</v>
      </c>
      <c r="D347" s="453">
        <v>0</v>
      </c>
      <c r="E347" s="453">
        <f>+C347+D347</f>
        <v>0</v>
      </c>
      <c r="F347" s="453">
        <v>0</v>
      </c>
      <c r="G347" s="453">
        <v>0</v>
      </c>
      <c r="H347" s="453">
        <f>+E347-F347</f>
        <v>0</v>
      </c>
      <c r="I347" s="452"/>
    </row>
    <row r="348" spans="1:9" ht="22.5" x14ac:dyDescent="0.25">
      <c r="A348" s="462">
        <v>624</v>
      </c>
      <c r="B348" s="457" t="s">
        <v>444</v>
      </c>
      <c r="C348" s="453">
        <f>C349+C350</f>
        <v>0</v>
      </c>
      <c r="D348" s="453">
        <v>0</v>
      </c>
      <c r="E348" s="453">
        <f>+C348+D348</f>
        <v>0</v>
      </c>
      <c r="F348" s="453">
        <v>0</v>
      </c>
      <c r="G348" s="453">
        <v>0</v>
      </c>
      <c r="H348" s="453">
        <f>+E348-F348</f>
        <v>0</v>
      </c>
      <c r="I348" s="452"/>
    </row>
    <row r="349" spans="1:9" x14ac:dyDescent="0.25">
      <c r="A349" s="456">
        <v>62404</v>
      </c>
      <c r="B349" s="455" t="s">
        <v>452</v>
      </c>
      <c r="C349" s="454"/>
      <c r="D349" s="454">
        <v>0</v>
      </c>
      <c r="E349" s="453">
        <f>+C349+D349</f>
        <v>0</v>
      </c>
      <c r="F349" s="454">
        <v>0</v>
      </c>
      <c r="G349" s="454">
        <v>0</v>
      </c>
      <c r="H349" s="453">
        <f>+E349-F349</f>
        <v>0</v>
      </c>
      <c r="I349" s="452"/>
    </row>
    <row r="350" spans="1:9" x14ac:dyDescent="0.25">
      <c r="A350" s="456">
        <v>61406</v>
      </c>
      <c r="B350" s="455" t="s">
        <v>451</v>
      </c>
      <c r="C350" s="454"/>
      <c r="D350" s="454">
        <v>0</v>
      </c>
      <c r="E350" s="453">
        <f>+C350+D350</f>
        <v>0</v>
      </c>
      <c r="F350" s="454">
        <v>0</v>
      </c>
      <c r="G350" s="454">
        <v>0</v>
      </c>
      <c r="H350" s="453">
        <f>+E350-F350</f>
        <v>0</v>
      </c>
      <c r="I350" s="452"/>
    </row>
    <row r="351" spans="1:9" x14ac:dyDescent="0.25">
      <c r="A351" s="456"/>
      <c r="B351" s="455"/>
      <c r="C351" s="454"/>
      <c r="D351" s="454">
        <v>0</v>
      </c>
      <c r="E351" s="453">
        <f>+C351+D351</f>
        <v>0</v>
      </c>
      <c r="F351" s="454">
        <v>0</v>
      </c>
      <c r="G351" s="454">
        <v>0</v>
      </c>
      <c r="H351" s="453">
        <f>+E351-F351</f>
        <v>0</v>
      </c>
      <c r="I351" s="452"/>
    </row>
    <row r="352" spans="1:9" x14ac:dyDescent="0.25">
      <c r="A352" s="467"/>
      <c r="B352" s="468" t="s">
        <v>450</v>
      </c>
      <c r="C352" s="453">
        <f>C353</f>
        <v>88275234</v>
      </c>
      <c r="D352" s="453">
        <f>D353</f>
        <v>43640495.189999998</v>
      </c>
      <c r="E352" s="453">
        <f>+C352+D352</f>
        <v>131915729.19</v>
      </c>
      <c r="F352" s="454">
        <v>8249083.8999999994</v>
      </c>
      <c r="G352" s="454">
        <v>8249083.8999999994</v>
      </c>
      <c r="H352" s="453">
        <f>+E352-F352</f>
        <v>123666645.28999999</v>
      </c>
      <c r="I352" s="452">
        <f>+F352/E352</f>
        <v>6.2532981856308678E-2</v>
      </c>
    </row>
    <row r="353" spans="1:12" x14ac:dyDescent="0.25">
      <c r="A353" s="468">
        <v>6100</v>
      </c>
      <c r="B353" s="457" t="s">
        <v>449</v>
      </c>
      <c r="C353" s="453">
        <f>C354+C359</f>
        <v>88275234</v>
      </c>
      <c r="D353" s="453">
        <f>D354+D359</f>
        <v>43640495.189999998</v>
      </c>
      <c r="E353" s="453">
        <f>+C353+D353</f>
        <v>131915729.19</v>
      </c>
      <c r="F353" s="453">
        <v>8249083.8999999994</v>
      </c>
      <c r="G353" s="453">
        <v>8249083.8999999994</v>
      </c>
      <c r="H353" s="453">
        <f>+E353-F353</f>
        <v>123666645.28999999</v>
      </c>
      <c r="I353" s="452">
        <f>+F353/E353</f>
        <v>6.2532981856308678E-2</v>
      </c>
    </row>
    <row r="354" spans="1:12" ht="33.75" x14ac:dyDescent="0.25">
      <c r="A354" s="467">
        <v>613</v>
      </c>
      <c r="B354" s="464" t="s">
        <v>448</v>
      </c>
      <c r="C354" s="453">
        <f>SUM(C355:C358)</f>
        <v>0</v>
      </c>
      <c r="D354" s="453">
        <f>SUM(D355:D358)</f>
        <v>0</v>
      </c>
      <c r="E354" s="453">
        <f>+C354+D354</f>
        <v>0</v>
      </c>
      <c r="F354" s="453">
        <v>0</v>
      </c>
      <c r="G354" s="453">
        <v>0</v>
      </c>
      <c r="H354" s="453">
        <f>+E354-F354</f>
        <v>0</v>
      </c>
      <c r="I354" s="452"/>
    </row>
    <row r="355" spans="1:12" ht="22.5" x14ac:dyDescent="0.25">
      <c r="A355" s="456">
        <v>61305</v>
      </c>
      <c r="B355" s="463" t="s">
        <v>447</v>
      </c>
      <c r="C355" s="454"/>
      <c r="D355" s="454">
        <v>0</v>
      </c>
      <c r="E355" s="453">
        <f>+C355+D355</f>
        <v>0</v>
      </c>
      <c r="F355" s="454">
        <v>0</v>
      </c>
      <c r="G355" s="454">
        <v>0</v>
      </c>
      <c r="H355" s="453">
        <f>+E355-F355</f>
        <v>0</v>
      </c>
      <c r="I355" s="452"/>
    </row>
    <row r="356" spans="1:12" x14ac:dyDescent="0.25">
      <c r="A356" s="456">
        <v>61310</v>
      </c>
      <c r="B356" s="463" t="s">
        <v>446</v>
      </c>
      <c r="C356" s="454"/>
      <c r="D356" s="454">
        <v>0</v>
      </c>
      <c r="E356" s="453">
        <f>+C356+D356</f>
        <v>0</v>
      </c>
      <c r="F356" s="454">
        <v>0</v>
      </c>
      <c r="G356" s="454">
        <v>0</v>
      </c>
      <c r="H356" s="453">
        <f>+E356-F356</f>
        <v>0</v>
      </c>
      <c r="I356" s="452"/>
    </row>
    <row r="357" spans="1:12" ht="33.75" x14ac:dyDescent="0.25">
      <c r="A357" s="456">
        <v>61313</v>
      </c>
      <c r="B357" s="463" t="s">
        <v>445</v>
      </c>
      <c r="C357" s="454"/>
      <c r="D357" s="454">
        <v>0</v>
      </c>
      <c r="E357" s="453">
        <f>+C357+D357</f>
        <v>0</v>
      </c>
      <c r="F357" s="454">
        <v>0</v>
      </c>
      <c r="G357" s="454">
        <v>0</v>
      </c>
      <c r="H357" s="453">
        <f>+E357-F357</f>
        <v>0</v>
      </c>
      <c r="I357" s="452"/>
    </row>
    <row r="358" spans="1:12" x14ac:dyDescent="0.25">
      <c r="A358" s="456">
        <v>61315</v>
      </c>
      <c r="B358" s="463" t="s">
        <v>440</v>
      </c>
      <c r="C358" s="454"/>
      <c r="D358" s="454">
        <v>0</v>
      </c>
      <c r="E358" s="453">
        <f>+C358+D358</f>
        <v>0</v>
      </c>
      <c r="F358" s="454">
        <v>0</v>
      </c>
      <c r="G358" s="454">
        <v>0</v>
      </c>
      <c r="H358" s="453">
        <f>+E358-F358</f>
        <v>0</v>
      </c>
      <c r="I358" s="452"/>
    </row>
    <row r="359" spans="1:12" ht="22.5" x14ac:dyDescent="0.25">
      <c r="A359" s="462">
        <v>614</v>
      </c>
      <c r="B359" s="464" t="s">
        <v>444</v>
      </c>
      <c r="C359" s="453">
        <f>C360+C361+C362+C363+C364+C365</f>
        <v>88275234</v>
      </c>
      <c r="D359" s="453">
        <f>D360+D361+D362+D363+D364+D365</f>
        <v>43640495.189999998</v>
      </c>
      <c r="E359" s="453">
        <f>+C359+D359</f>
        <v>131915729.19</v>
      </c>
      <c r="F359" s="453">
        <v>8249083.8999999994</v>
      </c>
      <c r="G359" s="453">
        <v>8249083.8999999994</v>
      </c>
      <c r="H359" s="453">
        <f>+E359-F359</f>
        <v>123666645.28999999</v>
      </c>
      <c r="I359" s="452">
        <f>+F359/E359</f>
        <v>6.2532981856308678E-2</v>
      </c>
    </row>
    <row r="360" spans="1:12" x14ac:dyDescent="0.25">
      <c r="A360" s="460">
        <v>61406</v>
      </c>
      <c r="B360" s="463" t="s">
        <v>443</v>
      </c>
      <c r="C360" s="453"/>
      <c r="D360" s="454">
        <v>0</v>
      </c>
      <c r="E360" s="453">
        <f>+C360+D360</f>
        <v>0</v>
      </c>
      <c r="F360" s="453">
        <v>0</v>
      </c>
      <c r="G360" s="453">
        <v>0</v>
      </c>
      <c r="H360" s="453">
        <f>+E360-F360</f>
        <v>0</v>
      </c>
      <c r="I360" s="452"/>
    </row>
    <row r="361" spans="1:12" ht="22.5" x14ac:dyDescent="0.25">
      <c r="A361" s="460">
        <v>61408</v>
      </c>
      <c r="B361" s="463" t="s">
        <v>442</v>
      </c>
      <c r="C361" s="454">
        <v>88275234</v>
      </c>
      <c r="D361" s="454">
        <v>0</v>
      </c>
      <c r="E361" s="453">
        <f>+C361+D361</f>
        <v>88275234</v>
      </c>
      <c r="F361" s="454">
        <v>1978523.84</v>
      </c>
      <c r="G361" s="454">
        <v>1978523.84</v>
      </c>
      <c r="H361" s="453">
        <f>+E361-F361</f>
        <v>86296710.159999996</v>
      </c>
      <c r="I361" s="452">
        <f>+F361/E361</f>
        <v>2.2413124840881194E-2</v>
      </c>
    </row>
    <row r="362" spans="1:12" ht="22.5" x14ac:dyDescent="0.25">
      <c r="A362" s="460">
        <v>61409</v>
      </c>
      <c r="B362" s="463" t="s">
        <v>441</v>
      </c>
      <c r="C362" s="454"/>
      <c r="D362" s="454">
        <v>43264284.030000001</v>
      </c>
      <c r="E362" s="453">
        <f>+C362+D362</f>
        <v>43264284.030000001</v>
      </c>
      <c r="F362" s="454">
        <v>6136417.79</v>
      </c>
      <c r="G362" s="454">
        <v>6136417.79</v>
      </c>
      <c r="H362" s="453">
        <f>+E362-F362</f>
        <v>37127866.240000002</v>
      </c>
      <c r="I362" s="452">
        <f>+F362/E362</f>
        <v>0.14183564867836321</v>
      </c>
      <c r="K362" s="466"/>
      <c r="L362" s="465"/>
    </row>
    <row r="363" spans="1:12" x14ac:dyDescent="0.25">
      <c r="A363" s="460">
        <v>61415</v>
      </c>
      <c r="B363" s="463" t="s">
        <v>440</v>
      </c>
      <c r="C363" s="454"/>
      <c r="D363" s="454">
        <v>0</v>
      </c>
      <c r="E363" s="453">
        <f>+C363+D363</f>
        <v>0</v>
      </c>
      <c r="F363" s="454">
        <v>0</v>
      </c>
      <c r="G363" s="454">
        <v>0</v>
      </c>
      <c r="H363" s="453">
        <f>+E363-F363</f>
        <v>0</v>
      </c>
      <c r="I363" s="452"/>
    </row>
    <row r="364" spans="1:12" ht="22.5" x14ac:dyDescent="0.25">
      <c r="A364" s="460">
        <v>61424</v>
      </c>
      <c r="B364" s="463" t="s">
        <v>439</v>
      </c>
      <c r="C364" s="454"/>
      <c r="D364" s="454">
        <v>376211.16000000003</v>
      </c>
      <c r="E364" s="453">
        <f>+C364+D364</f>
        <v>376211.16000000003</v>
      </c>
      <c r="F364" s="454">
        <v>134142.26999999999</v>
      </c>
      <c r="G364" s="454">
        <v>134142.26999999999</v>
      </c>
      <c r="H364" s="453">
        <f>+E364-F364</f>
        <v>242068.89000000004</v>
      </c>
      <c r="I364" s="452">
        <f>+F364/E364</f>
        <v>0.35656111317909861</v>
      </c>
    </row>
    <row r="365" spans="1:12" x14ac:dyDescent="0.25">
      <c r="A365" s="460">
        <v>61425</v>
      </c>
      <c r="B365" s="463" t="s">
        <v>438</v>
      </c>
      <c r="C365" s="454"/>
      <c r="D365" s="454">
        <v>0</v>
      </c>
      <c r="E365" s="453">
        <f>+C365+D365</f>
        <v>0</v>
      </c>
      <c r="F365" s="454">
        <v>0</v>
      </c>
      <c r="G365" s="454">
        <v>0</v>
      </c>
      <c r="H365" s="453">
        <f>+E365-F365</f>
        <v>0</v>
      </c>
      <c r="I365" s="452"/>
    </row>
    <row r="366" spans="1:12" x14ac:dyDescent="0.25">
      <c r="A366" s="460"/>
      <c r="B366" s="463"/>
      <c r="C366" s="454"/>
      <c r="D366" s="454"/>
      <c r="E366" s="453">
        <f>+C366+D366</f>
        <v>0</v>
      </c>
      <c r="F366" s="454">
        <v>0</v>
      </c>
      <c r="G366" s="454">
        <v>0</v>
      </c>
      <c r="H366" s="453">
        <f>+E366-F366</f>
        <v>0</v>
      </c>
      <c r="I366" s="452"/>
    </row>
    <row r="367" spans="1:12" x14ac:dyDescent="0.25">
      <c r="A367" s="459">
        <v>7000</v>
      </c>
      <c r="B367" s="464" t="s">
        <v>437</v>
      </c>
      <c r="C367" s="453">
        <f>C368</f>
        <v>48432617</v>
      </c>
      <c r="D367" s="453">
        <f>D368</f>
        <v>0</v>
      </c>
      <c r="E367" s="453">
        <f>+C367+D367</f>
        <v>48432617</v>
      </c>
      <c r="F367" s="454">
        <v>0</v>
      </c>
      <c r="G367" s="454">
        <v>0</v>
      </c>
      <c r="H367" s="453">
        <f>+E367-F367</f>
        <v>48432617</v>
      </c>
      <c r="I367" s="452">
        <f>+F367/E367</f>
        <v>0</v>
      </c>
    </row>
    <row r="368" spans="1:12" ht="22.5" x14ac:dyDescent="0.25">
      <c r="A368" s="459">
        <v>7900</v>
      </c>
      <c r="B368" s="464" t="s">
        <v>436</v>
      </c>
      <c r="C368" s="453">
        <f>C369</f>
        <v>48432617</v>
      </c>
      <c r="D368" s="453">
        <f>D369</f>
        <v>0</v>
      </c>
      <c r="E368" s="453">
        <f>+C368+D368</f>
        <v>48432617</v>
      </c>
      <c r="F368" s="454">
        <v>0</v>
      </c>
      <c r="G368" s="454">
        <v>0</v>
      </c>
      <c r="H368" s="453">
        <f>+E368-F368</f>
        <v>48432617</v>
      </c>
      <c r="I368" s="452">
        <f>+F368/E368</f>
        <v>0</v>
      </c>
    </row>
    <row r="369" spans="1:9" x14ac:dyDescent="0.25">
      <c r="A369" s="462">
        <v>799</v>
      </c>
      <c r="B369" s="464" t="s">
        <v>435</v>
      </c>
      <c r="C369" s="453">
        <f>C370</f>
        <v>48432617</v>
      </c>
      <c r="D369" s="453">
        <f>D370</f>
        <v>0</v>
      </c>
      <c r="E369" s="453">
        <f>+C369+D369</f>
        <v>48432617</v>
      </c>
      <c r="F369" s="454">
        <v>0</v>
      </c>
      <c r="G369" s="454">
        <v>0</v>
      </c>
      <c r="H369" s="453">
        <f>+E369-F369</f>
        <v>48432617</v>
      </c>
      <c r="I369" s="452">
        <f>+F369/E369</f>
        <v>0</v>
      </c>
    </row>
    <row r="370" spans="1:9" x14ac:dyDescent="0.25">
      <c r="A370" s="460">
        <v>79901</v>
      </c>
      <c r="B370" s="463" t="s">
        <v>435</v>
      </c>
      <c r="C370" s="454">
        <v>48432617</v>
      </c>
      <c r="D370" s="454"/>
      <c r="E370" s="453">
        <f>+C370+D370</f>
        <v>48432617</v>
      </c>
      <c r="F370" s="454">
        <v>0</v>
      </c>
      <c r="G370" s="454">
        <v>0</v>
      </c>
      <c r="H370" s="453">
        <f>+E370-F370</f>
        <v>48432617</v>
      </c>
      <c r="I370" s="452">
        <f>+F370/E370</f>
        <v>0</v>
      </c>
    </row>
    <row r="371" spans="1:9" x14ac:dyDescent="0.25">
      <c r="A371" s="456"/>
      <c r="B371" s="455"/>
      <c r="C371" s="454"/>
      <c r="D371" s="454"/>
      <c r="E371" s="453">
        <f>+C371+D371</f>
        <v>0</v>
      </c>
      <c r="F371" s="454">
        <v>0</v>
      </c>
      <c r="G371" s="454">
        <v>0</v>
      </c>
      <c r="H371" s="453">
        <f>+E371-F371</f>
        <v>0</v>
      </c>
      <c r="I371" s="452"/>
    </row>
    <row r="372" spans="1:9" x14ac:dyDescent="0.25">
      <c r="A372" s="459">
        <v>9000</v>
      </c>
      <c r="B372" s="457" t="s">
        <v>434</v>
      </c>
      <c r="C372" s="453">
        <f>C373+C377+C381</f>
        <v>0</v>
      </c>
      <c r="D372" s="453">
        <f>D373+D377+D381</f>
        <v>66935836.119999997</v>
      </c>
      <c r="E372" s="453">
        <f>+C372+D372</f>
        <v>66935836.119999997</v>
      </c>
      <c r="F372" s="453">
        <v>66926010.450000003</v>
      </c>
      <c r="G372" s="453">
        <v>65799451.599999994</v>
      </c>
      <c r="H372" s="453">
        <f>+E372-F372</f>
        <v>9825.6699999943376</v>
      </c>
      <c r="I372" s="452">
        <f>+F372/E372</f>
        <v>0.99985320763032859</v>
      </c>
    </row>
    <row r="373" spans="1:9" x14ac:dyDescent="0.25">
      <c r="A373" s="459">
        <v>9100</v>
      </c>
      <c r="B373" s="457" t="s">
        <v>433</v>
      </c>
      <c r="C373" s="453">
        <f>C374</f>
        <v>0</v>
      </c>
      <c r="D373" s="453">
        <f>D374</f>
        <v>9813059.8099999987</v>
      </c>
      <c r="E373" s="453">
        <f>+C373+D373</f>
        <v>9813059.8099999987</v>
      </c>
      <c r="F373" s="453">
        <v>9813059.8100000005</v>
      </c>
      <c r="G373" s="453">
        <v>9813059.8100000005</v>
      </c>
      <c r="H373" s="453">
        <f>+E373-F373</f>
        <v>0</v>
      </c>
      <c r="I373" s="452">
        <f>+F373/E373</f>
        <v>1.0000000000000002</v>
      </c>
    </row>
    <row r="374" spans="1:9" ht="22.5" x14ac:dyDescent="0.25">
      <c r="A374" s="462">
        <v>911</v>
      </c>
      <c r="B374" s="457" t="s">
        <v>432</v>
      </c>
      <c r="C374" s="453">
        <f>C375+C376</f>
        <v>0</v>
      </c>
      <c r="D374" s="453">
        <f>D375+D376</f>
        <v>9813059.8099999987</v>
      </c>
      <c r="E374" s="453">
        <f>+C374+D374</f>
        <v>9813059.8099999987</v>
      </c>
      <c r="F374" s="453">
        <v>9813059.8100000005</v>
      </c>
      <c r="G374" s="453">
        <v>9813059.8100000005</v>
      </c>
      <c r="H374" s="453">
        <f>+E374-F374</f>
        <v>0</v>
      </c>
      <c r="I374" s="452">
        <f>+F374/E374</f>
        <v>1.0000000000000002</v>
      </c>
    </row>
    <row r="375" spans="1:9" x14ac:dyDescent="0.25">
      <c r="A375" s="460">
        <v>91101</v>
      </c>
      <c r="B375" s="455" t="s">
        <v>431</v>
      </c>
      <c r="C375" s="454"/>
      <c r="D375" s="454">
        <v>0</v>
      </c>
      <c r="E375" s="453">
        <f>+C375+D375</f>
        <v>0</v>
      </c>
      <c r="F375" s="454">
        <v>0</v>
      </c>
      <c r="G375" s="454">
        <v>0</v>
      </c>
      <c r="H375" s="453">
        <f>+E375-F375</f>
        <v>0</v>
      </c>
      <c r="I375" s="452"/>
    </row>
    <row r="376" spans="1:9" x14ac:dyDescent="0.25">
      <c r="A376" s="460">
        <v>91102</v>
      </c>
      <c r="B376" s="455" t="s">
        <v>430</v>
      </c>
      <c r="C376" s="454"/>
      <c r="D376" s="454">
        <f>6668376.8+3144683.01</f>
        <v>9813059.8099999987</v>
      </c>
      <c r="E376" s="453">
        <f>+C376+D376</f>
        <v>9813059.8099999987</v>
      </c>
      <c r="F376" s="454">
        <v>9813059.8100000005</v>
      </c>
      <c r="G376" s="454">
        <v>9813059.8100000005</v>
      </c>
      <c r="H376" s="453">
        <f>+E376-F376</f>
        <v>0</v>
      </c>
      <c r="I376" s="452">
        <f>+F376/E376</f>
        <v>1.0000000000000002</v>
      </c>
    </row>
    <row r="377" spans="1:9" x14ac:dyDescent="0.25">
      <c r="A377" s="459">
        <v>9200</v>
      </c>
      <c r="B377" s="457" t="s">
        <v>429</v>
      </c>
      <c r="C377" s="453">
        <f>C378</f>
        <v>0</v>
      </c>
      <c r="D377" s="453">
        <f>D378</f>
        <v>12363625.449999999</v>
      </c>
      <c r="E377" s="453">
        <f>+C377+D377</f>
        <v>12363625.449999999</v>
      </c>
      <c r="F377" s="453">
        <v>12363625.450000001</v>
      </c>
      <c r="G377" s="453">
        <v>12363625.450000001</v>
      </c>
      <c r="H377" s="453">
        <f>+E377-F377</f>
        <v>0</v>
      </c>
      <c r="I377" s="452">
        <f>+F377/E377</f>
        <v>1.0000000000000002</v>
      </c>
    </row>
    <row r="378" spans="1:9" ht="22.5" x14ac:dyDescent="0.25">
      <c r="A378" s="462">
        <v>921</v>
      </c>
      <c r="B378" s="457" t="s">
        <v>428</v>
      </c>
      <c r="C378" s="453">
        <f>C379+C380</f>
        <v>0</v>
      </c>
      <c r="D378" s="453">
        <f>D379+D380</f>
        <v>12363625.449999999</v>
      </c>
      <c r="E378" s="453">
        <f>+C378+D378</f>
        <v>12363625.449999999</v>
      </c>
      <c r="F378" s="453">
        <v>12363625.450000001</v>
      </c>
      <c r="G378" s="453">
        <v>12363625.450000001</v>
      </c>
      <c r="H378" s="453">
        <f>+E378-F378</f>
        <v>0</v>
      </c>
      <c r="I378" s="452">
        <f>+F378/E378</f>
        <v>1.0000000000000002</v>
      </c>
    </row>
    <row r="379" spans="1:9" x14ac:dyDescent="0.25">
      <c r="A379" s="460">
        <v>92101</v>
      </c>
      <c r="B379" s="455" t="s">
        <v>427</v>
      </c>
      <c r="C379" s="454"/>
      <c r="D379" s="461">
        <v>0</v>
      </c>
      <c r="E379" s="453">
        <f>+C379+D379</f>
        <v>0</v>
      </c>
      <c r="F379" s="454">
        <v>0</v>
      </c>
      <c r="G379" s="454">
        <v>0</v>
      </c>
      <c r="H379" s="453">
        <f>+E379-F379</f>
        <v>0</v>
      </c>
      <c r="I379" s="452"/>
    </row>
    <row r="380" spans="1:9" x14ac:dyDescent="0.25">
      <c r="A380" s="460">
        <v>92102</v>
      </c>
      <c r="B380" s="455" t="s">
        <v>426</v>
      </c>
      <c r="C380" s="454"/>
      <c r="D380" s="454">
        <f>8760826.69+3602798.76</f>
        <v>12363625.449999999</v>
      </c>
      <c r="E380" s="453">
        <f>+C380+D380</f>
        <v>12363625.449999999</v>
      </c>
      <c r="F380" s="454">
        <v>12363625.450000001</v>
      </c>
      <c r="G380" s="454">
        <v>12363625.450000001</v>
      </c>
      <c r="H380" s="453">
        <f>+E380-F380</f>
        <v>0</v>
      </c>
      <c r="I380" s="452">
        <f>+F380/E380</f>
        <v>1.0000000000000002</v>
      </c>
    </row>
    <row r="381" spans="1:9" ht="22.5" x14ac:dyDescent="0.25">
      <c r="A381" s="459">
        <v>9900</v>
      </c>
      <c r="B381" s="457" t="s">
        <v>425</v>
      </c>
      <c r="C381" s="453">
        <f>C382</f>
        <v>0</v>
      </c>
      <c r="D381" s="453">
        <f>D382</f>
        <v>44759150.859999999</v>
      </c>
      <c r="E381" s="453">
        <f>+C381+D381</f>
        <v>44759150.859999999</v>
      </c>
      <c r="F381" s="453">
        <v>44749325.189999998</v>
      </c>
      <c r="G381" s="453">
        <v>43622766.340000004</v>
      </c>
      <c r="H381" s="453">
        <f>+E381-F381</f>
        <v>9825.6700000017881</v>
      </c>
      <c r="I381" s="452">
        <f>+F381/E381</f>
        <v>0.99978047684526605</v>
      </c>
    </row>
    <row r="382" spans="1:9" x14ac:dyDescent="0.25">
      <c r="A382" s="458">
        <v>991</v>
      </c>
      <c r="B382" s="457" t="s">
        <v>424</v>
      </c>
      <c r="C382" s="453">
        <f>C383+C384+C385</f>
        <v>0</v>
      </c>
      <c r="D382" s="453">
        <f>D383+D384+D385</f>
        <v>44759150.859999999</v>
      </c>
      <c r="E382" s="453">
        <f>+C382+D382</f>
        <v>44759150.859999999</v>
      </c>
      <c r="F382" s="453">
        <v>44749325.189999998</v>
      </c>
      <c r="G382" s="453">
        <v>43622766.340000004</v>
      </c>
      <c r="H382" s="453">
        <f>+E382-F382</f>
        <v>9825.6700000017881</v>
      </c>
      <c r="I382" s="452">
        <f>+F382/E382</f>
        <v>0.99978047684526605</v>
      </c>
    </row>
    <row r="383" spans="1:9" x14ac:dyDescent="0.25">
      <c r="A383" s="456">
        <v>99101</v>
      </c>
      <c r="B383" s="455" t="s">
        <v>423</v>
      </c>
      <c r="C383" s="454"/>
      <c r="D383" s="454">
        <f>29829553.86+14382553</f>
        <v>44212106.859999999</v>
      </c>
      <c r="E383" s="453">
        <f>+C383+D383</f>
        <v>44212106.859999999</v>
      </c>
      <c r="F383" s="454">
        <v>44212107.030000001</v>
      </c>
      <c r="G383" s="454">
        <v>43085548.179999992</v>
      </c>
      <c r="H383" s="453">
        <f>+E383-F383</f>
        <v>-0.17000000178813934</v>
      </c>
      <c r="I383" s="452">
        <f>+F383/E383</f>
        <v>1.0000000038451007</v>
      </c>
    </row>
    <row r="384" spans="1:9" x14ac:dyDescent="0.25">
      <c r="A384" s="456">
        <v>99101</v>
      </c>
      <c r="B384" s="455" t="s">
        <v>422</v>
      </c>
      <c r="C384" s="454"/>
      <c r="D384" s="454">
        <v>547044</v>
      </c>
      <c r="E384" s="453">
        <f>+C384+D384</f>
        <v>547044</v>
      </c>
      <c r="F384" s="454">
        <v>537218.16</v>
      </c>
      <c r="G384" s="454">
        <v>537218.16</v>
      </c>
      <c r="H384" s="453">
        <f>+E384-F384</f>
        <v>9825.8399999999674</v>
      </c>
      <c r="I384" s="452"/>
    </row>
    <row r="385" spans="1:15" x14ac:dyDescent="0.25">
      <c r="A385" s="456">
        <v>99101</v>
      </c>
      <c r="B385" s="455" t="s">
        <v>421</v>
      </c>
      <c r="C385" s="454">
        <v>0</v>
      </c>
      <c r="D385" s="454">
        <v>0</v>
      </c>
      <c r="E385" s="453">
        <f>+C385+D385</f>
        <v>0</v>
      </c>
      <c r="F385" s="454">
        <v>0</v>
      </c>
      <c r="G385" s="454">
        <v>0</v>
      </c>
      <c r="H385" s="453">
        <f>+E385-F385</f>
        <v>0</v>
      </c>
      <c r="I385" s="452"/>
    </row>
    <row r="386" spans="1:15" x14ac:dyDescent="0.25">
      <c r="C386" s="451">
        <f>+C372+C330+C286+C268+C148+C72+C9+C367</f>
        <v>623389417.66593051</v>
      </c>
      <c r="D386" s="451">
        <f>+D372+D330+D286+D268+D148+D72+D9+D367</f>
        <v>116461164.84</v>
      </c>
      <c r="E386" s="451">
        <f>+E372+E330+E286+E268+E148+E72+E9+E367</f>
        <v>739850582.50593042</v>
      </c>
      <c r="F386" s="451">
        <f>+F372+F330+F286+F268+F148+F72+F9+F367</f>
        <v>298492105.77999997</v>
      </c>
      <c r="G386" s="451">
        <f>+G372+G330+G286+G268+G148+G72+G9+G367</f>
        <v>268228355.48999998</v>
      </c>
      <c r="H386" s="451">
        <f>+H372+H330+H286+H268+H148+H72+H9+H367</f>
        <v>441358476.72593045</v>
      </c>
    </row>
    <row r="387" spans="1:15" x14ac:dyDescent="0.25">
      <c r="C387" s="441"/>
      <c r="E387" s="449"/>
      <c r="F387" s="450"/>
      <c r="G387" s="449"/>
      <c r="H387" s="449"/>
      <c r="I387" s="449"/>
      <c r="K387"/>
      <c r="L387"/>
      <c r="M387"/>
      <c r="N387"/>
      <c r="O387"/>
    </row>
    <row r="388" spans="1:15" ht="16.5" x14ac:dyDescent="0.25">
      <c r="B388" s="79"/>
      <c r="C388" s="445"/>
      <c r="D388" s="446"/>
      <c r="E388" s="445"/>
      <c r="F388" s="445"/>
      <c r="G388" s="445"/>
      <c r="H388" s="445"/>
      <c r="I388" s="444"/>
    </row>
    <row r="389" spans="1:15" ht="16.5" x14ac:dyDescent="0.25">
      <c r="B389" s="79" t="s">
        <v>420</v>
      </c>
      <c r="C389" s="445"/>
      <c r="D389" s="446"/>
      <c r="E389" s="445"/>
      <c r="F389" s="445"/>
      <c r="G389" s="445" t="s">
        <v>419</v>
      </c>
      <c r="H389" s="445"/>
      <c r="I389" s="444"/>
    </row>
    <row r="390" spans="1:15" ht="16.5" x14ac:dyDescent="0.25">
      <c r="B390" s="79" t="s">
        <v>418</v>
      </c>
      <c r="C390" s="445"/>
      <c r="D390" s="445"/>
      <c r="E390" s="445"/>
      <c r="F390" s="448" t="s">
        <v>417</v>
      </c>
      <c r="G390" s="447"/>
      <c r="H390" s="447"/>
      <c r="I390" s="447"/>
    </row>
    <row r="391" spans="1:15" ht="16.5" x14ac:dyDescent="0.25">
      <c r="B391" s="79"/>
      <c r="C391" s="445"/>
      <c r="D391" s="446"/>
      <c r="E391" s="445"/>
      <c r="F391" s="445"/>
      <c r="G391" s="445"/>
      <c r="H391" s="445"/>
      <c r="I391" s="444"/>
    </row>
    <row r="392" spans="1:15" x14ac:dyDescent="0.25">
      <c r="F392" s="443"/>
    </row>
    <row r="398" spans="1:15" x14ac:dyDescent="0.25">
      <c r="D398" s="442" t="s">
        <v>44</v>
      </c>
    </row>
  </sheetData>
  <mergeCells count="16">
    <mergeCell ref="H6:I6"/>
    <mergeCell ref="A1:I1"/>
    <mergeCell ref="A2:I2"/>
    <mergeCell ref="A3:I3"/>
    <mergeCell ref="A4:I4"/>
    <mergeCell ref="A5:I5"/>
    <mergeCell ref="G7:G8"/>
    <mergeCell ref="H7:H8"/>
    <mergeCell ref="I7:I8"/>
    <mergeCell ref="F390:I390"/>
    <mergeCell ref="A7:A8"/>
    <mergeCell ref="B7:B8"/>
    <mergeCell ref="C7:C8"/>
    <mergeCell ref="D7:D8"/>
    <mergeCell ref="E7:E8"/>
    <mergeCell ref="F7:F8"/>
  </mergeCells>
  <pageMargins left="0" right="0" top="0.35433070866141736" bottom="0" header="0.31496062992125984" footer="0.31496062992125984"/>
  <pageSetup scale="6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2E4F3-E06D-4AB4-8D76-E94945472A24}">
  <sheetPr>
    <tabColor theme="0" tint="-0.14999847407452621"/>
  </sheetPr>
  <dimension ref="A1:I32"/>
  <sheetViews>
    <sheetView view="pageBreakPreview" zoomScale="90" zoomScaleNormal="100" zoomScaleSheetLayoutView="90" workbookViewId="0">
      <selection activeCell="T27" sqref="T27"/>
    </sheetView>
  </sheetViews>
  <sheetFormatPr baseColWidth="10" defaultColWidth="11.42578125" defaultRowHeight="15" x14ac:dyDescent="0.25"/>
  <cols>
    <col min="1" max="1" width="32.140625" customWidth="1"/>
    <col min="3" max="3" width="13" customWidth="1"/>
  </cols>
  <sheetData>
    <row r="1" spans="1:9" ht="15.75" x14ac:dyDescent="0.25">
      <c r="A1" s="173" t="str">
        <f>'[1]ETCA-I-01'!A1:G1</f>
        <v xml:space="preserve">Comision Estatal del Agua  </v>
      </c>
      <c r="B1" s="173"/>
      <c r="C1" s="173"/>
      <c r="D1" s="173"/>
      <c r="E1" s="173"/>
      <c r="F1" s="173"/>
      <c r="G1" s="173"/>
      <c r="H1" s="525"/>
      <c r="I1" s="525"/>
    </row>
    <row r="2" spans="1:9" ht="15.75" customHeight="1" x14ac:dyDescent="0.25">
      <c r="A2" s="172" t="s">
        <v>725</v>
      </c>
      <c r="B2" s="172"/>
      <c r="C2" s="172"/>
      <c r="D2" s="172"/>
      <c r="E2" s="172"/>
      <c r="F2" s="172"/>
      <c r="G2" s="172"/>
      <c r="H2" s="7"/>
      <c r="I2" s="7"/>
    </row>
    <row r="3" spans="1:9" ht="15.75" customHeight="1" x14ac:dyDescent="0.25">
      <c r="A3" s="172" t="s">
        <v>724</v>
      </c>
      <c r="B3" s="172"/>
      <c r="C3" s="172"/>
      <c r="D3" s="172"/>
      <c r="E3" s="172"/>
      <c r="F3" s="172"/>
      <c r="G3" s="172"/>
      <c r="H3" s="7"/>
      <c r="I3" s="7"/>
    </row>
    <row r="4" spans="1:9" ht="15.75" customHeight="1" x14ac:dyDescent="0.25">
      <c r="A4" s="524" t="str">
        <f>'[1]ETCA-I-03'!A3:D3</f>
        <v>Del 01 de Enero al 30 de Junio de 2020</v>
      </c>
      <c r="B4" s="524"/>
      <c r="C4" s="524"/>
      <c r="D4" s="524"/>
      <c r="E4" s="524"/>
      <c r="F4" s="524"/>
      <c r="G4" s="524"/>
      <c r="H4" s="523"/>
      <c r="I4" s="523"/>
    </row>
    <row r="5" spans="1:9" ht="15.75" customHeight="1" thickBot="1" x14ac:dyDescent="0.3">
      <c r="A5" s="170" t="s">
        <v>297</v>
      </c>
      <c r="B5" s="170"/>
      <c r="C5" s="170"/>
      <c r="D5" s="170"/>
      <c r="E5" s="170"/>
      <c r="F5" s="170"/>
      <c r="G5" s="170"/>
      <c r="H5" s="522"/>
      <c r="I5" s="522"/>
    </row>
    <row r="6" spans="1:9" ht="15.75" thickBot="1" x14ac:dyDescent="0.3">
      <c r="A6" s="521" t="s">
        <v>296</v>
      </c>
      <c r="B6" s="520" t="s">
        <v>295</v>
      </c>
      <c r="C6" s="519"/>
      <c r="D6" s="519"/>
      <c r="E6" s="519"/>
      <c r="F6" s="518"/>
      <c r="G6" s="517" t="s">
        <v>294</v>
      </c>
    </row>
    <row r="7" spans="1:9" ht="20.25" thickBot="1" x14ac:dyDescent="0.3">
      <c r="A7" s="516"/>
      <c r="B7" s="515" t="s">
        <v>293</v>
      </c>
      <c r="C7" s="515" t="s">
        <v>292</v>
      </c>
      <c r="D7" s="515" t="s">
        <v>291</v>
      </c>
      <c r="E7" s="515" t="s">
        <v>29</v>
      </c>
      <c r="F7" s="515" t="s">
        <v>334</v>
      </c>
      <c r="G7" s="514"/>
    </row>
    <row r="8" spans="1:9" ht="19.5" x14ac:dyDescent="0.25">
      <c r="A8" s="508" t="s">
        <v>723</v>
      </c>
      <c r="B8" s="507">
        <f>B9+B10+B11+B12+B13+B14+B15+B18</f>
        <v>204443147.32279521</v>
      </c>
      <c r="C8" s="507">
        <f>C9+C10+C11+C12+C13+C14+C15+C18</f>
        <v>-632242.46000000008</v>
      </c>
      <c r="D8" s="507">
        <f>D9+D10+D11+D12+D13+D14+D15+D18</f>
        <v>203810904.8627952</v>
      </c>
      <c r="E8" s="507">
        <f>E9+E10+E11+E12+E13+E14+E15+E18</f>
        <v>107376242.36</v>
      </c>
      <c r="F8" s="507">
        <f>F9+F10+F11+F12+F13+F14+F15+F18</f>
        <v>96587067.849999994</v>
      </c>
      <c r="G8" s="507">
        <f>G9+G10+G11+G12+G13+G14+G15+G18</f>
        <v>96434662.502795205</v>
      </c>
    </row>
    <row r="9" spans="1:9" ht="19.5" x14ac:dyDescent="0.25">
      <c r="A9" s="512" t="s">
        <v>721</v>
      </c>
      <c r="B9" s="511">
        <v>204443147.32279521</v>
      </c>
      <c r="C9" s="510">
        <v>-632242.46000000008</v>
      </c>
      <c r="D9" s="509">
        <f>B9+C9</f>
        <v>203810904.8627952</v>
      </c>
      <c r="E9" s="510">
        <v>107376242.36</v>
      </c>
      <c r="F9" s="510">
        <v>96587067.849999994</v>
      </c>
      <c r="G9" s="509">
        <f>D9-E9</f>
        <v>96434662.502795205</v>
      </c>
    </row>
    <row r="10" spans="1:9" x14ac:dyDescent="0.25">
      <c r="A10" s="512" t="s">
        <v>720</v>
      </c>
      <c r="B10" s="511"/>
      <c r="C10" s="510"/>
      <c r="D10" s="509">
        <f>B10+C10</f>
        <v>0</v>
      </c>
      <c r="E10" s="510"/>
      <c r="F10" s="510"/>
      <c r="G10" s="509">
        <f>D10-E10</f>
        <v>0</v>
      </c>
    </row>
    <row r="11" spans="1:9" x14ac:dyDescent="0.25">
      <c r="A11" s="512" t="s">
        <v>719</v>
      </c>
      <c r="B11" s="511"/>
      <c r="C11" s="510"/>
      <c r="D11" s="509">
        <f>B11+C11</f>
        <v>0</v>
      </c>
      <c r="E11" s="510"/>
      <c r="F11" s="510"/>
      <c r="G11" s="509">
        <f>D11-E11</f>
        <v>0</v>
      </c>
    </row>
    <row r="12" spans="1:9" x14ac:dyDescent="0.25">
      <c r="A12" s="512" t="s">
        <v>718</v>
      </c>
      <c r="B12" s="511"/>
      <c r="C12" s="510"/>
      <c r="D12" s="509">
        <f>B12+C12</f>
        <v>0</v>
      </c>
      <c r="E12" s="510"/>
      <c r="F12" s="510"/>
      <c r="G12" s="509">
        <f>D12-E12</f>
        <v>0</v>
      </c>
    </row>
    <row r="13" spans="1:9" x14ac:dyDescent="0.25">
      <c r="A13" s="512" t="s">
        <v>717</v>
      </c>
      <c r="B13" s="511"/>
      <c r="C13" s="510"/>
      <c r="D13" s="509">
        <f>B13+C13</f>
        <v>0</v>
      </c>
      <c r="E13" s="510"/>
      <c r="F13" s="510"/>
      <c r="G13" s="509">
        <f>D13-E13</f>
        <v>0</v>
      </c>
    </row>
    <row r="14" spans="1:9" x14ac:dyDescent="0.25">
      <c r="A14" s="512" t="s">
        <v>716</v>
      </c>
      <c r="B14" s="511"/>
      <c r="C14" s="510"/>
      <c r="D14" s="509">
        <f>B14+C14</f>
        <v>0</v>
      </c>
      <c r="E14" s="510"/>
      <c r="F14" s="510"/>
      <c r="G14" s="509">
        <f>D14-E14</f>
        <v>0</v>
      </c>
    </row>
    <row r="15" spans="1:9" ht="29.25" x14ac:dyDescent="0.25">
      <c r="A15" s="512" t="s">
        <v>715</v>
      </c>
      <c r="B15" s="507">
        <f>B16+B17</f>
        <v>0</v>
      </c>
      <c r="C15" s="507">
        <f>C16+C17</f>
        <v>0</v>
      </c>
      <c r="D15" s="507">
        <f>D16+D17</f>
        <v>0</v>
      </c>
      <c r="E15" s="507">
        <f>E16+E17</f>
        <v>0</v>
      </c>
      <c r="F15" s="507">
        <f>F16+F17</f>
        <v>0</v>
      </c>
      <c r="G15" s="507">
        <f>G16+G17</f>
        <v>0</v>
      </c>
    </row>
    <row r="16" spans="1:9" x14ac:dyDescent="0.25">
      <c r="A16" s="513" t="s">
        <v>714</v>
      </c>
      <c r="B16" s="511"/>
      <c r="C16" s="510"/>
      <c r="D16" s="509">
        <f>B16+C16</f>
        <v>0</v>
      </c>
      <c r="E16" s="510"/>
      <c r="F16" s="510"/>
      <c r="G16" s="509">
        <f>D16-E16</f>
        <v>0</v>
      </c>
    </row>
    <row r="17" spans="1:7" x14ac:dyDescent="0.25">
      <c r="A17" s="513" t="s">
        <v>713</v>
      </c>
      <c r="B17" s="511"/>
      <c r="C17" s="510"/>
      <c r="D17" s="509">
        <f>B17+C17</f>
        <v>0</v>
      </c>
      <c r="E17" s="510"/>
      <c r="F17" s="510"/>
      <c r="G17" s="509">
        <f>D17-E17</f>
        <v>0</v>
      </c>
    </row>
    <row r="18" spans="1:7" x14ac:dyDescent="0.25">
      <c r="A18" s="512" t="s">
        <v>712</v>
      </c>
      <c r="B18" s="511"/>
      <c r="C18" s="510"/>
      <c r="D18" s="509">
        <f>B18+C18</f>
        <v>0</v>
      </c>
      <c r="E18" s="510"/>
      <c r="F18" s="510"/>
      <c r="G18" s="509">
        <f>D18-E18</f>
        <v>0</v>
      </c>
    </row>
    <row r="19" spans="1:7" x14ac:dyDescent="0.25">
      <c r="A19" s="512"/>
      <c r="B19" s="507"/>
      <c r="C19" s="509"/>
      <c r="D19" s="509"/>
      <c r="E19" s="509"/>
      <c r="F19" s="509"/>
      <c r="G19" s="509"/>
    </row>
    <row r="20" spans="1:7" ht="19.5" x14ac:dyDescent="0.25">
      <c r="A20" s="508" t="s">
        <v>722</v>
      </c>
      <c r="B20" s="507">
        <f>B21+B22+B23+B24+B25+B26+B27+B30</f>
        <v>0</v>
      </c>
      <c r="C20" s="507">
        <f>C21+C22+C23+C24+C25+C26+C27+C30</f>
        <v>0</v>
      </c>
      <c r="D20" s="507">
        <f>D21+D22+D23+D24+D25+D26+D27+D30</f>
        <v>0</v>
      </c>
      <c r="E20" s="507">
        <f>E21+E22+E23+E24+E25+E26+E27+E30</f>
        <v>0</v>
      </c>
      <c r="F20" s="507">
        <f>F21+F22+F23+F24+F25+F26+F27+F30</f>
        <v>0</v>
      </c>
      <c r="G20" s="507">
        <f>G21+G22+G23+G24+G25+G26+G27+G30</f>
        <v>0</v>
      </c>
    </row>
    <row r="21" spans="1:7" ht="19.5" x14ac:dyDescent="0.25">
      <c r="A21" s="512" t="s">
        <v>721</v>
      </c>
      <c r="B21" s="511"/>
      <c r="C21" s="510"/>
      <c r="D21" s="509">
        <f>B21+C21</f>
        <v>0</v>
      </c>
      <c r="E21" s="510"/>
      <c r="F21" s="510"/>
      <c r="G21" s="509">
        <f>D21-E21</f>
        <v>0</v>
      </c>
    </row>
    <row r="22" spans="1:7" x14ac:dyDescent="0.25">
      <c r="A22" s="512" t="s">
        <v>720</v>
      </c>
      <c r="B22" s="511"/>
      <c r="C22" s="510"/>
      <c r="D22" s="509">
        <f>B22+C22</f>
        <v>0</v>
      </c>
      <c r="E22" s="510"/>
      <c r="F22" s="510"/>
      <c r="G22" s="509">
        <f>D22-E22</f>
        <v>0</v>
      </c>
    </row>
    <row r="23" spans="1:7" x14ac:dyDescent="0.25">
      <c r="A23" s="512" t="s">
        <v>719</v>
      </c>
      <c r="B23" s="511"/>
      <c r="C23" s="510"/>
      <c r="D23" s="509">
        <f>B23+C23</f>
        <v>0</v>
      </c>
      <c r="E23" s="510"/>
      <c r="F23" s="510"/>
      <c r="G23" s="509">
        <f>D23-E23</f>
        <v>0</v>
      </c>
    </row>
    <row r="24" spans="1:7" x14ac:dyDescent="0.25">
      <c r="A24" s="512" t="s">
        <v>718</v>
      </c>
      <c r="B24" s="511"/>
      <c r="C24" s="510"/>
      <c r="D24" s="509">
        <f>B24+C24</f>
        <v>0</v>
      </c>
      <c r="E24" s="510"/>
      <c r="F24" s="510"/>
      <c r="G24" s="509">
        <f>D24-E24</f>
        <v>0</v>
      </c>
    </row>
    <row r="25" spans="1:7" x14ac:dyDescent="0.25">
      <c r="A25" s="512" t="s">
        <v>717</v>
      </c>
      <c r="B25" s="511"/>
      <c r="C25" s="510"/>
      <c r="D25" s="509">
        <f>B25+C25</f>
        <v>0</v>
      </c>
      <c r="E25" s="510"/>
      <c r="F25" s="510"/>
      <c r="G25" s="509">
        <f>D25-E25</f>
        <v>0</v>
      </c>
    </row>
    <row r="26" spans="1:7" x14ac:dyDescent="0.25">
      <c r="A26" s="512" t="s">
        <v>716</v>
      </c>
      <c r="B26" s="511"/>
      <c r="C26" s="510"/>
      <c r="D26" s="509">
        <f>B26+C26</f>
        <v>0</v>
      </c>
      <c r="E26" s="510"/>
      <c r="F26" s="510"/>
      <c r="G26" s="509">
        <f>D26-E26</f>
        <v>0</v>
      </c>
    </row>
    <row r="27" spans="1:7" ht="29.25" x14ac:dyDescent="0.25">
      <c r="A27" s="512" t="s">
        <v>715</v>
      </c>
      <c r="B27" s="507">
        <f>B28+B29</f>
        <v>0</v>
      </c>
      <c r="C27" s="507">
        <f>C28+C29</f>
        <v>0</v>
      </c>
      <c r="D27" s="507">
        <f>D28+D29</f>
        <v>0</v>
      </c>
      <c r="E27" s="507">
        <f>E28+E29</f>
        <v>0</v>
      </c>
      <c r="F27" s="507">
        <f>F28+F29</f>
        <v>0</v>
      </c>
      <c r="G27" s="507">
        <f>G28+G29</f>
        <v>0</v>
      </c>
    </row>
    <row r="28" spans="1:7" x14ac:dyDescent="0.25">
      <c r="A28" s="513" t="s">
        <v>714</v>
      </c>
      <c r="B28" s="511"/>
      <c r="C28" s="510"/>
      <c r="D28" s="509">
        <f>B28+C28</f>
        <v>0</v>
      </c>
      <c r="E28" s="510"/>
      <c r="F28" s="510"/>
      <c r="G28" s="509">
        <f>D28-E28</f>
        <v>0</v>
      </c>
    </row>
    <row r="29" spans="1:7" x14ac:dyDescent="0.25">
      <c r="A29" s="513" t="s">
        <v>713</v>
      </c>
      <c r="B29" s="511"/>
      <c r="C29" s="510"/>
      <c r="D29" s="509">
        <f>B29+C29</f>
        <v>0</v>
      </c>
      <c r="E29" s="510"/>
      <c r="F29" s="510"/>
      <c r="G29" s="509">
        <f>D29-E29</f>
        <v>0</v>
      </c>
    </row>
    <row r="30" spans="1:7" x14ac:dyDescent="0.25">
      <c r="A30" s="512" t="s">
        <v>712</v>
      </c>
      <c r="B30" s="511"/>
      <c r="C30" s="510"/>
      <c r="D30" s="509">
        <f>B30+C30</f>
        <v>0</v>
      </c>
      <c r="E30" s="510"/>
      <c r="F30" s="510"/>
      <c r="G30" s="509">
        <f>D30-E30</f>
        <v>0</v>
      </c>
    </row>
    <row r="31" spans="1:7" ht="19.5" x14ac:dyDescent="0.25">
      <c r="A31" s="508" t="s">
        <v>711</v>
      </c>
      <c r="B31" s="507">
        <f>B8+B20</f>
        <v>204443147.32279521</v>
      </c>
      <c r="C31" s="507">
        <f>C8+C20</f>
        <v>-632242.46000000008</v>
      </c>
      <c r="D31" s="507">
        <f>D8+D20</f>
        <v>203810904.8627952</v>
      </c>
      <c r="E31" s="507">
        <f>E8+E20</f>
        <v>107376242.36</v>
      </c>
      <c r="F31" s="507">
        <f>F8+F20</f>
        <v>96587067.849999994</v>
      </c>
      <c r="G31" s="507">
        <f>G8+G20</f>
        <v>96434662.502795205</v>
      </c>
    </row>
    <row r="32" spans="1:7" ht="15.75" thickBot="1" x14ac:dyDescent="0.3">
      <c r="A32" s="506"/>
      <c r="B32" s="505"/>
      <c r="C32" s="504"/>
      <c r="D32" s="504"/>
      <c r="E32" s="504"/>
      <c r="F32" s="504"/>
      <c r="G32" s="504"/>
    </row>
  </sheetData>
  <sheetProtection password="C195" sheet="1" scenarios="1" insertHyperlinks="0"/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C1C8-C3D8-4F0B-AB2D-E9505F31DBFE}">
  <sheetPr>
    <tabColor theme="0" tint="-0.14999847407452621"/>
    <pageSetUpPr fitToPage="1"/>
  </sheetPr>
  <dimension ref="A1:D48"/>
  <sheetViews>
    <sheetView view="pageBreakPreview" zoomScaleNormal="100" zoomScaleSheetLayoutView="100" workbookViewId="0">
      <selection activeCell="T27" sqref="T27"/>
    </sheetView>
  </sheetViews>
  <sheetFormatPr baseColWidth="10" defaultColWidth="11.28515625" defaultRowHeight="16.5" x14ac:dyDescent="0.25"/>
  <cols>
    <col min="1" max="1" width="64.5703125" style="1" customWidth="1"/>
    <col min="2" max="2" width="25.7109375" style="1" customWidth="1"/>
    <col min="3" max="3" width="25.7109375" style="526" customWidth="1"/>
    <col min="4" max="4" width="89.140625" style="1" customWidth="1"/>
    <col min="5" max="16384" width="11.28515625" style="1"/>
  </cols>
  <sheetData>
    <row r="1" spans="1:4" x14ac:dyDescent="0.25">
      <c r="A1" s="105" t="str">
        <f>'[1]ETCA-I-01'!A1:G1</f>
        <v xml:space="preserve">Comision Estatal del Agua  </v>
      </c>
      <c r="B1" s="105"/>
      <c r="C1" s="105"/>
      <c r="D1" s="558"/>
    </row>
    <row r="2" spans="1:4" s="103" customFormat="1" ht="15.75" x14ac:dyDescent="0.25">
      <c r="A2" s="105" t="s">
        <v>743</v>
      </c>
      <c r="B2" s="105"/>
      <c r="C2" s="105"/>
    </row>
    <row r="3" spans="1:4" s="103" customFormat="1" x14ac:dyDescent="0.25">
      <c r="A3" s="104" t="str">
        <f>'[1]ETCA-I-01'!A3:G3</f>
        <v>Al 30 de Junio de 2020</v>
      </c>
      <c r="B3" s="104"/>
      <c r="C3" s="104"/>
    </row>
    <row r="4" spans="1:4" s="26" customFormat="1" ht="17.25" thickBot="1" x14ac:dyDescent="0.3">
      <c r="A4" s="557"/>
      <c r="B4" s="556"/>
      <c r="C4" s="555"/>
    </row>
    <row r="5" spans="1:4" s="220" customFormat="1" ht="27" customHeight="1" thickBot="1" x14ac:dyDescent="0.3">
      <c r="A5" s="554" t="s">
        <v>742</v>
      </c>
      <c r="B5" s="553"/>
      <c r="C5" s="178">
        <f>'ETCA II-04'!E80</f>
        <v>298492105.78000003</v>
      </c>
      <c r="D5" s="548" t="str">
        <f>IF((C5-'ETCA II-04'!E80)&gt;0.9,"ERROR!!!!! EL MONTO NO COINCIDE CON LO REPORTADO EN EL FORMATO ETCA-II-04, EN EL TOTAL DE EGRESOS DEVENGADO ANUAL","")</f>
        <v/>
      </c>
    </row>
    <row r="6" spans="1:4" s="220" customFormat="1" ht="9.75" customHeight="1" x14ac:dyDescent="0.25">
      <c r="A6" s="552"/>
      <c r="B6" s="200"/>
      <c r="C6" s="551"/>
      <c r="D6" s="548"/>
    </row>
    <row r="7" spans="1:4" s="220" customFormat="1" ht="17.25" customHeight="1" thickBot="1" x14ac:dyDescent="0.3">
      <c r="A7" s="550"/>
      <c r="B7" s="196"/>
      <c r="C7" s="549"/>
      <c r="D7" s="548"/>
    </row>
    <row r="8" spans="1:4" ht="20.100000000000001" customHeight="1" x14ac:dyDescent="0.25">
      <c r="A8" s="541" t="s">
        <v>741</v>
      </c>
      <c r="B8" s="547"/>
      <c r="C8" s="539">
        <f>SUM(B9:B29)</f>
        <v>76198844.670000002</v>
      </c>
      <c r="D8" s="79"/>
    </row>
    <row r="9" spans="1:4" ht="20.100000000000001" customHeight="1" x14ac:dyDescent="0.25">
      <c r="A9" s="538" t="s">
        <v>740</v>
      </c>
      <c r="B9" s="537"/>
      <c r="C9" s="536"/>
      <c r="D9" s="79"/>
    </row>
    <row r="10" spans="1:4" ht="20.100000000000001" customHeight="1" x14ac:dyDescent="0.25">
      <c r="A10" s="538" t="s">
        <v>739</v>
      </c>
      <c r="B10" s="537"/>
      <c r="C10" s="536"/>
      <c r="D10" s="79"/>
    </row>
    <row r="11" spans="1:4" ht="20.100000000000001" customHeight="1" x14ac:dyDescent="0.25">
      <c r="A11" s="538" t="s">
        <v>163</v>
      </c>
      <c r="B11" s="537"/>
      <c r="C11" s="536"/>
      <c r="D11" s="79"/>
    </row>
    <row r="12" spans="1:4" x14ac:dyDescent="0.25">
      <c r="A12" s="538" t="s">
        <v>162</v>
      </c>
      <c r="B12" s="537"/>
      <c r="C12" s="536"/>
      <c r="D12" s="79"/>
    </row>
    <row r="13" spans="1:4" ht="20.100000000000001" customHeight="1" x14ac:dyDescent="0.25">
      <c r="A13" s="538" t="s">
        <v>161</v>
      </c>
      <c r="B13" s="537"/>
      <c r="C13" s="536"/>
      <c r="D13" s="79"/>
    </row>
    <row r="14" spans="1:4" ht="20.100000000000001" customHeight="1" x14ac:dyDescent="0.25">
      <c r="A14" s="538" t="s">
        <v>160</v>
      </c>
      <c r="B14" s="537">
        <v>239585</v>
      </c>
      <c r="C14" s="536"/>
      <c r="D14" s="79"/>
    </row>
    <row r="15" spans="1:4" ht="20.100000000000001" customHeight="1" x14ac:dyDescent="0.25">
      <c r="A15" s="538" t="s">
        <v>159</v>
      </c>
      <c r="B15" s="537"/>
      <c r="C15" s="536"/>
      <c r="D15" s="79"/>
    </row>
    <row r="16" spans="1:4" ht="20.100000000000001" customHeight="1" x14ac:dyDescent="0.25">
      <c r="A16" s="538" t="s">
        <v>158</v>
      </c>
      <c r="B16" s="537">
        <v>405815</v>
      </c>
      <c r="C16" s="536"/>
      <c r="D16" s="79"/>
    </row>
    <row r="17" spans="1:4" ht="20.100000000000001" customHeight="1" x14ac:dyDescent="0.25">
      <c r="A17" s="538" t="s">
        <v>738</v>
      </c>
      <c r="B17" s="537"/>
      <c r="C17" s="536"/>
      <c r="D17" s="79"/>
    </row>
    <row r="18" spans="1:4" ht="20.100000000000001" customHeight="1" x14ac:dyDescent="0.25">
      <c r="A18" s="538" t="s">
        <v>156</v>
      </c>
      <c r="B18" s="537"/>
      <c r="C18" s="536"/>
      <c r="D18" s="79"/>
    </row>
    <row r="19" spans="1:4" ht="20.100000000000001" customHeight="1" x14ac:dyDescent="0.25">
      <c r="A19" s="538" t="s">
        <v>155</v>
      </c>
      <c r="B19" s="537"/>
      <c r="C19" s="536"/>
      <c r="D19" s="79"/>
    </row>
    <row r="20" spans="1:4" ht="20.100000000000001" customHeight="1" x14ac:dyDescent="0.25">
      <c r="A20" s="538" t="s">
        <v>153</v>
      </c>
      <c r="B20" s="537">
        <v>10111876.300000001</v>
      </c>
      <c r="C20" s="536"/>
      <c r="D20" s="79"/>
    </row>
    <row r="21" spans="1:4" ht="20.100000000000001" customHeight="1" x14ac:dyDescent="0.25">
      <c r="A21" s="538" t="s">
        <v>152</v>
      </c>
      <c r="B21" s="537"/>
      <c r="C21" s="536"/>
      <c r="D21" s="79"/>
    </row>
    <row r="22" spans="1:4" ht="20.100000000000001" customHeight="1" x14ac:dyDescent="0.25">
      <c r="A22" s="538" t="s">
        <v>148</v>
      </c>
      <c r="B22" s="537"/>
      <c r="C22" s="536"/>
      <c r="D22" s="79"/>
    </row>
    <row r="23" spans="1:4" ht="20.100000000000001" customHeight="1" x14ac:dyDescent="0.25">
      <c r="A23" s="538" t="s">
        <v>147</v>
      </c>
      <c r="B23" s="537"/>
      <c r="C23" s="536"/>
      <c r="D23" s="79"/>
    </row>
    <row r="24" spans="1:4" ht="20.100000000000001" customHeight="1" x14ac:dyDescent="0.25">
      <c r="A24" s="538" t="s">
        <v>146</v>
      </c>
      <c r="B24" s="537"/>
      <c r="C24" s="536"/>
      <c r="D24" s="79"/>
    </row>
    <row r="25" spans="1:4" ht="20.100000000000001" customHeight="1" x14ac:dyDescent="0.25">
      <c r="A25" s="538" t="s">
        <v>145</v>
      </c>
      <c r="B25" s="537"/>
      <c r="C25" s="536"/>
      <c r="D25" s="79"/>
    </row>
    <row r="26" spans="1:4" ht="20.100000000000001" customHeight="1" x14ac:dyDescent="0.25">
      <c r="A26" s="538" t="s">
        <v>143</v>
      </c>
      <c r="B26" s="537"/>
      <c r="C26" s="536"/>
      <c r="D26" s="79"/>
    </row>
    <row r="27" spans="1:4" ht="20.100000000000001" customHeight="1" x14ac:dyDescent="0.25">
      <c r="A27" s="538" t="s">
        <v>737</v>
      </c>
      <c r="B27" s="537">
        <v>9813060</v>
      </c>
      <c r="C27" s="536"/>
      <c r="D27" s="79"/>
    </row>
    <row r="28" spans="1:4" ht="20.100000000000001" customHeight="1" x14ac:dyDescent="0.25">
      <c r="A28" s="538" t="s">
        <v>736</v>
      </c>
      <c r="B28" s="537">
        <v>44749325</v>
      </c>
      <c r="C28" s="536"/>
      <c r="D28" s="79"/>
    </row>
    <row r="29" spans="1:4" ht="20.100000000000001" customHeight="1" thickBot="1" x14ac:dyDescent="0.3">
      <c r="A29" s="538" t="s">
        <v>735</v>
      </c>
      <c r="B29" s="546">
        <v>10879183.369999999</v>
      </c>
      <c r="C29" s="533"/>
      <c r="D29" s="79"/>
    </row>
    <row r="30" spans="1:4" ht="7.5" customHeight="1" x14ac:dyDescent="0.25">
      <c r="A30" s="545"/>
      <c r="B30" s="200"/>
      <c r="C30" s="544"/>
      <c r="D30" s="79"/>
    </row>
    <row r="31" spans="1:4" ht="20.100000000000001" customHeight="1" thickBot="1" x14ac:dyDescent="0.3">
      <c r="A31" s="543"/>
      <c r="B31" s="196"/>
      <c r="C31" s="542"/>
      <c r="D31" s="79"/>
    </row>
    <row r="32" spans="1:4" ht="20.100000000000001" customHeight="1" x14ac:dyDescent="0.25">
      <c r="A32" s="541" t="s">
        <v>734</v>
      </c>
      <c r="B32" s="540"/>
      <c r="C32" s="539">
        <f>SUM(B33:B39)</f>
        <v>24583800.780000001</v>
      </c>
      <c r="D32" s="79"/>
    </row>
    <row r="33" spans="1:4" x14ac:dyDescent="0.25">
      <c r="A33" s="538" t="s">
        <v>733</v>
      </c>
      <c r="B33" s="537">
        <v>3353973.41</v>
      </c>
      <c r="C33" s="536"/>
      <c r="D33" s="79"/>
    </row>
    <row r="34" spans="1:4" ht="20.100000000000001" customHeight="1" x14ac:dyDescent="0.25">
      <c r="A34" s="538" t="s">
        <v>732</v>
      </c>
      <c r="B34" s="537"/>
      <c r="C34" s="536"/>
      <c r="D34" s="177" t="str">
        <f>IF(B33&lt;&gt;'[1]ETCA-I-03'!C52,"ERROR!!!!! EL MONTO NO COINCIDE CON LO REPORTADO EN EL FORMATO ETCA-I-02 POR CONCEPTO DE ESTIMACIONES, DEPRECIACIONES, ETC..","")</f>
        <v/>
      </c>
    </row>
    <row r="35" spans="1:4" ht="20.100000000000001" customHeight="1" x14ac:dyDescent="0.25">
      <c r="A35" s="538" t="s">
        <v>731</v>
      </c>
      <c r="B35" s="537"/>
      <c r="C35" s="536"/>
      <c r="D35" s="79"/>
    </row>
    <row r="36" spans="1:4" ht="25.5" customHeight="1" x14ac:dyDescent="0.25">
      <c r="A36" s="538" t="s">
        <v>730</v>
      </c>
      <c r="B36" s="537"/>
      <c r="C36" s="536"/>
      <c r="D36" s="79"/>
    </row>
    <row r="37" spans="1:4" ht="20.100000000000001" customHeight="1" x14ac:dyDescent="0.25">
      <c r="A37" s="538" t="s">
        <v>729</v>
      </c>
      <c r="B37" s="537">
        <v>21229827.370000001</v>
      </c>
      <c r="C37" s="536"/>
      <c r="D37" s="79"/>
    </row>
    <row r="38" spans="1:4" ht="20.100000000000001" customHeight="1" x14ac:dyDescent="0.25">
      <c r="A38" s="538" t="s">
        <v>728</v>
      </c>
      <c r="B38" s="537"/>
      <c r="C38" s="536"/>
      <c r="D38" s="79"/>
    </row>
    <row r="39" spans="1:4" ht="20.100000000000001" customHeight="1" x14ac:dyDescent="0.25">
      <c r="A39" s="538" t="s">
        <v>727</v>
      </c>
      <c r="B39" s="537">
        <v>0</v>
      </c>
      <c r="C39" s="536"/>
      <c r="D39" s="79"/>
    </row>
    <row r="40" spans="1:4" ht="20.100000000000001" customHeight="1" thickBot="1" x14ac:dyDescent="0.3">
      <c r="A40" s="535"/>
      <c r="B40" s="534"/>
      <c r="C40" s="533"/>
      <c r="D40" s="79"/>
    </row>
    <row r="41" spans="1:4" ht="20.100000000000001" customHeight="1" thickBot="1" x14ac:dyDescent="0.3">
      <c r="A41" s="532" t="s">
        <v>726</v>
      </c>
      <c r="B41" s="531"/>
      <c r="C41" s="178">
        <f>C5-C8+C32</f>
        <v>246877061.89000002</v>
      </c>
      <c r="D41" s="79"/>
    </row>
    <row r="42" spans="1:4" ht="20.100000000000001" customHeight="1" x14ac:dyDescent="0.25">
      <c r="A42" s="529"/>
      <c r="B42" s="528"/>
      <c r="C42" s="527"/>
      <c r="D42" s="79" t="str">
        <f>IF((C41-'[1]ETCA-I-03'!C61)&gt;0.9,"ERROR!!!!! EL MONTO NO COINCIDE CON LO REPORTADO EN EL FORMATO ETCA-I-03, EN EL MISMO RUBRO","")</f>
        <v/>
      </c>
    </row>
    <row r="43" spans="1:4" ht="20.100000000000001" customHeight="1" x14ac:dyDescent="0.25">
      <c r="A43" s="530"/>
      <c r="B43" s="528"/>
      <c r="C43" s="527"/>
      <c r="D43" s="79"/>
    </row>
    <row r="44" spans="1:4" ht="20.100000000000001" customHeight="1" x14ac:dyDescent="0.25">
      <c r="A44" s="530"/>
      <c r="B44" s="528"/>
      <c r="C44" s="527"/>
      <c r="D44" s="79"/>
    </row>
    <row r="45" spans="1:4" ht="20.100000000000001" customHeight="1" x14ac:dyDescent="0.25">
      <c r="A45" s="530"/>
      <c r="B45" s="528"/>
      <c r="C45" s="527"/>
      <c r="D45" s="79"/>
    </row>
    <row r="46" spans="1:4" ht="20.100000000000001" customHeight="1" x14ac:dyDescent="0.25">
      <c r="A46" s="530"/>
      <c r="B46" s="528"/>
      <c r="C46" s="527"/>
      <c r="D46" s="79"/>
    </row>
    <row r="47" spans="1:4" ht="26.25" customHeight="1" x14ac:dyDescent="0.25">
      <c r="A47" s="529"/>
      <c r="B47" s="528"/>
      <c r="C47" s="527"/>
      <c r="D47" s="79"/>
    </row>
    <row r="48" spans="1:4" x14ac:dyDescent="0.25">
      <c r="D48" s="79"/>
    </row>
  </sheetData>
  <sheetProtection password="C115" sheet="1" scenarios="1" formatColumns="0" formatRows="0" insertHyperlinks="0"/>
  <mergeCells count="3">
    <mergeCell ref="A1:C1"/>
    <mergeCell ref="A2:C2"/>
    <mergeCell ref="A3:C3"/>
  </mergeCells>
  <printOptions horizontalCentered="1"/>
  <pageMargins left="0.39370078740157483" right="0.39370078740157483" top="0.74803149606299213" bottom="0.74803149606299213" header="0.31496062992125984" footer="0.31496062992125984"/>
  <pageSetup scale="7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B5692-206F-4019-9C53-CCEAB1023CAA}">
  <sheetPr>
    <tabColor theme="0" tint="-0.14999847407452621"/>
  </sheetPr>
  <dimension ref="A1:J37"/>
  <sheetViews>
    <sheetView view="pageBreakPreview" zoomScaleNormal="100" zoomScaleSheetLayoutView="100" workbookViewId="0">
      <selection activeCell="T27" sqref="T27"/>
    </sheetView>
  </sheetViews>
  <sheetFormatPr baseColWidth="10" defaultColWidth="11.28515625" defaultRowHeight="16.5" x14ac:dyDescent="0.3"/>
  <cols>
    <col min="1" max="1" width="4.28515625" style="559" customWidth="1"/>
    <col min="2" max="2" width="41.7109375" style="559" customWidth="1"/>
    <col min="3" max="5" width="16.7109375" style="559" customWidth="1"/>
    <col min="6" max="16384" width="11.28515625" style="559"/>
  </cols>
  <sheetData>
    <row r="1" spans="1:5" x14ac:dyDescent="0.3">
      <c r="A1" s="173" t="str">
        <f>'[1]ETCA-I-01'!A1:G1</f>
        <v xml:space="preserve">Comision Estatal del Agua  </v>
      </c>
      <c r="B1" s="173"/>
      <c r="C1" s="173"/>
      <c r="D1" s="173"/>
      <c r="E1" s="173"/>
    </row>
    <row r="2" spans="1:5" x14ac:dyDescent="0.3">
      <c r="A2" s="595" t="s">
        <v>754</v>
      </c>
      <c r="B2" s="595"/>
      <c r="C2" s="595"/>
      <c r="D2" s="595"/>
      <c r="E2" s="595"/>
    </row>
    <row r="3" spans="1:5" x14ac:dyDescent="0.3">
      <c r="A3" s="596" t="str">
        <f>'[1]ETCA-I-03'!A3:D3</f>
        <v>Del 01 de Enero al 30 de Junio de 2020</v>
      </c>
      <c r="B3" s="596"/>
      <c r="C3" s="596"/>
      <c r="D3" s="596"/>
      <c r="E3" s="596"/>
    </row>
    <row r="4" spans="1:5" ht="17.25" thickBot="1" x14ac:dyDescent="0.35">
      <c r="A4" s="594"/>
      <c r="B4" s="595" t="s">
        <v>758</v>
      </c>
      <c r="C4" s="595"/>
      <c r="D4" s="99"/>
      <c r="E4" s="594"/>
    </row>
    <row r="5" spans="1:5" s="55" customFormat="1" ht="30" customHeight="1" x14ac:dyDescent="0.25">
      <c r="A5" s="593" t="s">
        <v>757</v>
      </c>
      <c r="B5" s="592"/>
      <c r="C5" s="591" t="s">
        <v>756</v>
      </c>
      <c r="D5" s="590" t="s">
        <v>755</v>
      </c>
      <c r="E5" s="589" t="s">
        <v>754</v>
      </c>
    </row>
    <row r="6" spans="1:5" s="55" customFormat="1" ht="30" customHeight="1" thickBot="1" x14ac:dyDescent="0.3">
      <c r="A6" s="588"/>
      <c r="B6" s="587"/>
      <c r="C6" s="586" t="s">
        <v>753</v>
      </c>
      <c r="D6" s="586" t="s">
        <v>752</v>
      </c>
      <c r="E6" s="585" t="s">
        <v>751</v>
      </c>
    </row>
    <row r="7" spans="1:5" s="55" customFormat="1" ht="21" customHeight="1" x14ac:dyDescent="0.25">
      <c r="A7" s="584" t="s">
        <v>750</v>
      </c>
      <c r="B7" s="583"/>
      <c r="C7" s="583"/>
      <c r="D7" s="583"/>
      <c r="E7" s="582"/>
    </row>
    <row r="8" spans="1:5" s="55" customFormat="1" ht="20.25" customHeight="1" x14ac:dyDescent="0.25">
      <c r="A8" s="574">
        <v>1</v>
      </c>
      <c r="B8" s="577" t="s">
        <v>749</v>
      </c>
      <c r="C8" s="576">
        <v>446913961</v>
      </c>
      <c r="D8" s="575">
        <f>115913072.36+4010257+4163392.68+0.01+4322375.99+4487430.24+4658787.26+5154272.54</f>
        <v>142709588.07999998</v>
      </c>
      <c r="E8" s="570">
        <f>IF(B8="","",C8-D8)</f>
        <v>304204372.92000002</v>
      </c>
    </row>
    <row r="9" spans="1:5" s="55" customFormat="1" ht="20.25" customHeight="1" x14ac:dyDescent="0.25">
      <c r="A9" s="574">
        <v>2</v>
      </c>
      <c r="B9" s="577"/>
      <c r="C9" s="576"/>
      <c r="D9" s="575"/>
      <c r="E9" s="570" t="str">
        <f>IF(B9="","",C9-D9)</f>
        <v/>
      </c>
    </row>
    <row r="10" spans="1:5" s="55" customFormat="1" ht="20.25" customHeight="1" x14ac:dyDescent="0.25">
      <c r="A10" s="574">
        <v>3</v>
      </c>
      <c r="B10" s="577"/>
      <c r="C10" s="576"/>
      <c r="D10" s="575"/>
      <c r="E10" s="570" t="str">
        <f>IF(B10="","",C10-D10)</f>
        <v/>
      </c>
    </row>
    <row r="11" spans="1:5" s="55" customFormat="1" ht="20.25" customHeight="1" x14ac:dyDescent="0.25">
      <c r="A11" s="574">
        <v>4</v>
      </c>
      <c r="B11" s="577"/>
      <c r="C11" s="576"/>
      <c r="D11" s="575"/>
      <c r="E11" s="570" t="str">
        <f>IF(B11="","",C11-D11)</f>
        <v/>
      </c>
    </row>
    <row r="12" spans="1:5" s="55" customFormat="1" ht="20.25" customHeight="1" x14ac:dyDescent="0.25">
      <c r="A12" s="574">
        <v>5</v>
      </c>
      <c r="B12" s="577"/>
      <c r="C12" s="576"/>
      <c r="D12" s="575"/>
      <c r="E12" s="570" t="str">
        <f>IF(B12="","",C12-D12)</f>
        <v/>
      </c>
    </row>
    <row r="13" spans="1:5" s="55" customFormat="1" ht="20.25" customHeight="1" x14ac:dyDescent="0.25">
      <c r="A13" s="574">
        <v>6</v>
      </c>
      <c r="B13" s="577"/>
      <c r="C13" s="576"/>
      <c r="D13" s="575"/>
      <c r="E13" s="570" t="str">
        <f>IF(B13="","",C13-D13)</f>
        <v/>
      </c>
    </row>
    <row r="14" spans="1:5" s="55" customFormat="1" ht="20.25" customHeight="1" x14ac:dyDescent="0.25">
      <c r="A14" s="574">
        <v>7</v>
      </c>
      <c r="B14" s="577"/>
      <c r="C14" s="576"/>
      <c r="D14" s="575"/>
      <c r="E14" s="570" t="str">
        <f>IF(B14="","",C14-D14)</f>
        <v/>
      </c>
    </row>
    <row r="15" spans="1:5" s="55" customFormat="1" ht="20.25" customHeight="1" x14ac:dyDescent="0.25">
      <c r="A15" s="574">
        <v>8</v>
      </c>
      <c r="B15" s="577"/>
      <c r="C15" s="576"/>
      <c r="D15" s="575"/>
      <c r="E15" s="570" t="str">
        <f>IF(B15="","",C15-D15)</f>
        <v/>
      </c>
    </row>
    <row r="16" spans="1:5" s="55" customFormat="1" ht="20.25" customHeight="1" x14ac:dyDescent="0.25">
      <c r="A16" s="574">
        <v>9</v>
      </c>
      <c r="B16" s="577"/>
      <c r="C16" s="576"/>
      <c r="D16" s="575"/>
      <c r="E16" s="570" t="str">
        <f>IF(B16="","",C16-D16)</f>
        <v/>
      </c>
    </row>
    <row r="17" spans="1:5" s="55" customFormat="1" ht="20.25" customHeight="1" x14ac:dyDescent="0.25">
      <c r="A17" s="574">
        <v>10</v>
      </c>
      <c r="B17" s="577"/>
      <c r="C17" s="576"/>
      <c r="D17" s="575"/>
      <c r="E17" s="570" t="str">
        <f>IF(B17="","",C17-D17)</f>
        <v/>
      </c>
    </row>
    <row r="18" spans="1:5" s="55" customFormat="1" ht="20.25" customHeight="1" x14ac:dyDescent="0.25">
      <c r="A18" s="574"/>
      <c r="B18" s="581" t="s">
        <v>748</v>
      </c>
      <c r="C18" s="572">
        <f>SUM(C8:C17)</f>
        <v>446913961</v>
      </c>
      <c r="D18" s="571">
        <f>SUM(D8:D17)</f>
        <v>142709588.07999998</v>
      </c>
      <c r="E18" s="570">
        <f>SUM(E8:E17)</f>
        <v>304204372.92000002</v>
      </c>
    </row>
    <row r="19" spans="1:5" s="55" customFormat="1" ht="21" customHeight="1" x14ac:dyDescent="0.25">
      <c r="A19" s="580" t="s">
        <v>747</v>
      </c>
      <c r="B19" s="579"/>
      <c r="C19" s="579"/>
      <c r="D19" s="579"/>
      <c r="E19" s="578"/>
    </row>
    <row r="20" spans="1:5" s="55" customFormat="1" ht="20.25" customHeight="1" x14ac:dyDescent="0.25">
      <c r="A20" s="574">
        <v>1</v>
      </c>
      <c r="B20" s="577"/>
      <c r="C20" s="576"/>
      <c r="D20" s="575"/>
      <c r="E20" s="570" t="str">
        <f>IF(B20="","",C20-D20)</f>
        <v/>
      </c>
    </row>
    <row r="21" spans="1:5" s="55" customFormat="1" ht="20.25" customHeight="1" x14ac:dyDescent="0.25">
      <c r="A21" s="574">
        <v>2</v>
      </c>
      <c r="B21" s="577"/>
      <c r="C21" s="576"/>
      <c r="D21" s="575"/>
      <c r="E21" s="570" t="str">
        <f>IF(B21="","",C21-D21)</f>
        <v/>
      </c>
    </row>
    <row r="22" spans="1:5" s="55" customFormat="1" ht="20.25" customHeight="1" x14ac:dyDescent="0.25">
      <c r="A22" s="574">
        <v>3</v>
      </c>
      <c r="B22" s="577"/>
      <c r="C22" s="576"/>
      <c r="D22" s="575"/>
      <c r="E22" s="570" t="str">
        <f>IF(B22="","",C22-D22)</f>
        <v/>
      </c>
    </row>
    <row r="23" spans="1:5" s="55" customFormat="1" ht="20.25" customHeight="1" x14ac:dyDescent="0.25">
      <c r="A23" s="574">
        <v>4</v>
      </c>
      <c r="B23" s="577"/>
      <c r="C23" s="576"/>
      <c r="D23" s="575"/>
      <c r="E23" s="570" t="str">
        <f>IF(B23="","",C23-D23)</f>
        <v/>
      </c>
    </row>
    <row r="24" spans="1:5" s="55" customFormat="1" ht="20.25" customHeight="1" x14ac:dyDescent="0.25">
      <c r="A24" s="574">
        <v>5</v>
      </c>
      <c r="B24" s="577"/>
      <c r="C24" s="576"/>
      <c r="D24" s="575"/>
      <c r="E24" s="570" t="str">
        <f>IF(B24="","",C24-D24)</f>
        <v/>
      </c>
    </row>
    <row r="25" spans="1:5" s="55" customFormat="1" ht="20.25" customHeight="1" x14ac:dyDescent="0.25">
      <c r="A25" s="574">
        <v>6</v>
      </c>
      <c r="B25" s="577"/>
      <c r="C25" s="576"/>
      <c r="D25" s="575"/>
      <c r="E25" s="570" t="str">
        <f>IF(B25="","",C25-D25)</f>
        <v/>
      </c>
    </row>
    <row r="26" spans="1:5" s="55" customFormat="1" ht="20.25" customHeight="1" x14ac:dyDescent="0.25">
      <c r="A26" s="574">
        <v>7</v>
      </c>
      <c r="B26" s="577"/>
      <c r="C26" s="576"/>
      <c r="D26" s="575"/>
      <c r="E26" s="570" t="str">
        <f>IF(B26="","",C26-D26)</f>
        <v/>
      </c>
    </row>
    <row r="27" spans="1:5" s="55" customFormat="1" ht="20.25" customHeight="1" x14ac:dyDescent="0.25">
      <c r="A27" s="574">
        <v>8</v>
      </c>
      <c r="B27" s="577"/>
      <c r="C27" s="576"/>
      <c r="D27" s="575"/>
      <c r="E27" s="570" t="str">
        <f>IF(B27="","",C27-D28)</f>
        <v/>
      </c>
    </row>
    <row r="28" spans="1:5" s="55" customFormat="1" ht="20.25" customHeight="1" x14ac:dyDescent="0.25">
      <c r="A28" s="574">
        <v>9</v>
      </c>
      <c r="B28" s="577"/>
      <c r="C28" s="576"/>
      <c r="D28" s="575"/>
      <c r="E28" s="570" t="str">
        <f>IF(B28="","",C28-#REF!)</f>
        <v/>
      </c>
    </row>
    <row r="29" spans="1:5" s="55" customFormat="1" ht="20.25" customHeight="1" x14ac:dyDescent="0.25">
      <c r="A29" s="574">
        <v>10</v>
      </c>
      <c r="B29" s="577"/>
      <c r="C29" s="576"/>
      <c r="D29" s="575"/>
      <c r="E29" s="570" t="str">
        <f>IF(B29="","",C29-D29)</f>
        <v/>
      </c>
    </row>
    <row r="30" spans="1:5" s="569" customFormat="1" ht="39.950000000000003" customHeight="1" thickBot="1" x14ac:dyDescent="0.35">
      <c r="A30" s="574"/>
      <c r="B30" s="573" t="s">
        <v>746</v>
      </c>
      <c r="C30" s="572">
        <f>SUM(C20:C29)</f>
        <v>0</v>
      </c>
      <c r="D30" s="571">
        <f>SUM(D20:D29)</f>
        <v>0</v>
      </c>
      <c r="E30" s="570">
        <f>SUM(E20:E29)</f>
        <v>0</v>
      </c>
    </row>
    <row r="31" spans="1:5" ht="30" customHeight="1" thickBot="1" x14ac:dyDescent="0.35">
      <c r="A31" s="568"/>
      <c r="B31" s="567" t="s">
        <v>745</v>
      </c>
      <c r="C31" s="566">
        <f>SUM(C18,C30)</f>
        <v>446913961</v>
      </c>
      <c r="D31" s="566">
        <f>SUM(D18,D30)</f>
        <v>142709588.07999998</v>
      </c>
      <c r="E31" s="565">
        <f>SUM(E18,E30)</f>
        <v>304204372.92000002</v>
      </c>
    </row>
    <row r="32" spans="1:5" ht="17.100000000000001" customHeight="1" x14ac:dyDescent="0.3">
      <c r="A32" s="564" t="s">
        <v>744</v>
      </c>
    </row>
    <row r="33" spans="1:10" ht="17.100000000000001" customHeight="1" x14ac:dyDescent="0.3">
      <c r="A33" s="563"/>
      <c r="B33" s="562"/>
      <c r="C33" s="561"/>
      <c r="D33" s="561"/>
      <c r="E33" s="561"/>
    </row>
    <row r="34" spans="1:10" ht="17.100000000000001" customHeight="1" x14ac:dyDescent="0.3">
      <c r="A34" s="563"/>
      <c r="B34" s="562"/>
      <c r="C34" s="561"/>
      <c r="D34" s="561"/>
      <c r="E34" s="561"/>
    </row>
    <row r="35" spans="1:10" ht="17.100000000000001" customHeight="1" x14ac:dyDescent="0.3">
      <c r="A35" s="563"/>
      <c r="B35" s="562"/>
      <c r="C35" s="561"/>
      <c r="D35" s="561"/>
      <c r="E35" s="561"/>
    </row>
    <row r="36" spans="1:10" ht="17.100000000000001" customHeight="1" x14ac:dyDescent="0.3">
      <c r="A36" s="563"/>
      <c r="B36" s="562"/>
      <c r="C36" s="561"/>
      <c r="D36" s="561"/>
      <c r="E36" s="561"/>
    </row>
    <row r="37" spans="1:10" ht="17.100000000000001" customHeight="1" x14ac:dyDescent="0.3">
      <c r="A37" s="559" t="s">
        <v>44</v>
      </c>
      <c r="J37" s="560"/>
    </row>
  </sheetData>
  <sheetProtection insertHyperlinks="0"/>
  <mergeCells count="7">
    <mergeCell ref="A1:E1"/>
    <mergeCell ref="A3:E3"/>
    <mergeCell ref="A19:E19"/>
    <mergeCell ref="A2:E2"/>
    <mergeCell ref="A5:B6"/>
    <mergeCell ref="A7:E7"/>
    <mergeCell ref="B4:C4"/>
  </mergeCells>
  <printOptions horizontalCentered="1"/>
  <pageMargins left="0.39370078740157483" right="0.39370078740157483" top="0.74803149606299213" bottom="0.74803149606299213" header="0.31496062992125984" footer="0.31496062992125984"/>
  <pageSetup scale="9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4F532-0856-4CBB-8BF3-619465D1C3BC}">
  <sheetPr>
    <tabColor theme="0" tint="-0.14999847407452621"/>
  </sheetPr>
  <dimension ref="A1:I37"/>
  <sheetViews>
    <sheetView view="pageBreakPreview" topLeftCell="A4" zoomScale="90" zoomScaleNormal="100" zoomScaleSheetLayoutView="90" workbookViewId="0">
      <selection activeCell="T27" sqref="T27"/>
    </sheetView>
  </sheetViews>
  <sheetFormatPr baseColWidth="10" defaultColWidth="11.28515625" defaultRowHeight="16.5" x14ac:dyDescent="0.3"/>
  <cols>
    <col min="1" max="1" width="4.85546875" style="559" customWidth="1"/>
    <col min="2" max="2" width="41" style="559" customWidth="1"/>
    <col min="3" max="4" width="25.7109375" style="559" customWidth="1"/>
    <col min="5" max="16384" width="11.28515625" style="559"/>
  </cols>
  <sheetData>
    <row r="1" spans="1:6" x14ac:dyDescent="0.3">
      <c r="A1" s="607"/>
      <c r="B1" s="173" t="str">
        <f>'[1]ETCA-I-01'!A1</f>
        <v xml:space="preserve">Comision Estatal del Agua  </v>
      </c>
      <c r="C1" s="173"/>
      <c r="D1" s="173"/>
    </row>
    <row r="2" spans="1:6" x14ac:dyDescent="0.3">
      <c r="B2" s="595" t="s">
        <v>763</v>
      </c>
      <c r="C2" s="595"/>
      <c r="D2" s="595"/>
      <c r="F2" s="606"/>
    </row>
    <row r="3" spans="1:6" x14ac:dyDescent="0.3">
      <c r="B3" s="596" t="str">
        <f>'[1]ETCA-I-03'!A3</f>
        <v>Del 01 de Enero al 30 de Junio de 2020</v>
      </c>
      <c r="C3" s="596"/>
      <c r="D3" s="596"/>
    </row>
    <row r="4" spans="1:6" x14ac:dyDescent="0.3">
      <c r="A4" s="605"/>
      <c r="B4" s="604" t="s">
        <v>762</v>
      </c>
      <c r="C4" s="604"/>
      <c r="D4" s="225"/>
    </row>
    <row r="5" spans="1:6" ht="6.75" customHeight="1" thickBot="1" x14ac:dyDescent="0.35"/>
    <row r="6" spans="1:6" s="55" customFormat="1" ht="27.95" customHeight="1" x14ac:dyDescent="0.25">
      <c r="A6" s="593" t="s">
        <v>757</v>
      </c>
      <c r="B6" s="592"/>
      <c r="C6" s="603" t="s">
        <v>108</v>
      </c>
      <c r="D6" s="602" t="s">
        <v>334</v>
      </c>
    </row>
    <row r="7" spans="1:6" s="55" customFormat="1" ht="4.5" customHeight="1" thickBot="1" x14ac:dyDescent="0.3">
      <c r="A7" s="588"/>
      <c r="B7" s="587"/>
      <c r="C7" s="601"/>
      <c r="D7" s="600"/>
    </row>
    <row r="8" spans="1:6" s="55" customFormat="1" ht="21" customHeight="1" x14ac:dyDescent="0.25">
      <c r="A8" s="584" t="s">
        <v>750</v>
      </c>
      <c r="B8" s="583"/>
      <c r="C8" s="583"/>
      <c r="D8" s="582"/>
    </row>
    <row r="9" spans="1:6" s="55" customFormat="1" ht="18" customHeight="1" x14ac:dyDescent="0.25">
      <c r="A9" s="574">
        <v>1</v>
      </c>
      <c r="B9" s="577" t="s">
        <v>761</v>
      </c>
      <c r="C9" s="599">
        <v>12363625.460000001</v>
      </c>
      <c r="D9" s="598">
        <v>12363625.460000001</v>
      </c>
    </row>
    <row r="10" spans="1:6" s="55" customFormat="1" ht="18" customHeight="1" x14ac:dyDescent="0.25">
      <c r="A10" s="574">
        <v>2</v>
      </c>
      <c r="B10" s="577"/>
      <c r="C10" s="599"/>
      <c r="D10" s="598"/>
    </row>
    <row r="11" spans="1:6" s="55" customFormat="1" ht="18" customHeight="1" x14ac:dyDescent="0.25">
      <c r="A11" s="574">
        <v>3</v>
      </c>
      <c r="B11" s="577"/>
      <c r="C11" s="599"/>
      <c r="D11" s="598"/>
    </row>
    <row r="12" spans="1:6" s="55" customFormat="1" ht="18" customHeight="1" x14ac:dyDescent="0.25">
      <c r="A12" s="574">
        <v>4</v>
      </c>
      <c r="B12" s="577"/>
      <c r="C12" s="599"/>
      <c r="D12" s="598"/>
    </row>
    <row r="13" spans="1:6" s="55" customFormat="1" ht="18" customHeight="1" x14ac:dyDescent="0.25">
      <c r="A13" s="574">
        <v>5</v>
      </c>
      <c r="B13" s="577"/>
      <c r="C13" s="599"/>
      <c r="D13" s="598"/>
    </row>
    <row r="14" spans="1:6" s="55" customFormat="1" ht="18" customHeight="1" x14ac:dyDescent="0.25">
      <c r="A14" s="574">
        <v>6</v>
      </c>
      <c r="B14" s="577"/>
      <c r="C14" s="599"/>
      <c r="D14" s="598"/>
    </row>
    <row r="15" spans="1:6" s="55" customFormat="1" ht="18" customHeight="1" x14ac:dyDescent="0.25">
      <c r="A15" s="574">
        <v>7</v>
      </c>
      <c r="B15" s="577"/>
      <c r="C15" s="599"/>
      <c r="D15" s="598"/>
    </row>
    <row r="16" spans="1:6" s="55" customFormat="1" ht="18" customHeight="1" x14ac:dyDescent="0.25">
      <c r="A16" s="574">
        <v>8</v>
      </c>
      <c r="B16" s="577"/>
      <c r="C16" s="599"/>
      <c r="D16" s="598"/>
    </row>
    <row r="17" spans="1:4" s="55" customFormat="1" ht="18" customHeight="1" x14ac:dyDescent="0.25">
      <c r="A17" s="574">
        <v>9</v>
      </c>
      <c r="B17" s="577"/>
      <c r="C17" s="599"/>
      <c r="D17" s="598"/>
    </row>
    <row r="18" spans="1:4" s="55" customFormat="1" ht="18" customHeight="1" x14ac:dyDescent="0.25">
      <c r="A18" s="574">
        <v>10</v>
      </c>
      <c r="B18" s="577"/>
      <c r="C18" s="599"/>
      <c r="D18" s="598"/>
    </row>
    <row r="19" spans="1:4" s="55" customFormat="1" ht="18" customHeight="1" x14ac:dyDescent="0.25">
      <c r="A19" s="574"/>
      <c r="B19" s="581" t="s">
        <v>760</v>
      </c>
      <c r="C19" s="572">
        <f>SUM(C9:C18)</f>
        <v>12363625.460000001</v>
      </c>
      <c r="D19" s="570">
        <f>SUM(D9:D18)</f>
        <v>12363625.460000001</v>
      </c>
    </row>
    <row r="20" spans="1:4" s="55" customFormat="1" ht="21" customHeight="1" x14ac:dyDescent="0.25">
      <c r="A20" s="580" t="s">
        <v>747</v>
      </c>
      <c r="B20" s="579"/>
      <c r="C20" s="579"/>
      <c r="D20" s="578"/>
    </row>
    <row r="21" spans="1:4" s="55" customFormat="1" ht="18" customHeight="1" x14ac:dyDescent="0.25">
      <c r="A21" s="574">
        <v>1</v>
      </c>
      <c r="B21" s="577"/>
      <c r="C21" s="599"/>
      <c r="D21" s="598"/>
    </row>
    <row r="22" spans="1:4" s="55" customFormat="1" ht="18" customHeight="1" x14ac:dyDescent="0.25">
      <c r="A22" s="574">
        <v>2</v>
      </c>
      <c r="B22" s="577"/>
      <c r="C22" s="599"/>
      <c r="D22" s="598"/>
    </row>
    <row r="23" spans="1:4" s="55" customFormat="1" ht="18" customHeight="1" x14ac:dyDescent="0.25">
      <c r="A23" s="574">
        <v>3</v>
      </c>
      <c r="B23" s="577"/>
      <c r="C23" s="599"/>
      <c r="D23" s="598"/>
    </row>
    <row r="24" spans="1:4" s="55" customFormat="1" ht="18" customHeight="1" x14ac:dyDescent="0.25">
      <c r="A24" s="574">
        <v>4</v>
      </c>
      <c r="B24" s="577"/>
      <c r="C24" s="599"/>
      <c r="D24" s="598"/>
    </row>
    <row r="25" spans="1:4" s="55" customFormat="1" ht="18" customHeight="1" x14ac:dyDescent="0.25">
      <c r="A25" s="574">
        <v>5</v>
      </c>
      <c r="B25" s="577"/>
      <c r="C25" s="599"/>
      <c r="D25" s="598"/>
    </row>
    <row r="26" spans="1:4" s="55" customFormat="1" ht="18" customHeight="1" x14ac:dyDescent="0.25">
      <c r="A26" s="574">
        <v>6</v>
      </c>
      <c r="B26" s="577"/>
      <c r="C26" s="599"/>
      <c r="D26" s="598"/>
    </row>
    <row r="27" spans="1:4" s="55" customFormat="1" ht="18" customHeight="1" x14ac:dyDescent="0.25">
      <c r="A27" s="574">
        <v>7</v>
      </c>
      <c r="B27" s="577"/>
      <c r="C27" s="599"/>
      <c r="D27" s="598"/>
    </row>
    <row r="28" spans="1:4" s="55" customFormat="1" ht="18" customHeight="1" x14ac:dyDescent="0.25">
      <c r="A28" s="574">
        <v>8</v>
      </c>
      <c r="B28" s="577"/>
      <c r="C28" s="599"/>
      <c r="D28" s="598"/>
    </row>
    <row r="29" spans="1:4" s="55" customFormat="1" ht="18" customHeight="1" x14ac:dyDescent="0.25">
      <c r="A29" s="574">
        <v>9</v>
      </c>
      <c r="B29" s="577"/>
      <c r="C29" s="599"/>
      <c r="D29" s="598"/>
    </row>
    <row r="30" spans="1:4" s="55" customFormat="1" ht="18" customHeight="1" x14ac:dyDescent="0.25">
      <c r="A30" s="574">
        <v>10</v>
      </c>
      <c r="B30" s="577"/>
      <c r="C30" s="599" t="s">
        <v>44</v>
      </c>
      <c r="D30" s="598"/>
    </row>
    <row r="31" spans="1:4" s="569" customFormat="1" ht="18" customHeight="1" thickBot="1" x14ac:dyDescent="0.35">
      <c r="A31" s="574"/>
      <c r="B31" s="573" t="s">
        <v>759</v>
      </c>
      <c r="C31" s="572">
        <f>SUM(C21:C30)</f>
        <v>0</v>
      </c>
      <c r="D31" s="570">
        <f>SUM(D21:D30)</f>
        <v>0</v>
      </c>
    </row>
    <row r="32" spans="1:4" ht="27.95" customHeight="1" thickBot="1" x14ac:dyDescent="0.35">
      <c r="A32" s="568"/>
      <c r="B32" s="567" t="s">
        <v>745</v>
      </c>
      <c r="C32" s="566">
        <f>SUM(C31,C19)</f>
        <v>12363625.460000001</v>
      </c>
      <c r="D32" s="597">
        <f>SUM(D31,D19)</f>
        <v>12363625.460000001</v>
      </c>
    </row>
    <row r="33" spans="1:9" s="569" customFormat="1" ht="18" customHeight="1" x14ac:dyDescent="0.3">
      <c r="A33" s="564" t="s">
        <v>744</v>
      </c>
      <c r="B33" s="559"/>
      <c r="C33" s="559"/>
      <c r="D33" s="559"/>
      <c r="E33" s="559"/>
    </row>
    <row r="34" spans="1:9" s="569" customFormat="1" ht="18" customHeight="1" x14ac:dyDescent="0.3">
      <c r="A34" s="559"/>
      <c r="B34" s="559"/>
      <c r="C34" s="559"/>
      <c r="D34" s="559"/>
      <c r="E34" s="559"/>
    </row>
    <row r="35" spans="1:9" s="569" customFormat="1" ht="18" customHeight="1" x14ac:dyDescent="0.3">
      <c r="A35" s="559"/>
      <c r="B35" s="559"/>
      <c r="C35" s="559"/>
      <c r="D35" s="559"/>
      <c r="E35" s="559"/>
    </row>
    <row r="36" spans="1:9" ht="17.100000000000001" customHeight="1" x14ac:dyDescent="0.3">
      <c r="A36" s="563"/>
      <c r="B36" s="562"/>
      <c r="C36" s="561"/>
      <c r="D36" s="561"/>
    </row>
    <row r="37" spans="1:9" ht="17.100000000000001" customHeight="1" x14ac:dyDescent="0.3">
      <c r="I37" s="560"/>
    </row>
  </sheetData>
  <sheetProtection insertHyperlinks="0"/>
  <mergeCells count="9">
    <mergeCell ref="A8:D8"/>
    <mergeCell ref="A20:D20"/>
    <mergeCell ref="C6:C7"/>
    <mergeCell ref="D6:D7"/>
    <mergeCell ref="B1:D1"/>
    <mergeCell ref="B2:D2"/>
    <mergeCell ref="B3:D3"/>
    <mergeCell ref="B4:C4"/>
    <mergeCell ref="A6:B7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B39C0-2CAE-4F42-9CB3-47C4A10224F0}">
  <sheetPr>
    <tabColor theme="0" tint="-0.14999847407452621"/>
  </sheetPr>
  <dimension ref="A1:J90"/>
  <sheetViews>
    <sheetView view="pageBreakPreview" zoomScale="130" zoomScaleNormal="120" zoomScaleSheetLayoutView="130" workbookViewId="0">
      <selection activeCell="T27" sqref="T27"/>
    </sheetView>
  </sheetViews>
  <sheetFormatPr baseColWidth="10" defaultColWidth="11.42578125" defaultRowHeight="15" x14ac:dyDescent="0.25"/>
  <cols>
    <col min="1" max="1" width="1.85546875" customWidth="1"/>
    <col min="2" max="2" width="0.85546875" customWidth="1"/>
    <col min="3" max="3" width="48.28515625" customWidth="1"/>
    <col min="5" max="5" width="12.85546875" customWidth="1"/>
  </cols>
  <sheetData>
    <row r="1" spans="1:9" ht="15.75" x14ac:dyDescent="0.25">
      <c r="A1" s="173" t="str">
        <f>'[1]ETCA-I-01'!A1:G1</f>
        <v xml:space="preserve">Comision Estatal del Agua  </v>
      </c>
      <c r="B1" s="173"/>
      <c r="C1" s="173"/>
      <c r="D1" s="173"/>
      <c r="E1" s="173"/>
      <c r="F1" s="173"/>
      <c r="G1" s="173"/>
      <c r="H1" s="173"/>
      <c r="I1" s="173"/>
    </row>
    <row r="2" spans="1:9" ht="15.75" customHeight="1" x14ac:dyDescent="0.25">
      <c r="A2" s="172" t="s">
        <v>113</v>
      </c>
      <c r="B2" s="172"/>
      <c r="C2" s="172"/>
      <c r="D2" s="172"/>
      <c r="E2" s="172"/>
      <c r="F2" s="172"/>
      <c r="G2" s="172"/>
      <c r="H2" s="172"/>
      <c r="I2" s="172"/>
    </row>
    <row r="3" spans="1:9" ht="15.75" customHeight="1" x14ac:dyDescent="0.25">
      <c r="A3" s="171" t="str">
        <f>'[1]ETCA-I-10'!A3:K3</f>
        <v>Del 01 de Enero al 30 de Junio de 2020</v>
      </c>
      <c r="B3" s="171"/>
      <c r="C3" s="171"/>
      <c r="D3" s="171"/>
      <c r="E3" s="171"/>
      <c r="F3" s="171"/>
      <c r="G3" s="171"/>
      <c r="H3" s="171"/>
      <c r="I3" s="171"/>
    </row>
    <row r="4" spans="1:9" ht="15.75" customHeight="1" thickBot="1" x14ac:dyDescent="0.3">
      <c r="A4" s="170"/>
      <c r="B4" s="170"/>
      <c r="C4" s="170"/>
      <c r="D4" s="170"/>
      <c r="E4" s="170"/>
      <c r="F4" s="170"/>
      <c r="G4" s="170"/>
      <c r="H4" s="170"/>
      <c r="I4" s="170"/>
    </row>
    <row r="5" spans="1:9" ht="15.75" thickBot="1" x14ac:dyDescent="0.3">
      <c r="A5" s="169"/>
      <c r="B5" s="168"/>
      <c r="C5" s="167"/>
      <c r="D5" s="166" t="s">
        <v>33</v>
      </c>
      <c r="E5" s="165"/>
      <c r="F5" s="165"/>
      <c r="G5" s="165"/>
      <c r="H5" s="164"/>
      <c r="I5" s="159" t="s">
        <v>112</v>
      </c>
    </row>
    <row r="6" spans="1:9" x14ac:dyDescent="0.25">
      <c r="A6" s="163" t="s">
        <v>111</v>
      </c>
      <c r="B6" s="162"/>
      <c r="C6" s="161"/>
      <c r="D6" s="159" t="s">
        <v>110</v>
      </c>
      <c r="E6" s="160" t="s">
        <v>109</v>
      </c>
      <c r="F6" s="159" t="s">
        <v>30</v>
      </c>
      <c r="G6" s="159" t="s">
        <v>108</v>
      </c>
      <c r="H6" s="159" t="s">
        <v>107</v>
      </c>
      <c r="I6" s="158"/>
    </row>
    <row r="7" spans="1:9" ht="15.75" thickBot="1" x14ac:dyDescent="0.3">
      <c r="A7" s="157" t="s">
        <v>106</v>
      </c>
      <c r="B7" s="156"/>
      <c r="C7" s="155"/>
      <c r="D7" s="153"/>
      <c r="E7" s="154"/>
      <c r="F7" s="153"/>
      <c r="G7" s="153"/>
      <c r="H7" s="153"/>
      <c r="I7" s="153"/>
    </row>
    <row r="8" spans="1:9" x14ac:dyDescent="0.25">
      <c r="A8" s="152"/>
      <c r="B8" s="151"/>
      <c r="C8" s="150"/>
      <c r="D8" s="149"/>
      <c r="E8" s="149"/>
      <c r="F8" s="149"/>
      <c r="G8" s="149"/>
      <c r="H8" s="149"/>
      <c r="I8" s="149"/>
    </row>
    <row r="9" spans="1:9" x14ac:dyDescent="0.25">
      <c r="A9" s="121" t="s">
        <v>105</v>
      </c>
      <c r="B9" s="113"/>
      <c r="C9" s="148"/>
      <c r="D9" s="147"/>
      <c r="E9" s="147"/>
      <c r="F9" s="147"/>
      <c r="G9" s="147"/>
      <c r="H9" s="147"/>
      <c r="I9" s="147"/>
    </row>
    <row r="10" spans="1:9" x14ac:dyDescent="0.25">
      <c r="A10" s="114"/>
      <c r="B10" s="120" t="s">
        <v>104</v>
      </c>
      <c r="C10" s="119"/>
      <c r="D10" s="116">
        <v>0</v>
      </c>
      <c r="E10" s="116">
        <v>0</v>
      </c>
      <c r="F10" s="116">
        <f>+D10+E10</f>
        <v>0</v>
      </c>
      <c r="G10" s="116">
        <v>0</v>
      </c>
      <c r="H10" s="116">
        <v>0</v>
      </c>
      <c r="I10" s="115">
        <f>+H10-D10</f>
        <v>0</v>
      </c>
    </row>
    <row r="11" spans="1:9" x14ac:dyDescent="0.25">
      <c r="A11" s="114"/>
      <c r="B11" s="120" t="s">
        <v>103</v>
      </c>
      <c r="C11" s="119"/>
      <c r="D11" s="116">
        <v>0</v>
      </c>
      <c r="E11" s="116">
        <v>0</v>
      </c>
      <c r="F11" s="116">
        <f>+D11+E11</f>
        <v>0</v>
      </c>
      <c r="G11" s="116">
        <v>0</v>
      </c>
      <c r="H11" s="116">
        <v>0</v>
      </c>
      <c r="I11" s="115">
        <f>+H11-D11</f>
        <v>0</v>
      </c>
    </row>
    <row r="12" spans="1:9" x14ac:dyDescent="0.25">
      <c r="A12" s="114"/>
      <c r="B12" s="120" t="s">
        <v>102</v>
      </c>
      <c r="C12" s="119"/>
      <c r="D12" s="116">
        <v>0</v>
      </c>
      <c r="E12" s="116">
        <v>0</v>
      </c>
      <c r="F12" s="116">
        <f>+D12+E12</f>
        <v>0</v>
      </c>
      <c r="G12" s="116">
        <v>0</v>
      </c>
      <c r="H12" s="116">
        <v>0</v>
      </c>
      <c r="I12" s="115">
        <f>+H12-D12</f>
        <v>0</v>
      </c>
    </row>
    <row r="13" spans="1:9" x14ac:dyDescent="0.25">
      <c r="A13" s="114"/>
      <c r="B13" s="120" t="s">
        <v>101</v>
      </c>
      <c r="C13" s="119"/>
      <c r="D13" s="116">
        <v>0</v>
      </c>
      <c r="E13" s="116">
        <v>0</v>
      </c>
      <c r="F13" s="116">
        <f>+D13+E13</f>
        <v>0</v>
      </c>
      <c r="G13" s="116">
        <v>0</v>
      </c>
      <c r="H13" s="116">
        <v>0</v>
      </c>
      <c r="I13" s="115">
        <f>+H13-D13</f>
        <v>0</v>
      </c>
    </row>
    <row r="14" spans="1:9" x14ac:dyDescent="0.25">
      <c r="A14" s="114"/>
      <c r="B14" s="120" t="s">
        <v>100</v>
      </c>
      <c r="C14" s="119"/>
      <c r="D14" s="116">
        <v>0</v>
      </c>
      <c r="E14" s="116">
        <v>353853.81</v>
      </c>
      <c r="F14" s="116">
        <f>+D14+E14</f>
        <v>353853.81</v>
      </c>
      <c r="G14" s="116">
        <v>353853.81</v>
      </c>
      <c r="H14" s="116">
        <v>353853.81</v>
      </c>
      <c r="I14" s="115">
        <f>+H14-D14</f>
        <v>353853.81</v>
      </c>
    </row>
    <row r="15" spans="1:9" x14ac:dyDescent="0.25">
      <c r="A15" s="114"/>
      <c r="B15" s="120" t="s">
        <v>99</v>
      </c>
      <c r="C15" s="119"/>
      <c r="D15" s="116">
        <v>0</v>
      </c>
      <c r="E15" s="116">
        <v>0</v>
      </c>
      <c r="F15" s="116">
        <f>+D15+E15</f>
        <v>0</v>
      </c>
      <c r="G15" s="116">
        <v>0</v>
      </c>
      <c r="H15" s="116"/>
      <c r="I15" s="115">
        <f>+H15-D15</f>
        <v>0</v>
      </c>
    </row>
    <row r="16" spans="1:9" x14ac:dyDescent="0.25">
      <c r="A16" s="114"/>
      <c r="B16" s="120" t="s">
        <v>98</v>
      </c>
      <c r="C16" s="119"/>
      <c r="D16" s="42">
        <v>236101777</v>
      </c>
      <c r="E16" s="42">
        <v>14014376.059999999</v>
      </c>
      <c r="F16" s="116">
        <f>+D16+E16</f>
        <v>250116153.06</v>
      </c>
      <c r="G16" s="42">
        <f>91817930.58+0.72</f>
        <v>91817931.299999997</v>
      </c>
      <c r="H16" s="42">
        <f>91817930.58+0.72</f>
        <v>91817931.299999997</v>
      </c>
      <c r="I16" s="115">
        <f>+H16-D16</f>
        <v>-144283845.69999999</v>
      </c>
    </row>
    <row r="17" spans="1:9" x14ac:dyDescent="0.25">
      <c r="A17" s="146"/>
      <c r="B17" s="120" t="s">
        <v>97</v>
      </c>
      <c r="C17" s="119"/>
      <c r="D17" s="145">
        <f>SUM(D19:D29)</f>
        <v>0</v>
      </c>
      <c r="E17" s="145">
        <f>SUM(E19:E29)</f>
        <v>0</v>
      </c>
      <c r="F17" s="145">
        <f>SUM(F19:F29)</f>
        <v>0</v>
      </c>
      <c r="G17" s="145">
        <f>SUM(G19:G29)</f>
        <v>0</v>
      </c>
      <c r="H17" s="145">
        <f>SUM(H19:H29)</f>
        <v>0</v>
      </c>
      <c r="I17" s="145">
        <f>SUM(I19:I29)</f>
        <v>0</v>
      </c>
    </row>
    <row r="18" spans="1:9" x14ac:dyDescent="0.25">
      <c r="A18" s="146"/>
      <c r="B18" s="120" t="s">
        <v>96</v>
      </c>
      <c r="C18" s="119"/>
      <c r="D18" s="145"/>
      <c r="E18" s="145"/>
      <c r="F18" s="145"/>
      <c r="G18" s="145"/>
      <c r="H18" s="145"/>
      <c r="I18" s="145"/>
    </row>
    <row r="19" spans="1:9" x14ac:dyDescent="0.25">
      <c r="A19" s="114"/>
      <c r="B19" s="127"/>
      <c r="C19" s="132" t="s">
        <v>95</v>
      </c>
      <c r="D19" s="116">
        <v>0</v>
      </c>
      <c r="E19" s="116">
        <v>0</v>
      </c>
      <c r="F19" s="116">
        <f>+D19+E19</f>
        <v>0</v>
      </c>
      <c r="G19" s="116">
        <v>0</v>
      </c>
      <c r="H19" s="116">
        <v>0</v>
      </c>
      <c r="I19" s="115">
        <f>+H19-D19</f>
        <v>0</v>
      </c>
    </row>
    <row r="20" spans="1:9" x14ac:dyDescent="0.25">
      <c r="A20" s="114"/>
      <c r="B20" s="127"/>
      <c r="C20" s="132" t="s">
        <v>94</v>
      </c>
      <c r="D20" s="116">
        <v>0</v>
      </c>
      <c r="E20" s="116">
        <v>0</v>
      </c>
      <c r="F20" s="116">
        <f>+D20+E20</f>
        <v>0</v>
      </c>
      <c r="G20" s="116">
        <v>0</v>
      </c>
      <c r="H20" s="116">
        <v>0</v>
      </c>
      <c r="I20" s="115">
        <f>+H20-D20</f>
        <v>0</v>
      </c>
    </row>
    <row r="21" spans="1:9" x14ac:dyDescent="0.25">
      <c r="A21" s="114"/>
      <c r="B21" s="127"/>
      <c r="C21" s="132" t="s">
        <v>93</v>
      </c>
      <c r="D21" s="116">
        <v>0</v>
      </c>
      <c r="E21" s="116">
        <v>0</v>
      </c>
      <c r="F21" s="116">
        <f>+D21+E21</f>
        <v>0</v>
      </c>
      <c r="G21" s="116">
        <v>0</v>
      </c>
      <c r="H21" s="116">
        <v>0</v>
      </c>
      <c r="I21" s="115">
        <f>+H21-D21</f>
        <v>0</v>
      </c>
    </row>
    <row r="22" spans="1:9" x14ac:dyDescent="0.25">
      <c r="A22" s="114"/>
      <c r="B22" s="127"/>
      <c r="C22" s="132" t="s">
        <v>92</v>
      </c>
      <c r="D22" s="116">
        <v>0</v>
      </c>
      <c r="E22" s="116">
        <v>0</v>
      </c>
      <c r="F22" s="116">
        <f>+D22+E22</f>
        <v>0</v>
      </c>
      <c r="G22" s="116">
        <v>0</v>
      </c>
      <c r="H22" s="116">
        <v>0</v>
      </c>
      <c r="I22" s="115">
        <f>+H22-D22</f>
        <v>0</v>
      </c>
    </row>
    <row r="23" spans="1:9" x14ac:dyDescent="0.25">
      <c r="A23" s="114"/>
      <c r="B23" s="127"/>
      <c r="C23" s="132" t="s">
        <v>91</v>
      </c>
      <c r="D23" s="116">
        <v>0</v>
      </c>
      <c r="E23" s="116">
        <v>0</v>
      </c>
      <c r="F23" s="116">
        <f>+D23+E23</f>
        <v>0</v>
      </c>
      <c r="G23" s="116">
        <v>0</v>
      </c>
      <c r="H23" s="116">
        <v>0</v>
      </c>
      <c r="I23" s="115">
        <f>+H23-D23</f>
        <v>0</v>
      </c>
    </row>
    <row r="24" spans="1:9" x14ac:dyDescent="0.25">
      <c r="A24" s="114"/>
      <c r="B24" s="127"/>
      <c r="C24" s="132" t="s">
        <v>90</v>
      </c>
      <c r="D24" s="116">
        <v>0</v>
      </c>
      <c r="E24" s="116">
        <v>0</v>
      </c>
      <c r="F24" s="116">
        <f>+D24+E24</f>
        <v>0</v>
      </c>
      <c r="G24" s="116">
        <v>0</v>
      </c>
      <c r="H24" s="116">
        <v>0</v>
      </c>
      <c r="I24" s="115">
        <f>+H24-D24</f>
        <v>0</v>
      </c>
    </row>
    <row r="25" spans="1:9" x14ac:dyDescent="0.25">
      <c r="A25" s="114"/>
      <c r="B25" s="127"/>
      <c r="C25" s="132" t="s">
        <v>89</v>
      </c>
      <c r="D25" s="116">
        <v>0</v>
      </c>
      <c r="E25" s="116">
        <v>0</v>
      </c>
      <c r="F25" s="116">
        <f>+D25+E25</f>
        <v>0</v>
      </c>
      <c r="G25" s="116">
        <v>0</v>
      </c>
      <c r="H25" s="116">
        <v>0</v>
      </c>
      <c r="I25" s="115">
        <f>+H25-D25</f>
        <v>0</v>
      </c>
    </row>
    <row r="26" spans="1:9" x14ac:dyDescent="0.25">
      <c r="A26" s="114"/>
      <c r="B26" s="127"/>
      <c r="C26" s="132" t="s">
        <v>88</v>
      </c>
      <c r="D26" s="116">
        <v>0</v>
      </c>
      <c r="E26" s="116">
        <v>0</v>
      </c>
      <c r="F26" s="116">
        <f>+D26+E26</f>
        <v>0</v>
      </c>
      <c r="G26" s="116">
        <v>0</v>
      </c>
      <c r="H26" s="116">
        <v>0</v>
      </c>
      <c r="I26" s="115">
        <f>+H26-D26</f>
        <v>0</v>
      </c>
    </row>
    <row r="27" spans="1:9" x14ac:dyDescent="0.25">
      <c r="A27" s="114"/>
      <c r="B27" s="127"/>
      <c r="C27" s="132" t="s">
        <v>87</v>
      </c>
      <c r="D27" s="116">
        <v>0</v>
      </c>
      <c r="E27" s="116">
        <v>0</v>
      </c>
      <c r="F27" s="116">
        <f>+D27+E27</f>
        <v>0</v>
      </c>
      <c r="G27" s="116">
        <v>0</v>
      </c>
      <c r="H27" s="116">
        <v>0</v>
      </c>
      <c r="I27" s="115">
        <f>+H27-D27</f>
        <v>0</v>
      </c>
    </row>
    <row r="28" spans="1:9" x14ac:dyDescent="0.25">
      <c r="A28" s="114"/>
      <c r="B28" s="127"/>
      <c r="C28" s="132" t="s">
        <v>86</v>
      </c>
      <c r="D28" s="116">
        <v>0</v>
      </c>
      <c r="E28" s="116">
        <v>0</v>
      </c>
      <c r="F28" s="116">
        <f>+D28+E28</f>
        <v>0</v>
      </c>
      <c r="G28" s="116">
        <v>0</v>
      </c>
      <c r="H28" s="116">
        <v>0</v>
      </c>
      <c r="I28" s="115">
        <f>+H28-D28</f>
        <v>0</v>
      </c>
    </row>
    <row r="29" spans="1:9" x14ac:dyDescent="0.25">
      <c r="A29" s="114"/>
      <c r="B29" s="127"/>
      <c r="C29" s="132" t="s">
        <v>85</v>
      </c>
      <c r="D29" s="116">
        <v>0</v>
      </c>
      <c r="E29" s="116">
        <v>0</v>
      </c>
      <c r="F29" s="116">
        <f>+D29+E29</f>
        <v>0</v>
      </c>
      <c r="G29" s="116">
        <v>0</v>
      </c>
      <c r="H29" s="116">
        <v>0</v>
      </c>
      <c r="I29" s="115">
        <f>+H29-D29</f>
        <v>0</v>
      </c>
    </row>
    <row r="30" spans="1:9" x14ac:dyDescent="0.25">
      <c r="A30" s="114"/>
      <c r="B30" s="120" t="s">
        <v>84</v>
      </c>
      <c r="C30" s="119"/>
      <c r="D30" s="115">
        <f>SUM(D31:D35)</f>
        <v>0</v>
      </c>
      <c r="E30" s="115">
        <f>SUM(E31:E35)</f>
        <v>0</v>
      </c>
      <c r="F30" s="115">
        <f>SUM(F31:F35)</f>
        <v>0</v>
      </c>
      <c r="G30" s="115">
        <f>SUM(G31:G35)</f>
        <v>0</v>
      </c>
      <c r="H30" s="115">
        <f>SUM(H31:H35)</f>
        <v>0</v>
      </c>
      <c r="I30" s="115">
        <f>SUM(I31:I35)</f>
        <v>0</v>
      </c>
    </row>
    <row r="31" spans="1:9" x14ac:dyDescent="0.25">
      <c r="A31" s="114"/>
      <c r="B31" s="127"/>
      <c r="C31" s="132" t="s">
        <v>83</v>
      </c>
      <c r="D31" s="116">
        <v>0</v>
      </c>
      <c r="E31" s="116">
        <v>0</v>
      </c>
      <c r="F31" s="116">
        <v>0</v>
      </c>
      <c r="G31" s="116"/>
      <c r="H31" s="116">
        <v>0</v>
      </c>
      <c r="I31" s="115">
        <f>+H31-D31</f>
        <v>0</v>
      </c>
    </row>
    <row r="32" spans="1:9" x14ac:dyDescent="0.25">
      <c r="A32" s="114"/>
      <c r="B32" s="127"/>
      <c r="C32" s="132" t="s">
        <v>82</v>
      </c>
      <c r="D32" s="116">
        <v>0</v>
      </c>
      <c r="E32" s="116">
        <v>0</v>
      </c>
      <c r="F32" s="116">
        <f>+D32+E32</f>
        <v>0</v>
      </c>
      <c r="G32" s="116"/>
      <c r="H32" s="116">
        <v>0</v>
      </c>
      <c r="I32" s="115">
        <f>+H32-D32</f>
        <v>0</v>
      </c>
    </row>
    <row r="33" spans="1:9" ht="15.75" thickBot="1" x14ac:dyDescent="0.3">
      <c r="A33" s="131"/>
      <c r="B33" s="130"/>
      <c r="C33" s="144" t="s">
        <v>81</v>
      </c>
      <c r="D33" s="128">
        <v>0</v>
      </c>
      <c r="E33" s="128">
        <v>0</v>
      </c>
      <c r="F33" s="128">
        <f>+D33+E33</f>
        <v>0</v>
      </c>
      <c r="G33" s="128"/>
      <c r="H33" s="128"/>
      <c r="I33" s="107">
        <f>+H33-D33</f>
        <v>0</v>
      </c>
    </row>
    <row r="34" spans="1:9" x14ac:dyDescent="0.25">
      <c r="A34" s="114"/>
      <c r="B34" s="127"/>
      <c r="C34" s="132" t="s">
        <v>80</v>
      </c>
      <c r="D34" s="116">
        <v>0</v>
      </c>
      <c r="E34" s="116">
        <v>0</v>
      </c>
      <c r="F34" s="116">
        <f>+D34+E34</f>
        <v>0</v>
      </c>
      <c r="G34" s="116"/>
      <c r="H34" s="116"/>
      <c r="I34" s="115">
        <f>+H34-D34</f>
        <v>0</v>
      </c>
    </row>
    <row r="35" spans="1:9" x14ac:dyDescent="0.25">
      <c r="A35" s="114"/>
      <c r="B35" s="127"/>
      <c r="C35" s="132" t="s">
        <v>79</v>
      </c>
      <c r="D35" s="116">
        <v>0</v>
      </c>
      <c r="E35" s="116">
        <v>0</v>
      </c>
      <c r="F35" s="116">
        <f>+D35+E35</f>
        <v>0</v>
      </c>
      <c r="G35" s="116"/>
      <c r="H35" s="116"/>
      <c r="I35" s="115">
        <f>+H35-D35</f>
        <v>0</v>
      </c>
    </row>
    <row r="36" spans="1:9" x14ac:dyDescent="0.25">
      <c r="A36" s="114"/>
      <c r="B36" s="143" t="s">
        <v>78</v>
      </c>
      <c r="C36" s="142"/>
      <c r="D36" s="116">
        <v>299012407</v>
      </c>
      <c r="E36" s="116">
        <v>27609252.969999999</v>
      </c>
      <c r="F36" s="125">
        <f>+D36+E36</f>
        <v>326621659.97000003</v>
      </c>
      <c r="G36" s="116">
        <v>131190448.09999999</v>
      </c>
      <c r="H36" s="116">
        <v>131190448.09999999</v>
      </c>
      <c r="I36" s="141">
        <f>+H36-D36</f>
        <v>-167821958.90000001</v>
      </c>
    </row>
    <row r="37" spans="1:9" x14ac:dyDescent="0.25">
      <c r="A37" s="114"/>
      <c r="B37" s="120" t="s">
        <v>77</v>
      </c>
      <c r="C37" s="119"/>
      <c r="D37" s="115">
        <f>SUM(D38)</f>
        <v>0</v>
      </c>
      <c r="E37" s="115">
        <f>SUM(E38)</f>
        <v>0</v>
      </c>
      <c r="F37" s="115">
        <f>SUM(F38)</f>
        <v>0</v>
      </c>
      <c r="G37" s="115">
        <f>SUM(G38)</f>
        <v>0</v>
      </c>
      <c r="H37" s="115">
        <f>SUM(H38)</f>
        <v>0</v>
      </c>
      <c r="I37" s="115">
        <f>SUM(I38)</f>
        <v>0</v>
      </c>
    </row>
    <row r="38" spans="1:9" x14ac:dyDescent="0.25">
      <c r="A38" s="114"/>
      <c r="B38" s="127"/>
      <c r="C38" s="132" t="s">
        <v>76</v>
      </c>
      <c r="D38" s="116">
        <v>0</v>
      </c>
      <c r="E38" s="116"/>
      <c r="F38" s="116">
        <f>+D38+E38</f>
        <v>0</v>
      </c>
      <c r="G38" s="116"/>
      <c r="H38" s="116"/>
      <c r="I38" s="115">
        <f>+H38-D38</f>
        <v>0</v>
      </c>
    </row>
    <row r="39" spans="1:9" x14ac:dyDescent="0.25">
      <c r="A39" s="114"/>
      <c r="B39" s="120" t="s">
        <v>75</v>
      </c>
      <c r="C39" s="119"/>
      <c r="D39" s="115">
        <f>SUM(D40:D41)</f>
        <v>0</v>
      </c>
      <c r="E39" s="115">
        <f>SUM(E40:E41)</f>
        <v>0</v>
      </c>
      <c r="F39" s="115">
        <f>SUM(F40:F41)</f>
        <v>0</v>
      </c>
      <c r="G39" s="115">
        <f>SUM(G40:G41)</f>
        <v>0</v>
      </c>
      <c r="H39" s="115">
        <f>SUM(H40:H41)</f>
        <v>0</v>
      </c>
      <c r="I39" s="115">
        <f>SUM(I40:I41)</f>
        <v>0</v>
      </c>
    </row>
    <row r="40" spans="1:9" x14ac:dyDescent="0.25">
      <c r="A40" s="114"/>
      <c r="B40" s="127"/>
      <c r="C40" s="132" t="s">
        <v>74</v>
      </c>
      <c r="D40" s="116">
        <v>0</v>
      </c>
      <c r="E40" s="116">
        <v>0</v>
      </c>
      <c r="F40" s="116">
        <f>+D40+E40</f>
        <v>0</v>
      </c>
      <c r="G40" s="116"/>
      <c r="H40" s="116"/>
      <c r="I40" s="115">
        <f>H40-D40</f>
        <v>0</v>
      </c>
    </row>
    <row r="41" spans="1:9" x14ac:dyDescent="0.25">
      <c r="A41" s="114"/>
      <c r="B41" s="127"/>
      <c r="C41" s="132" t="s">
        <v>73</v>
      </c>
      <c r="D41" s="116">
        <v>0</v>
      </c>
      <c r="E41" s="116">
        <v>0</v>
      </c>
      <c r="F41" s="116">
        <f>+D41+E41</f>
        <v>0</v>
      </c>
      <c r="G41" s="116"/>
      <c r="H41" s="116"/>
      <c r="I41" s="115">
        <f>H41-D41</f>
        <v>0</v>
      </c>
    </row>
    <row r="42" spans="1:9" ht="8.25" customHeight="1" x14ac:dyDescent="0.25">
      <c r="A42" s="114"/>
      <c r="B42" s="127"/>
      <c r="C42" s="132"/>
      <c r="D42" s="115"/>
      <c r="E42" s="115"/>
      <c r="F42" s="115"/>
      <c r="G42" s="115"/>
      <c r="H42" s="115"/>
      <c r="I42" s="115"/>
    </row>
    <row r="43" spans="1:9" ht="15" customHeight="1" x14ac:dyDescent="0.25">
      <c r="A43" s="140" t="s">
        <v>72</v>
      </c>
      <c r="B43" s="139"/>
      <c r="C43" s="138"/>
      <c r="D43" s="134">
        <f>+D10+D11+D12+D13+D14+D15+D16+D17+D30+D36+D37+D39</f>
        <v>535114184</v>
      </c>
      <c r="E43" s="134">
        <f>+E10+E11+E12+E13+E14+E15+E16+E17+E30+E36+E37+E39</f>
        <v>41977482.839999996</v>
      </c>
      <c r="F43" s="134">
        <f>+F10+F11+F12+F13+F14+F15+F16+F17+F30+F36+F37+F39</f>
        <v>577091666.84000003</v>
      </c>
      <c r="G43" s="134">
        <f>+G10+G11+G12+G13+G14+G15+G16+G17+G30+G36+G37+G39</f>
        <v>223362233.20999998</v>
      </c>
      <c r="H43" s="134">
        <f>+H10+H11+H12+H13+H14+H15+H16+H17+H30+H36+H37+H39</f>
        <v>223362233.20999998</v>
      </c>
      <c r="I43" s="134">
        <f>+I10+I11+I12+I13+I14+I15+I16+I17+I30+I36+I37+I39</f>
        <v>-311751950.78999996</v>
      </c>
    </row>
    <row r="44" spans="1:9" x14ac:dyDescent="0.25">
      <c r="A44" s="140" t="s">
        <v>71</v>
      </c>
      <c r="B44" s="139"/>
      <c r="C44" s="138"/>
      <c r="D44" s="134"/>
      <c r="E44" s="134"/>
      <c r="F44" s="134"/>
      <c r="G44" s="134"/>
      <c r="H44" s="134"/>
      <c r="I44" s="134"/>
    </row>
    <row r="45" spans="1:9" ht="8.25" customHeight="1" x14ac:dyDescent="0.25">
      <c r="A45" s="137"/>
      <c r="B45" s="136"/>
      <c r="C45" s="135"/>
      <c r="D45" s="134"/>
      <c r="E45" s="134"/>
      <c r="F45" s="134"/>
      <c r="G45" s="134"/>
      <c r="H45" s="134"/>
      <c r="I45" s="134"/>
    </row>
    <row r="46" spans="1:9" x14ac:dyDescent="0.25">
      <c r="A46" s="121" t="s">
        <v>70</v>
      </c>
      <c r="B46" s="113"/>
      <c r="C46" s="112"/>
      <c r="D46" s="133"/>
      <c r="E46" s="133"/>
      <c r="F46" s="133"/>
      <c r="G46" s="133"/>
      <c r="H46" s="133"/>
      <c r="I46" s="115" t="str">
        <f>IF(($H$43-$D$43)&lt;=0," ",$H$43-$D$43)</f>
        <v xml:space="preserve"> </v>
      </c>
    </row>
    <row r="47" spans="1:9" ht="11.25" customHeight="1" x14ac:dyDescent="0.25">
      <c r="A47" s="114"/>
      <c r="B47" s="127"/>
      <c r="C47" s="132"/>
      <c r="D47" s="115"/>
      <c r="E47" s="115"/>
      <c r="F47" s="115"/>
      <c r="G47" s="115"/>
      <c r="H47" s="115"/>
      <c r="I47" s="115"/>
    </row>
    <row r="48" spans="1:9" x14ac:dyDescent="0.25">
      <c r="A48" s="121" t="s">
        <v>69</v>
      </c>
      <c r="B48" s="113"/>
      <c r="C48" s="112"/>
      <c r="D48" s="115"/>
      <c r="E48" s="115"/>
      <c r="F48" s="115"/>
      <c r="G48" s="115"/>
      <c r="H48" s="115"/>
      <c r="I48" s="115"/>
    </row>
    <row r="49" spans="1:9" x14ac:dyDescent="0.25">
      <c r="A49" s="114"/>
      <c r="B49" s="120" t="s">
        <v>68</v>
      </c>
      <c r="C49" s="119"/>
      <c r="D49" s="115">
        <f>SUM(D50:D57)</f>
        <v>0</v>
      </c>
      <c r="E49" s="115">
        <f>SUM(E50:E57)</f>
        <v>0</v>
      </c>
      <c r="F49" s="115">
        <f>SUM(F50:F57)</f>
        <v>0</v>
      </c>
      <c r="G49" s="115">
        <f>SUM(G50:G57)</f>
        <v>0</v>
      </c>
      <c r="H49" s="115">
        <f>SUM(H50:H57)</f>
        <v>0</v>
      </c>
      <c r="I49" s="115">
        <f>SUM(I50:I57)</f>
        <v>0</v>
      </c>
    </row>
    <row r="50" spans="1:9" x14ac:dyDescent="0.25">
      <c r="A50" s="114"/>
      <c r="B50" s="127"/>
      <c r="C50" s="132" t="s">
        <v>67</v>
      </c>
      <c r="D50" s="116">
        <v>0</v>
      </c>
      <c r="E50" s="116">
        <v>0</v>
      </c>
      <c r="F50" s="116">
        <f>+D50+E50</f>
        <v>0</v>
      </c>
      <c r="G50" s="116">
        <v>0</v>
      </c>
      <c r="H50" s="116">
        <v>0</v>
      </c>
      <c r="I50" s="115">
        <f>H50-D50</f>
        <v>0</v>
      </c>
    </row>
    <row r="51" spans="1:9" x14ac:dyDescent="0.25">
      <c r="A51" s="114"/>
      <c r="B51" s="127"/>
      <c r="C51" s="132" t="s">
        <v>66</v>
      </c>
      <c r="D51" s="116">
        <v>0</v>
      </c>
      <c r="E51" s="116"/>
      <c r="F51" s="116">
        <f>+D51+E51</f>
        <v>0</v>
      </c>
      <c r="G51" s="116"/>
      <c r="H51" s="116"/>
      <c r="I51" s="115">
        <f>H51-D51</f>
        <v>0</v>
      </c>
    </row>
    <row r="52" spans="1:9" x14ac:dyDescent="0.25">
      <c r="A52" s="114"/>
      <c r="B52" s="127"/>
      <c r="C52" s="132" t="s">
        <v>65</v>
      </c>
      <c r="D52" s="116">
        <v>0</v>
      </c>
      <c r="E52" s="116"/>
      <c r="F52" s="116">
        <f>+D52+E52</f>
        <v>0</v>
      </c>
      <c r="G52" s="116"/>
      <c r="H52" s="116"/>
      <c r="I52" s="115">
        <f>H52-D52</f>
        <v>0</v>
      </c>
    </row>
    <row r="53" spans="1:9" ht="19.5" x14ac:dyDescent="0.25">
      <c r="A53" s="114"/>
      <c r="B53" s="127"/>
      <c r="C53" s="126" t="s">
        <v>64</v>
      </c>
      <c r="D53" s="116">
        <v>0</v>
      </c>
      <c r="E53" s="116"/>
      <c r="F53" s="116">
        <f>+D53+E53</f>
        <v>0</v>
      </c>
      <c r="G53" s="116"/>
      <c r="H53" s="116"/>
      <c r="I53" s="115">
        <f>H53-D53</f>
        <v>0</v>
      </c>
    </row>
    <row r="54" spans="1:9" x14ac:dyDescent="0.25">
      <c r="A54" s="114"/>
      <c r="B54" s="127"/>
      <c r="C54" s="132" t="s">
        <v>63</v>
      </c>
      <c r="D54" s="116">
        <v>0</v>
      </c>
      <c r="E54" s="116">
        <v>0</v>
      </c>
      <c r="F54" s="116">
        <f>+D54+E54</f>
        <v>0</v>
      </c>
      <c r="G54" s="116">
        <v>0</v>
      </c>
      <c r="H54" s="116">
        <v>0</v>
      </c>
      <c r="I54" s="115">
        <f>H54-D54</f>
        <v>0</v>
      </c>
    </row>
    <row r="55" spans="1:9" x14ac:dyDescent="0.25">
      <c r="A55" s="114"/>
      <c r="B55" s="127"/>
      <c r="C55" s="132" t="s">
        <v>62</v>
      </c>
      <c r="D55" s="116">
        <v>0</v>
      </c>
      <c r="E55" s="116"/>
      <c r="F55" s="116">
        <f>+D55+E55</f>
        <v>0</v>
      </c>
      <c r="G55" s="116"/>
      <c r="H55" s="116"/>
      <c r="I55" s="115">
        <f>H55-D55</f>
        <v>0</v>
      </c>
    </row>
    <row r="56" spans="1:9" ht="19.5" x14ac:dyDescent="0.25">
      <c r="A56" s="114"/>
      <c r="B56" s="127"/>
      <c r="C56" s="126" t="s">
        <v>61</v>
      </c>
      <c r="D56" s="116">
        <v>0</v>
      </c>
      <c r="E56" s="116"/>
      <c r="F56" s="116">
        <f>+D56+E56</f>
        <v>0</v>
      </c>
      <c r="G56" s="116"/>
      <c r="H56" s="116"/>
      <c r="I56" s="115">
        <f>H56-D56</f>
        <v>0</v>
      </c>
    </row>
    <row r="57" spans="1:9" ht="19.5" x14ac:dyDescent="0.25">
      <c r="A57" s="114"/>
      <c r="B57" s="127"/>
      <c r="C57" s="126" t="s">
        <v>60</v>
      </c>
      <c r="D57" s="116">
        <v>0</v>
      </c>
      <c r="E57" s="116"/>
      <c r="F57" s="116">
        <f>+D57+E57</f>
        <v>0</v>
      </c>
      <c r="G57" s="116"/>
      <c r="H57" s="116"/>
      <c r="I57" s="115">
        <f>H57-D57</f>
        <v>0</v>
      </c>
    </row>
    <row r="58" spans="1:9" x14ac:dyDescent="0.25">
      <c r="A58" s="114"/>
      <c r="B58" s="120" t="s">
        <v>59</v>
      </c>
      <c r="C58" s="119"/>
      <c r="D58" s="115">
        <f>SUM(D59:D62)</f>
        <v>0</v>
      </c>
      <c r="E58" s="115">
        <f>SUM(E59:E62)</f>
        <v>0</v>
      </c>
      <c r="F58" s="115">
        <f>SUM(F59:F62)</f>
        <v>0</v>
      </c>
      <c r="G58" s="115">
        <f>SUM(G59:G62)</f>
        <v>0</v>
      </c>
      <c r="H58" s="115">
        <f>SUM(H59:H62)</f>
        <v>0</v>
      </c>
      <c r="I58" s="115">
        <f>SUM(I59:I62)</f>
        <v>0</v>
      </c>
    </row>
    <row r="59" spans="1:9" x14ac:dyDescent="0.25">
      <c r="A59" s="114"/>
      <c r="B59" s="127"/>
      <c r="C59" s="132" t="s">
        <v>58</v>
      </c>
      <c r="D59" s="116">
        <v>0</v>
      </c>
      <c r="E59" s="116"/>
      <c r="F59" s="116">
        <f>+D59+E59</f>
        <v>0</v>
      </c>
      <c r="G59" s="116"/>
      <c r="H59" s="116"/>
      <c r="I59" s="115">
        <f>H59-D59</f>
        <v>0</v>
      </c>
    </row>
    <row r="60" spans="1:9" x14ac:dyDescent="0.25">
      <c r="A60" s="114"/>
      <c r="B60" s="127"/>
      <c r="C60" s="132" t="s">
        <v>57</v>
      </c>
      <c r="D60" s="116">
        <v>0</v>
      </c>
      <c r="E60" s="116"/>
      <c r="F60" s="116">
        <v>0</v>
      </c>
      <c r="G60" s="116"/>
      <c r="H60" s="116"/>
      <c r="I60" s="115">
        <f>H60-D60</f>
        <v>0</v>
      </c>
    </row>
    <row r="61" spans="1:9" x14ac:dyDescent="0.25">
      <c r="A61" s="114"/>
      <c r="B61" s="127"/>
      <c r="C61" s="132" t="s">
        <v>56</v>
      </c>
      <c r="D61" s="116">
        <v>0</v>
      </c>
      <c r="E61" s="116"/>
      <c r="F61" s="116">
        <v>0</v>
      </c>
      <c r="G61" s="116"/>
      <c r="H61" s="116"/>
      <c r="I61" s="115">
        <f>H61-D61</f>
        <v>0</v>
      </c>
    </row>
    <row r="62" spans="1:9" x14ac:dyDescent="0.25">
      <c r="A62" s="114"/>
      <c r="B62" s="127"/>
      <c r="C62" s="132" t="s">
        <v>55</v>
      </c>
      <c r="D62" s="116">
        <v>0</v>
      </c>
      <c r="E62" s="116"/>
      <c r="F62" s="116">
        <v>0</v>
      </c>
      <c r="G62" s="116"/>
      <c r="H62" s="116"/>
      <c r="I62" s="115">
        <f>H62-D62</f>
        <v>0</v>
      </c>
    </row>
    <row r="63" spans="1:9" x14ac:dyDescent="0.25">
      <c r="A63" s="114"/>
      <c r="B63" s="120" t="s">
        <v>54</v>
      </c>
      <c r="C63" s="119"/>
      <c r="D63" s="115">
        <f>SUM(D64:D65)</f>
        <v>0</v>
      </c>
      <c r="E63" s="115">
        <f>SUM(E64:E65)</f>
        <v>0</v>
      </c>
      <c r="F63" s="115">
        <f>SUM(F64:F65)</f>
        <v>0</v>
      </c>
      <c r="G63" s="115">
        <f>SUM(G64:G65)</f>
        <v>0</v>
      </c>
      <c r="H63" s="115">
        <f>SUM(H64:H65)</f>
        <v>0</v>
      </c>
      <c r="I63" s="115">
        <f>SUM(I64:I65)</f>
        <v>0</v>
      </c>
    </row>
    <row r="64" spans="1:9" ht="20.25" thickBot="1" x14ac:dyDescent="0.3">
      <c r="A64" s="131"/>
      <c r="B64" s="130"/>
      <c r="C64" s="129" t="s">
        <v>53</v>
      </c>
      <c r="D64" s="128">
        <v>0</v>
      </c>
      <c r="E64" s="128">
        <v>0</v>
      </c>
      <c r="F64" s="128">
        <f>+D64+E64</f>
        <v>0</v>
      </c>
      <c r="G64" s="128">
        <v>0</v>
      </c>
      <c r="H64" s="128">
        <v>0</v>
      </c>
      <c r="I64" s="107">
        <f>H64-D64</f>
        <v>0</v>
      </c>
    </row>
    <row r="65" spans="1:10" x14ac:dyDescent="0.25">
      <c r="A65" s="114"/>
      <c r="B65" s="127"/>
      <c r="C65" s="126" t="s">
        <v>52</v>
      </c>
      <c r="D65" s="116">
        <v>0</v>
      </c>
      <c r="E65" s="116">
        <v>0</v>
      </c>
      <c r="F65" s="125">
        <v>0</v>
      </c>
      <c r="G65" s="116">
        <v>0</v>
      </c>
      <c r="H65" s="116">
        <v>0</v>
      </c>
      <c r="I65" s="115">
        <f>H65-D65</f>
        <v>0</v>
      </c>
    </row>
    <row r="66" spans="1:10" x14ac:dyDescent="0.25">
      <c r="A66" s="114"/>
      <c r="B66" s="120" t="s">
        <v>51</v>
      </c>
      <c r="C66" s="119"/>
      <c r="D66" s="116">
        <v>88275234</v>
      </c>
      <c r="E66" s="116">
        <v>0</v>
      </c>
      <c r="F66" s="116">
        <f>+D66+E66</f>
        <v>88275234</v>
      </c>
      <c r="G66" s="116">
        <v>6004275.1500000004</v>
      </c>
      <c r="H66" s="116">
        <v>6004275.1500000004</v>
      </c>
      <c r="I66" s="115">
        <f>H66-D66</f>
        <v>-82270958.849999994</v>
      </c>
    </row>
    <row r="67" spans="1:10" x14ac:dyDescent="0.25">
      <c r="A67" s="114"/>
      <c r="B67" s="120" t="s">
        <v>50</v>
      </c>
      <c r="C67" s="119"/>
      <c r="D67" s="116">
        <v>0</v>
      </c>
      <c r="E67" s="116">
        <v>0</v>
      </c>
      <c r="F67" s="116">
        <f>+D67+E67</f>
        <v>0</v>
      </c>
      <c r="G67" s="116">
        <v>0</v>
      </c>
      <c r="H67" s="116">
        <v>0</v>
      </c>
      <c r="I67" s="115">
        <f>H67-D67</f>
        <v>0</v>
      </c>
    </row>
    <row r="68" spans="1:10" ht="8.25" customHeight="1" x14ac:dyDescent="0.25">
      <c r="A68" s="114"/>
      <c r="B68" s="120"/>
      <c r="C68" s="119"/>
      <c r="D68" s="115"/>
      <c r="E68" s="115"/>
      <c r="F68" s="115" t="s">
        <v>44</v>
      </c>
      <c r="G68" s="115"/>
      <c r="H68" s="115"/>
      <c r="I68" s="115"/>
    </row>
    <row r="69" spans="1:10" x14ac:dyDescent="0.25">
      <c r="A69" s="124" t="s">
        <v>49</v>
      </c>
      <c r="B69" s="123"/>
      <c r="C69" s="122"/>
      <c r="D69" s="111">
        <f>+D49+D58+D63+D66+D67</f>
        <v>88275234</v>
      </c>
      <c r="E69" s="111">
        <f>+E49+E58+E63+E66+E67</f>
        <v>0</v>
      </c>
      <c r="F69" s="111">
        <f>+F49+F58+F63+F66+F67</f>
        <v>88275234</v>
      </c>
      <c r="G69" s="111">
        <f>+G49+G58+G63+G66+G67</f>
        <v>6004275.1500000004</v>
      </c>
      <c r="H69" s="111">
        <f>+H49+H58+H63+H66+H67</f>
        <v>6004275.1500000004</v>
      </c>
      <c r="I69" s="111">
        <f>+I49+I58+I63+I66+I67</f>
        <v>-82270958.849999994</v>
      </c>
    </row>
    <row r="70" spans="1:10" ht="6" customHeight="1" x14ac:dyDescent="0.25">
      <c r="A70" s="114"/>
      <c r="B70" s="120"/>
      <c r="C70" s="119"/>
      <c r="D70" s="115"/>
      <c r="E70" s="115"/>
      <c r="F70" s="115" t="s">
        <v>44</v>
      </c>
      <c r="G70" s="115"/>
      <c r="H70" s="115"/>
      <c r="I70" s="115"/>
    </row>
    <row r="71" spans="1:10" x14ac:dyDescent="0.25">
      <c r="A71" s="121" t="s">
        <v>48</v>
      </c>
      <c r="B71" s="113"/>
      <c r="C71" s="112"/>
      <c r="D71" s="111">
        <f>SUM(D72)</f>
        <v>0</v>
      </c>
      <c r="E71" s="111">
        <f>SUM(E72)</f>
        <v>0</v>
      </c>
      <c r="F71" s="111">
        <f>SUM(F72)</f>
        <v>0</v>
      </c>
      <c r="G71" s="111">
        <f>SUM(G72)</f>
        <v>0</v>
      </c>
      <c r="H71" s="111">
        <f>SUM(H72)</f>
        <v>0</v>
      </c>
      <c r="I71" s="111">
        <f>SUM(I72)</f>
        <v>0</v>
      </c>
    </row>
    <row r="72" spans="1:10" x14ac:dyDescent="0.25">
      <c r="A72" s="114"/>
      <c r="B72" s="120" t="s">
        <v>47</v>
      </c>
      <c r="C72" s="119"/>
      <c r="D72" s="116">
        <v>0</v>
      </c>
      <c r="E72" s="116"/>
      <c r="F72" s="116" t="s">
        <v>44</v>
      </c>
      <c r="G72" s="116"/>
      <c r="H72" s="116">
        <v>0</v>
      </c>
      <c r="I72" s="115">
        <f>H72-D72</f>
        <v>0</v>
      </c>
    </row>
    <row r="73" spans="1:10" ht="7.5" customHeight="1" x14ac:dyDescent="0.25">
      <c r="A73" s="114"/>
      <c r="B73" s="120"/>
      <c r="C73" s="119"/>
      <c r="D73" s="115"/>
      <c r="E73" s="115"/>
      <c r="F73" s="115" t="s">
        <v>44</v>
      </c>
      <c r="G73" s="115"/>
      <c r="H73" s="115"/>
      <c r="I73" s="115"/>
    </row>
    <row r="74" spans="1:10" x14ac:dyDescent="0.25">
      <c r="A74" s="121" t="s">
        <v>46</v>
      </c>
      <c r="B74" s="113"/>
      <c r="C74" s="112"/>
      <c r="D74" s="111">
        <f>+D43+D69+D71</f>
        <v>623389418</v>
      </c>
      <c r="E74" s="111">
        <f>+E43+E69+E71</f>
        <v>41977482.839999996</v>
      </c>
      <c r="F74" s="111">
        <f>+F43+F69+F71</f>
        <v>665366900.84000003</v>
      </c>
      <c r="G74" s="111">
        <f>+G43+G69+G71</f>
        <v>229366508.35999998</v>
      </c>
      <c r="H74" s="111">
        <f>+H43+H69+H71</f>
        <v>229366508.35999998</v>
      </c>
      <c r="I74" s="111">
        <f>+I43+I69+I71</f>
        <v>-394022909.63999999</v>
      </c>
    </row>
    <row r="75" spans="1:10" ht="6" customHeight="1" x14ac:dyDescent="0.25">
      <c r="A75" s="114"/>
      <c r="B75" s="120"/>
      <c r="C75" s="119"/>
      <c r="D75" s="115"/>
      <c r="E75" s="115"/>
      <c r="F75" s="115" t="s">
        <v>44</v>
      </c>
      <c r="G75" s="115"/>
      <c r="H75" s="115"/>
      <c r="I75" s="115"/>
    </row>
    <row r="76" spans="1:10" x14ac:dyDescent="0.25">
      <c r="A76" s="114"/>
      <c r="B76" s="113" t="s">
        <v>45</v>
      </c>
      <c r="C76" s="112"/>
      <c r="D76" s="115"/>
      <c r="E76" s="115"/>
      <c r="F76" s="115" t="s">
        <v>44</v>
      </c>
      <c r="G76" s="115"/>
      <c r="H76" s="115"/>
      <c r="I76" s="115"/>
    </row>
    <row r="77" spans="1:10" ht="21.75" customHeight="1" x14ac:dyDescent="0.25">
      <c r="A77" s="114"/>
      <c r="B77" s="118" t="s">
        <v>43</v>
      </c>
      <c r="C77" s="117"/>
      <c r="D77" s="116">
        <v>0</v>
      </c>
      <c r="E77" s="116">
        <v>0</v>
      </c>
      <c r="F77" s="116">
        <f>+D77+E77</f>
        <v>0</v>
      </c>
      <c r="G77" s="116">
        <v>0</v>
      </c>
      <c r="H77" s="116">
        <v>0</v>
      </c>
      <c r="I77" s="115">
        <f>H77-D77</f>
        <v>0</v>
      </c>
    </row>
    <row r="78" spans="1:10" ht="22.5" customHeight="1" x14ac:dyDescent="0.25">
      <c r="A78" s="114"/>
      <c r="B78" s="118" t="s">
        <v>42</v>
      </c>
      <c r="C78" s="117"/>
      <c r="D78" s="116">
        <v>0</v>
      </c>
      <c r="E78" s="116">
        <v>0</v>
      </c>
      <c r="F78" s="116">
        <f>+D78+E78</f>
        <v>0</v>
      </c>
      <c r="G78" s="116">
        <v>0</v>
      </c>
      <c r="H78" s="116">
        <v>0</v>
      </c>
      <c r="I78" s="115">
        <f>H78-D78</f>
        <v>0</v>
      </c>
    </row>
    <row r="79" spans="1:10" x14ac:dyDescent="0.25">
      <c r="A79" s="114"/>
      <c r="B79" s="113" t="s">
        <v>41</v>
      </c>
      <c r="C79" s="112"/>
      <c r="D79" s="111">
        <f>+D77+D78</f>
        <v>0</v>
      </c>
      <c r="E79" s="111">
        <f>+E77+E78</f>
        <v>0</v>
      </c>
      <c r="F79" s="111">
        <f>+F77+F78</f>
        <v>0</v>
      </c>
      <c r="G79" s="111">
        <f>+G77+G78</f>
        <v>0</v>
      </c>
      <c r="H79" s="111">
        <f>+H77+H78</f>
        <v>0</v>
      </c>
      <c r="I79" s="111">
        <f>+I77+I78</f>
        <v>0</v>
      </c>
      <c r="J79" s="106" t="str">
        <f>IF(D74&lt;&gt;'ETCA-II-01'!C19,"ERROR!!!!! EL MONTO ESTIMADO NO COINCIDE CON LO REPORTADO EN EL FORMATO ETCA-II-01 EN EL TOTAL DE INGRESOS","")</f>
        <v/>
      </c>
    </row>
    <row r="80" spans="1:10" ht="15.75" thickBot="1" x14ac:dyDescent="0.3">
      <c r="A80" s="110"/>
      <c r="B80" s="109"/>
      <c r="C80" s="108"/>
      <c r="D80" s="107"/>
      <c r="E80" s="107"/>
      <c r="F80" s="107"/>
      <c r="G80" s="107"/>
      <c r="H80" s="107"/>
      <c r="I80" s="107"/>
      <c r="J80" s="106" t="str">
        <f>IF(E74&lt;&gt;'ETCA-II-01'!D19,"ERROR!!!!! EL MONTO NO COINCIDE CON LO REPORTADO EN EL FORMATO ETCA-II-01 EN EL TOTAL DE INGRESOS","")</f>
        <v/>
      </c>
    </row>
    <row r="81" spans="10:10" x14ac:dyDescent="0.25">
      <c r="J81" s="106" t="str">
        <f>IF(F74&lt;&gt;'ETCA-II-01'!E19,"ERROR!!!!! EL MONTO NO COINCIDE CON LO REPORTADO EN EL FORMATO ETCA-II-01 EN EL TOTAL DE INGRESOS","")</f>
        <v/>
      </c>
    </row>
    <row r="82" spans="10:10" x14ac:dyDescent="0.25">
      <c r="J82" s="106" t="str">
        <f>IF(G74&lt;&gt;'ETCA-II-01'!F19,"ERROR!!!!! EL MONTO NO COINCIDE CON LO REPORTADO EN EL FORMATO ETCA-II-01 EN EL TOTAL DE INGRESOS","")</f>
        <v/>
      </c>
    </row>
    <row r="83" spans="10:10" x14ac:dyDescent="0.25">
      <c r="J83" s="106" t="str">
        <f>IF(H74&lt;&gt;'ETCA-II-01'!G19,"ERROR!!!!! EL MONTO NO COINCIDE CON LO REPORTADO EN EL FORMATO ETCA-II-01 EN EL TOTAL DE INGRESOS","")</f>
        <v/>
      </c>
    </row>
    <row r="84" spans="10:10" x14ac:dyDescent="0.25">
      <c r="J84" s="106" t="str">
        <f>IF(I74&lt;&gt;'ETCA-II-01'!H19,"ERROR!!!!! EL MONTO NO COINCIDE CON LO REPORTADO EN EL FORMATO ETCA-II-01 EN EL TOTAL DE INGRESOS","")</f>
        <v/>
      </c>
    </row>
    <row r="85" spans="10:10" x14ac:dyDescent="0.25">
      <c r="J85" s="106" t="str">
        <f>IF(D74&lt;&gt;'ETCA-II-01'!C44,"ERROR!!!!! EL MONTO NO COINCIDE CON LO REPORTADO EN EL FORMATO ETCA-II-01 EN EL TOTAL DE INGRESOS","")</f>
        <v/>
      </c>
    </row>
    <row r="86" spans="10:10" x14ac:dyDescent="0.25">
      <c r="J86" s="106" t="str">
        <f>IF(E74&lt;&gt;'ETCA-II-01'!D44,"ERROR!!!!! EL MONTO NO COINCIDE CON LO REPORTADO EN EL FORMATO ETCA-II-01 EN EL TOTAL DE INGRESOS","")</f>
        <v/>
      </c>
    </row>
    <row r="87" spans="10:10" x14ac:dyDescent="0.25">
      <c r="J87" s="106" t="str">
        <f>IF(F74&lt;&gt;'ETCA-II-01'!E44,"ERROR!!!!! EL MONTO NO COINCIDE CON LO REPORTADO EN EL FORMATO ETCA-II-01 EN EL TOTAL DE INGRESOS","")</f>
        <v>ERROR!!!!! EL MONTO NO COINCIDE CON LO REPORTADO EN EL FORMATO ETCA-II-01 EN EL TOTAL DE INGRESOS</v>
      </c>
    </row>
    <row r="88" spans="10:10" x14ac:dyDescent="0.25">
      <c r="J88" s="106" t="str">
        <f>IF(G74&lt;&gt;'ETCA-II-01'!F44,"ERROR!!!!! EL MONTO NO COINCIDE CON LO REPORTADO EN EL FORMATO ETCA-II-01 EN EL TOTAL DE INGRESOS","")</f>
        <v/>
      </c>
    </row>
    <row r="89" spans="10:10" x14ac:dyDescent="0.25">
      <c r="J89" s="106" t="str">
        <f>IF(H74&lt;&gt;'ETCA-II-01'!G44,"ERROR!!!!! EL MONTO NO COINCIDE CON LO REPORTADO EN EL FORMATO ETCA-II-01 EN EL TOTAL DE INGRESOS","")</f>
        <v/>
      </c>
    </row>
    <row r="90" spans="10:10" x14ac:dyDescent="0.25">
      <c r="J90" s="106" t="str">
        <f>IF(I74&lt;&gt;'ETCA-II-01'!H44,"ERROR!!!!! EL MONTO NO COINCIDE CON LO REPORTADO EN EL FORMATO ETCA-II-01 EN EL TOTAL DE INGRESOS","")</f>
        <v>ERROR!!!!! EL MONTO NO COINCIDE CON LO REPORTADO EN EL FORMATO ETCA-II-01 EN EL TOTAL DE INGRESOS</v>
      </c>
    </row>
  </sheetData>
  <sheetProtection password="C115" sheet="1" scenarios="1" formatColumns="0" formatRows="0" insertHyperlinks="0"/>
  <mergeCells count="62">
    <mergeCell ref="A7:C7"/>
    <mergeCell ref="D6:D7"/>
    <mergeCell ref="E6:E7"/>
    <mergeCell ref="F6:F7"/>
    <mergeCell ref="G6:G7"/>
    <mergeCell ref="H6:H7"/>
    <mergeCell ref="B12:C12"/>
    <mergeCell ref="B13:C13"/>
    <mergeCell ref="A4:I4"/>
    <mergeCell ref="A3:I3"/>
    <mergeCell ref="A2:I2"/>
    <mergeCell ref="A1:I1"/>
    <mergeCell ref="A5:C5"/>
    <mergeCell ref="D5:H5"/>
    <mergeCell ref="I5:I7"/>
    <mergeCell ref="A6:C6"/>
    <mergeCell ref="A8:C8"/>
    <mergeCell ref="B16:C16"/>
    <mergeCell ref="A17:A18"/>
    <mergeCell ref="B17:C17"/>
    <mergeCell ref="B18:C18"/>
    <mergeCell ref="B15:C15"/>
    <mergeCell ref="B14:C14"/>
    <mergeCell ref="A9:C9"/>
    <mergeCell ref="B10:C10"/>
    <mergeCell ref="B11:C11"/>
    <mergeCell ref="D17:D18"/>
    <mergeCell ref="E17:E18"/>
    <mergeCell ref="G43:G45"/>
    <mergeCell ref="H43:H45"/>
    <mergeCell ref="I43:I45"/>
    <mergeCell ref="B30:C30"/>
    <mergeCell ref="B36:C36"/>
    <mergeCell ref="F17:F18"/>
    <mergeCell ref="E43:E45"/>
    <mergeCell ref="F43:F45"/>
    <mergeCell ref="G17:G18"/>
    <mergeCell ref="H17:H18"/>
    <mergeCell ref="I17:I18"/>
    <mergeCell ref="A71:C71"/>
    <mergeCell ref="B72:C72"/>
    <mergeCell ref="A46:C46"/>
    <mergeCell ref="B37:C37"/>
    <mergeCell ref="B39:C39"/>
    <mergeCell ref="D43:D45"/>
    <mergeCell ref="B73:C73"/>
    <mergeCell ref="A48:C48"/>
    <mergeCell ref="B49:C49"/>
    <mergeCell ref="B58:C58"/>
    <mergeCell ref="B63:C63"/>
    <mergeCell ref="B66:C66"/>
    <mergeCell ref="B67:C67"/>
    <mergeCell ref="B68:C68"/>
    <mergeCell ref="A69:C69"/>
    <mergeCell ref="B70:C70"/>
    <mergeCell ref="B80:C80"/>
    <mergeCell ref="A74:C74"/>
    <mergeCell ref="B75:C75"/>
    <mergeCell ref="B76:C76"/>
    <mergeCell ref="B77:C77"/>
    <mergeCell ref="B78:C78"/>
    <mergeCell ref="B79:C79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rowBreaks count="1" manualBreakCount="1">
    <brk id="33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F8B59-C5AF-4C29-A849-FD0DABFC8292}">
  <sheetPr>
    <tabColor theme="0" tint="-0.14999847407452621"/>
    <pageSetUpPr fitToPage="1"/>
  </sheetPr>
  <dimension ref="A1:E26"/>
  <sheetViews>
    <sheetView view="pageBreakPreview" topLeftCell="A10" zoomScale="120" zoomScaleNormal="100" zoomScaleSheetLayoutView="120" workbookViewId="0">
      <selection activeCell="T27" sqref="T27"/>
    </sheetView>
  </sheetViews>
  <sheetFormatPr baseColWidth="10" defaultColWidth="11.28515625" defaultRowHeight="16.5" x14ac:dyDescent="0.25"/>
  <cols>
    <col min="1" max="1" width="1.28515625" style="1" customWidth="1"/>
    <col min="2" max="2" width="43.85546875" style="1" customWidth="1"/>
    <col min="3" max="4" width="25.7109375" style="1" customWidth="1"/>
    <col min="5" max="5" width="62" style="79" customWidth="1"/>
    <col min="6" max="16384" width="11.28515625" style="1"/>
  </cols>
  <sheetData>
    <row r="1" spans="1:5" x14ac:dyDescent="0.25">
      <c r="A1" s="105" t="str">
        <f>'[1]ETCA-I-01'!A1:G1</f>
        <v xml:space="preserve">Comision Estatal del Agua  </v>
      </c>
      <c r="B1" s="105"/>
      <c r="C1" s="105"/>
      <c r="D1" s="105"/>
    </row>
    <row r="2" spans="1:5" s="103" customFormat="1" ht="15.75" x14ac:dyDescent="0.25">
      <c r="A2" s="105" t="s">
        <v>129</v>
      </c>
      <c r="B2" s="105"/>
      <c r="C2" s="105"/>
      <c r="D2" s="105"/>
      <c r="E2" s="227"/>
    </row>
    <row r="3" spans="1:5" s="103" customFormat="1" x14ac:dyDescent="0.25">
      <c r="A3" s="104" t="str">
        <f>'[1]ETCA-I-01'!A3:G3</f>
        <v>Al 30 de Junio de 2020</v>
      </c>
      <c r="B3" s="104"/>
      <c r="C3" s="104"/>
      <c r="D3" s="104"/>
      <c r="E3" s="226"/>
    </row>
    <row r="4" spans="1:5" s="26" customFormat="1" ht="17.25" thickBot="1" x14ac:dyDescent="0.3">
      <c r="A4" s="102"/>
      <c r="B4" s="101" t="s">
        <v>128</v>
      </c>
      <c r="C4" s="101"/>
      <c r="D4" s="225"/>
      <c r="E4" s="224"/>
    </row>
    <row r="5" spans="1:5" s="220" customFormat="1" ht="27" customHeight="1" thickBot="1" x14ac:dyDescent="0.3">
      <c r="A5" s="223" t="s">
        <v>127</v>
      </c>
      <c r="B5" s="222"/>
      <c r="C5" s="221"/>
      <c r="D5" s="178">
        <f>'ETCA-II-01'!F19</f>
        <v>229366508.36000001</v>
      </c>
      <c r="E5" s="177" t="str">
        <f>IF(D5&lt;&gt;'ETCA-II-01'!F44,"ERROR!!!!! EL MONTO NO COINCIDE CON LO REPORTADO EN EL FORMATO ETCA-II-01 EN EL TOTAL DEVENGADO DEL ANALÍTICO DE INGRESOS","")</f>
        <v/>
      </c>
    </row>
    <row r="6" spans="1:5" s="210" customFormat="1" ht="9.75" customHeight="1" x14ac:dyDescent="0.25">
      <c r="A6" s="219"/>
      <c r="B6" s="218"/>
      <c r="C6" s="217"/>
      <c r="D6" s="216"/>
      <c r="E6" s="215"/>
    </row>
    <row r="7" spans="1:5" s="210" customFormat="1" ht="17.25" customHeight="1" thickBot="1" x14ac:dyDescent="0.3">
      <c r="A7" s="214"/>
      <c r="B7" s="213"/>
      <c r="C7" s="212"/>
      <c r="D7" s="211"/>
      <c r="E7" s="177"/>
    </row>
    <row r="8" spans="1:5" ht="20.100000000000001" customHeight="1" thickBot="1" x14ac:dyDescent="0.3">
      <c r="A8" s="194" t="s">
        <v>126</v>
      </c>
      <c r="B8" s="193"/>
      <c r="C8" s="192"/>
      <c r="D8" s="191">
        <f>SUM(C9:C14)</f>
        <v>0</v>
      </c>
      <c r="E8" s="177"/>
    </row>
    <row r="9" spans="1:5" ht="20.100000000000001" customHeight="1" x14ac:dyDescent="0.2">
      <c r="A9" s="209"/>
      <c r="B9" s="190" t="s">
        <v>125</v>
      </c>
      <c r="C9" s="208"/>
      <c r="D9" s="182"/>
      <c r="E9" s="207" t="str">
        <f>IF(C9&lt;&gt;'[1]ETCA-I-03'!C20,"ERROR!!!, NO COINCIDEN LOS MONTOS CON LO REPORTADO EN EL FORMATO ETCA-I-03","")</f>
        <v/>
      </c>
    </row>
    <row r="10" spans="1:5" ht="20.100000000000001" customHeight="1" x14ac:dyDescent="0.2">
      <c r="A10" s="209"/>
      <c r="B10" s="189" t="s">
        <v>124</v>
      </c>
      <c r="C10" s="208"/>
      <c r="D10" s="182"/>
      <c r="E10" s="207"/>
    </row>
    <row r="11" spans="1:5" ht="33" customHeight="1" x14ac:dyDescent="0.2">
      <c r="A11" s="209"/>
      <c r="B11" s="189" t="s">
        <v>123</v>
      </c>
      <c r="C11" s="208"/>
      <c r="D11" s="182"/>
      <c r="E11" s="207" t="str">
        <f>IF(C11&lt;&gt;'[1]ETCA-I-03'!C21,"ERROR!!!, NO COINCIDEN LOS MONTOS CON LO REPORTADO EN EL FORMATO ETCA-I-03","")</f>
        <v/>
      </c>
    </row>
    <row r="12" spans="1:5" ht="20.100000000000001" customHeight="1" x14ac:dyDescent="0.2">
      <c r="A12" s="185"/>
      <c r="B12" s="189" t="s">
        <v>122</v>
      </c>
      <c r="C12" s="208"/>
      <c r="D12" s="182"/>
      <c r="E12" s="207" t="str">
        <f>IF(C12&lt;&gt;'[1]ETCA-I-03'!C22,"ERROR!!!, NO COINCIDEN LOS MONTOS CON LO REPORTADO EN EL FORMATO ETCA-I-03","")</f>
        <v/>
      </c>
    </row>
    <row r="13" spans="1:5" ht="20.100000000000001" customHeight="1" x14ac:dyDescent="0.2">
      <c r="A13" s="185"/>
      <c r="B13" s="189" t="s">
        <v>121</v>
      </c>
      <c r="C13" s="208"/>
      <c r="D13" s="182"/>
      <c r="E13" s="207"/>
    </row>
    <row r="14" spans="1:5" ht="24.75" customHeight="1" thickBot="1" x14ac:dyDescent="0.3">
      <c r="A14" s="206" t="s">
        <v>120</v>
      </c>
      <c r="B14" s="205"/>
      <c r="C14" s="204"/>
      <c r="D14" s="203"/>
      <c r="E14" s="177"/>
    </row>
    <row r="15" spans="1:5" ht="7.5" customHeight="1" x14ac:dyDescent="0.25">
      <c r="A15" s="202"/>
      <c r="B15" s="201"/>
      <c r="C15" s="200"/>
      <c r="D15" s="199"/>
      <c r="E15" s="177"/>
    </row>
    <row r="16" spans="1:5" ht="20.100000000000001" customHeight="1" thickBot="1" x14ac:dyDescent="0.3">
      <c r="A16" s="198"/>
      <c r="B16" s="197"/>
      <c r="C16" s="196"/>
      <c r="D16" s="195"/>
      <c r="E16" s="177"/>
    </row>
    <row r="17" spans="1:5" ht="20.100000000000001" customHeight="1" thickBot="1" x14ac:dyDescent="0.3">
      <c r="A17" s="194" t="s">
        <v>119</v>
      </c>
      <c r="B17" s="193"/>
      <c r="C17" s="192"/>
      <c r="D17" s="191">
        <f>SUM(C18:C21)</f>
        <v>0</v>
      </c>
      <c r="E17" s="177"/>
    </row>
    <row r="18" spans="1:5" ht="20.100000000000001" customHeight="1" x14ac:dyDescent="0.25">
      <c r="A18" s="185"/>
      <c r="B18" s="190" t="s">
        <v>118</v>
      </c>
      <c r="C18" s="186"/>
      <c r="D18" s="182"/>
      <c r="E18" s="177"/>
    </row>
    <row r="19" spans="1:5" ht="20.100000000000001" customHeight="1" x14ac:dyDescent="0.25">
      <c r="A19" s="185"/>
      <c r="B19" s="189" t="s">
        <v>7</v>
      </c>
      <c r="C19" s="186"/>
      <c r="D19" s="182"/>
      <c r="E19" s="177"/>
    </row>
    <row r="20" spans="1:5" ht="20.100000000000001" customHeight="1" x14ac:dyDescent="0.25">
      <c r="A20" s="188" t="s">
        <v>117</v>
      </c>
      <c r="B20" s="187"/>
      <c r="C20" s="186"/>
      <c r="D20" s="182"/>
      <c r="E20" s="177"/>
    </row>
    <row r="21" spans="1:5" ht="20.100000000000001" customHeight="1" thickBot="1" x14ac:dyDescent="0.3">
      <c r="A21" s="185"/>
      <c r="B21" s="184"/>
      <c r="C21" s="183"/>
      <c r="D21" s="182"/>
      <c r="E21" s="177"/>
    </row>
    <row r="22" spans="1:5" ht="26.25" customHeight="1" thickBot="1" x14ac:dyDescent="0.3">
      <c r="A22" s="181" t="s">
        <v>116</v>
      </c>
      <c r="B22" s="180"/>
      <c r="C22" s="179"/>
      <c r="D22" s="178">
        <f>D5+D8-D17</f>
        <v>229366508.36000001</v>
      </c>
      <c r="E22" s="177" t="str">
        <f>IF(D22&lt;&gt;'[1]ETCA-I-03'!C24,"ERROR!!!!! EL MONTO NO COINCIDE CON LO REPORTADO EN EL FORMATO ETCA-I-03 EN EL TOTAL DE INGRESOS Y OTROS BENEFICIOS","")</f>
        <v/>
      </c>
    </row>
    <row r="25" spans="1:5" s="174" customFormat="1" ht="13.5" x14ac:dyDescent="0.25">
      <c r="B25" s="176" t="s">
        <v>115</v>
      </c>
      <c r="C25" s="176"/>
      <c r="D25" s="176"/>
      <c r="E25" s="175"/>
    </row>
    <row r="26" spans="1:5" s="174" customFormat="1" ht="13.5" x14ac:dyDescent="0.25">
      <c r="B26" s="176" t="s">
        <v>114</v>
      </c>
      <c r="C26" s="176"/>
      <c r="D26" s="176"/>
      <c r="E26" s="175"/>
    </row>
  </sheetData>
  <sheetProtection password="C195" sheet="1" scenarios="1" insertHyperlinks="0"/>
  <mergeCells count="5">
    <mergeCell ref="A5:B5"/>
    <mergeCell ref="A1:D1"/>
    <mergeCell ref="A2:D2"/>
    <mergeCell ref="A3:D3"/>
    <mergeCell ref="B4:C4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EF7F-45A8-4DFA-9697-F6771DF0ED62}">
  <sheetPr>
    <tabColor theme="0" tint="-0.14999847407452621"/>
  </sheetPr>
  <dimension ref="A1:G90"/>
  <sheetViews>
    <sheetView view="pageBreakPreview" zoomScale="98" zoomScaleNormal="100" zoomScaleSheetLayoutView="98" workbookViewId="0">
      <selection activeCell="T27" sqref="T27"/>
    </sheetView>
  </sheetViews>
  <sheetFormatPr baseColWidth="10" defaultRowHeight="15" x14ac:dyDescent="0.25"/>
  <cols>
    <col min="1" max="1" width="49.85546875" customWidth="1"/>
    <col min="2" max="2" width="13.7109375" customWidth="1"/>
    <col min="3" max="3" width="15.42578125" customWidth="1"/>
    <col min="4" max="7" width="13.7109375" customWidth="1"/>
  </cols>
  <sheetData>
    <row r="1" spans="1:7" ht="15.75" x14ac:dyDescent="0.25">
      <c r="A1" s="105" t="str">
        <f>'[1]ETCA-I-01'!A1:G1</f>
        <v xml:space="preserve">Comision Estatal del Agua  </v>
      </c>
      <c r="B1" s="105"/>
      <c r="C1" s="105"/>
      <c r="D1" s="105"/>
      <c r="E1" s="105"/>
      <c r="F1" s="105"/>
      <c r="G1" s="105"/>
    </row>
    <row r="2" spans="1:7" ht="15.75" x14ac:dyDescent="0.25">
      <c r="A2" s="105" t="s">
        <v>213</v>
      </c>
      <c r="B2" s="105"/>
      <c r="C2" s="105"/>
      <c r="D2" s="105"/>
      <c r="E2" s="105"/>
      <c r="F2" s="105"/>
      <c r="G2" s="105"/>
    </row>
    <row r="3" spans="1:7" ht="15.75" x14ac:dyDescent="0.25">
      <c r="A3" s="105" t="s">
        <v>212</v>
      </c>
      <c r="B3" s="105"/>
      <c r="C3" s="105"/>
      <c r="D3" s="105"/>
      <c r="E3" s="105"/>
      <c r="F3" s="105"/>
      <c r="G3" s="105"/>
    </row>
    <row r="4" spans="1:7" ht="16.5" x14ac:dyDescent="0.25">
      <c r="A4" s="104" t="str">
        <f>'[1]ETCA-I-03'!A3:D3</f>
        <v>Del 01 de Enero al 30 de Junio de 2020</v>
      </c>
      <c r="B4" s="104"/>
      <c r="C4" s="104"/>
      <c r="D4" s="104"/>
      <c r="E4" s="104"/>
      <c r="F4" s="104"/>
      <c r="G4" s="104"/>
    </row>
    <row r="5" spans="1:7" ht="17.25" thickBot="1" x14ac:dyDescent="0.3">
      <c r="A5" s="253" t="s">
        <v>211</v>
      </c>
      <c r="B5" s="253"/>
      <c r="C5" s="253"/>
      <c r="D5" s="253"/>
      <c r="E5" s="253"/>
      <c r="F5" s="225"/>
      <c r="G5" s="26"/>
    </row>
    <row r="6" spans="1:7" ht="38.25" x14ac:dyDescent="0.25">
      <c r="A6" s="252" t="s">
        <v>210</v>
      </c>
      <c r="B6" s="251" t="s">
        <v>209</v>
      </c>
      <c r="C6" s="251" t="s">
        <v>109</v>
      </c>
      <c r="D6" s="250" t="s">
        <v>208</v>
      </c>
      <c r="E6" s="249" t="s">
        <v>207</v>
      </c>
      <c r="F6" s="249" t="s">
        <v>206</v>
      </c>
      <c r="G6" s="248" t="s">
        <v>205</v>
      </c>
    </row>
    <row r="7" spans="1:7" ht="15.75" thickBot="1" x14ac:dyDescent="0.3">
      <c r="A7" s="247"/>
      <c r="B7" s="246" t="s">
        <v>26</v>
      </c>
      <c r="C7" s="246" t="s">
        <v>25</v>
      </c>
      <c r="D7" s="245" t="s">
        <v>204</v>
      </c>
      <c r="E7" s="244" t="s">
        <v>23</v>
      </c>
      <c r="F7" s="244" t="s">
        <v>22</v>
      </c>
      <c r="G7" s="243" t="s">
        <v>203</v>
      </c>
    </row>
    <row r="8" spans="1:7" x14ac:dyDescent="0.25">
      <c r="A8" s="242" t="s">
        <v>202</v>
      </c>
      <c r="B8" s="239">
        <f>SUM(B9:B15)</f>
        <v>204443147.32279521</v>
      </c>
      <c r="C8" s="239">
        <f>SUM(C9:C15)</f>
        <v>-632242.46000000008</v>
      </c>
      <c r="D8" s="239">
        <f>B8+C8</f>
        <v>203810904.8627952</v>
      </c>
      <c r="E8" s="239">
        <f>SUM(E9:E15)</f>
        <v>107376242.36</v>
      </c>
      <c r="F8" s="239">
        <f>SUM(F9:F15)</f>
        <v>96587067.849999994</v>
      </c>
      <c r="G8" s="237">
        <f>D8-E8</f>
        <v>96434662.502795205</v>
      </c>
    </row>
    <row r="9" spans="1:7" x14ac:dyDescent="0.25">
      <c r="A9" s="240" t="s">
        <v>201</v>
      </c>
      <c r="B9" s="238">
        <v>115843503.13592325</v>
      </c>
      <c r="C9" s="238">
        <v>-3326938.06</v>
      </c>
      <c r="D9" s="239">
        <f>B9+C9</f>
        <v>112516565.07592325</v>
      </c>
      <c r="E9" s="238">
        <v>59921330.489999995</v>
      </c>
      <c r="F9" s="238">
        <v>52678683.809999995</v>
      </c>
      <c r="G9" s="237">
        <f>D9-E9</f>
        <v>52595234.585923254</v>
      </c>
    </row>
    <row r="10" spans="1:7" x14ac:dyDescent="0.25">
      <c r="A10" s="240" t="s">
        <v>200</v>
      </c>
      <c r="B10" s="238">
        <v>1883200.3508860434</v>
      </c>
      <c r="C10" s="238">
        <v>0</v>
      </c>
      <c r="D10" s="239">
        <f>B10+C10</f>
        <v>1883200.3508860434</v>
      </c>
      <c r="E10" s="238">
        <v>915409.53</v>
      </c>
      <c r="F10" s="238">
        <v>915409.53</v>
      </c>
      <c r="G10" s="237">
        <f>D10-E10</f>
        <v>967790.82088604337</v>
      </c>
    </row>
    <row r="11" spans="1:7" x14ac:dyDescent="0.25">
      <c r="A11" s="240" t="s">
        <v>199</v>
      </c>
      <c r="B11" s="238">
        <v>10262941.40592527</v>
      </c>
      <c r="C11" s="238">
        <v>1413976</v>
      </c>
      <c r="D11" s="239">
        <f>B11+C11</f>
        <v>11676917.40592527</v>
      </c>
      <c r="E11" s="238">
        <v>5590431.6500000013</v>
      </c>
      <c r="F11" s="238">
        <v>5210036.540000001</v>
      </c>
      <c r="G11" s="237">
        <f>D11-E11</f>
        <v>6086485.7559252689</v>
      </c>
    </row>
    <row r="12" spans="1:7" x14ac:dyDescent="0.25">
      <c r="A12" s="240" t="s">
        <v>198</v>
      </c>
      <c r="B12" s="238">
        <v>39796179.374640383</v>
      </c>
      <c r="C12" s="238">
        <v>18063</v>
      </c>
      <c r="D12" s="239">
        <f>B12+C12</f>
        <v>39814242.374640383</v>
      </c>
      <c r="E12" s="238">
        <v>22372557.470000003</v>
      </c>
      <c r="F12" s="238">
        <v>19448419.850000001</v>
      </c>
      <c r="G12" s="237">
        <f>D12-E12</f>
        <v>17441684.90464038</v>
      </c>
    </row>
    <row r="13" spans="1:7" x14ac:dyDescent="0.25">
      <c r="A13" s="240" t="s">
        <v>197</v>
      </c>
      <c r="B13" s="238">
        <v>35786324.26935032</v>
      </c>
      <c r="C13" s="238">
        <v>1031185.24</v>
      </c>
      <c r="D13" s="239">
        <f>B13+C13</f>
        <v>36817509.509350322</v>
      </c>
      <c r="E13" s="238">
        <v>18151243.190000001</v>
      </c>
      <c r="F13" s="238">
        <v>17909248.09</v>
      </c>
      <c r="G13" s="237">
        <f>D13-E13</f>
        <v>18666266.319350321</v>
      </c>
    </row>
    <row r="14" spans="1:7" x14ac:dyDescent="0.25">
      <c r="A14" s="240" t="s">
        <v>196</v>
      </c>
      <c r="B14" s="238"/>
      <c r="C14" s="238"/>
      <c r="D14" s="239">
        <f>B14+C14</f>
        <v>0</v>
      </c>
      <c r="E14" s="238"/>
      <c r="F14" s="238"/>
      <c r="G14" s="237">
        <f>D14-E14</f>
        <v>0</v>
      </c>
    </row>
    <row r="15" spans="1:7" x14ac:dyDescent="0.25">
      <c r="A15" s="240" t="s">
        <v>195</v>
      </c>
      <c r="B15" s="238">
        <v>870998.78606991796</v>
      </c>
      <c r="C15" s="238">
        <v>231471.35999999999</v>
      </c>
      <c r="D15" s="239">
        <f>B15+C15</f>
        <v>1102470.1460699178</v>
      </c>
      <c r="E15" s="238">
        <v>425270.03</v>
      </c>
      <c r="F15" s="238">
        <v>425270.03</v>
      </c>
      <c r="G15" s="237">
        <f>D15-E15</f>
        <v>677200.1160699178</v>
      </c>
    </row>
    <row r="16" spans="1:7" x14ac:dyDescent="0.25">
      <c r="A16" s="241" t="s">
        <v>194</v>
      </c>
      <c r="B16" s="239">
        <f>SUM(B17:B25)</f>
        <v>29390389.214226238</v>
      </c>
      <c r="C16" s="239">
        <f>SUM(C17:C25)</f>
        <v>1552460.6900000002</v>
      </c>
      <c r="D16" s="239">
        <f>B16+C16</f>
        <v>30942849.90422624</v>
      </c>
      <c r="E16" s="239">
        <f>SUM(E17:E25)</f>
        <v>10509028.129999999</v>
      </c>
      <c r="F16" s="239">
        <f>SUM(F17:F25)</f>
        <v>9141308.6699999981</v>
      </c>
      <c r="G16" s="237">
        <f>D16-E16</f>
        <v>20433821.774226241</v>
      </c>
    </row>
    <row r="17" spans="1:7" ht="25.5" x14ac:dyDescent="0.25">
      <c r="A17" s="240" t="s">
        <v>193</v>
      </c>
      <c r="B17" s="238">
        <v>2348248.1320336713</v>
      </c>
      <c r="C17" s="238">
        <v>2168</v>
      </c>
      <c r="D17" s="239">
        <f>B17+C17</f>
        <v>2350416.1320336713</v>
      </c>
      <c r="E17" s="238">
        <v>411455.08</v>
      </c>
      <c r="F17" s="238">
        <v>393356.91000000009</v>
      </c>
      <c r="G17" s="237">
        <f>D17-E17</f>
        <v>1938961.0520336712</v>
      </c>
    </row>
    <row r="18" spans="1:7" x14ac:dyDescent="0.25">
      <c r="A18" s="240" t="s">
        <v>192</v>
      </c>
      <c r="B18" s="238">
        <v>495539.67176440824</v>
      </c>
      <c r="C18" s="238">
        <v>5740</v>
      </c>
      <c r="D18" s="239">
        <f>B18+C18</f>
        <v>501279.67176440824</v>
      </c>
      <c r="E18" s="238">
        <v>254742.19</v>
      </c>
      <c r="F18" s="238">
        <v>222090.21000000002</v>
      </c>
      <c r="G18" s="237">
        <f>D18-E18</f>
        <v>246537.48176440824</v>
      </c>
    </row>
    <row r="19" spans="1:7" x14ac:dyDescent="0.25">
      <c r="A19" s="240" t="s">
        <v>191</v>
      </c>
      <c r="B19" s="238">
        <v>6451276.4820699999</v>
      </c>
      <c r="C19" s="238">
        <v>1093360.78</v>
      </c>
      <c r="D19" s="239">
        <f>B19+C19</f>
        <v>7544637.2620700002</v>
      </c>
      <c r="E19" s="238">
        <v>2755927.5799999996</v>
      </c>
      <c r="F19" s="238">
        <v>2332408.8199999998</v>
      </c>
      <c r="G19" s="237">
        <f>D19-E19</f>
        <v>4788709.6820700001</v>
      </c>
    </row>
    <row r="20" spans="1:7" x14ac:dyDescent="0.25">
      <c r="A20" s="240" t="s">
        <v>190</v>
      </c>
      <c r="B20" s="238">
        <v>647543.79660407268</v>
      </c>
      <c r="C20" s="238">
        <v>-20036</v>
      </c>
      <c r="D20" s="239">
        <f>B20+C20</f>
        <v>627507.79660407268</v>
      </c>
      <c r="E20" s="238">
        <v>201232.05</v>
      </c>
      <c r="F20" s="238">
        <v>197788.09</v>
      </c>
      <c r="G20" s="237">
        <f>D20-E20</f>
        <v>426275.74660407269</v>
      </c>
    </row>
    <row r="21" spans="1:7" x14ac:dyDescent="0.25">
      <c r="A21" s="240" t="s">
        <v>189</v>
      </c>
      <c r="B21" s="238">
        <v>7668652.7501789946</v>
      </c>
      <c r="C21" s="238">
        <v>-255830</v>
      </c>
      <c r="D21" s="239">
        <f>B21+C21</f>
        <v>7412822.7501789946</v>
      </c>
      <c r="E21" s="238">
        <v>136254.62</v>
      </c>
      <c r="F21" s="238">
        <v>43858.299999999996</v>
      </c>
      <c r="G21" s="237">
        <f>D21-E21</f>
        <v>7276568.1301789945</v>
      </c>
    </row>
    <row r="22" spans="1:7" x14ac:dyDescent="0.25">
      <c r="A22" s="240" t="s">
        <v>188</v>
      </c>
      <c r="B22" s="238">
        <v>7323123.8132909173</v>
      </c>
      <c r="C22" s="238">
        <v>55239.22</v>
      </c>
      <c r="D22" s="239">
        <f>B22+C22</f>
        <v>7378363.0332909171</v>
      </c>
      <c r="E22" s="238">
        <v>5115976.4499999993</v>
      </c>
      <c r="F22" s="238">
        <v>4509472.97</v>
      </c>
      <c r="G22" s="237">
        <f>D22-E22</f>
        <v>2262386.5832909178</v>
      </c>
    </row>
    <row r="23" spans="1:7" x14ac:dyDescent="0.25">
      <c r="A23" s="240" t="s">
        <v>187</v>
      </c>
      <c r="B23" s="238">
        <v>2068168.613606584</v>
      </c>
      <c r="C23" s="238">
        <v>468373.76000000001</v>
      </c>
      <c r="D23" s="239">
        <f>B23+C23</f>
        <v>2536542.373606584</v>
      </c>
      <c r="E23" s="238">
        <v>169268.18</v>
      </c>
      <c r="F23" s="238">
        <v>159318.45000000001</v>
      </c>
      <c r="G23" s="237">
        <f>D23-E23</f>
        <v>2367274.1936065839</v>
      </c>
    </row>
    <row r="24" spans="1:7" x14ac:dyDescent="0.25">
      <c r="A24" s="240" t="s">
        <v>186</v>
      </c>
      <c r="B24" s="238"/>
      <c r="C24" s="238"/>
      <c r="D24" s="239">
        <f>B24+C24</f>
        <v>0</v>
      </c>
      <c r="E24" s="238"/>
      <c r="F24" s="238"/>
      <c r="G24" s="237">
        <f>D24-E24</f>
        <v>0</v>
      </c>
    </row>
    <row r="25" spans="1:7" x14ac:dyDescent="0.25">
      <c r="A25" s="240" t="s">
        <v>185</v>
      </c>
      <c r="B25" s="238">
        <v>2387835.9546775939</v>
      </c>
      <c r="C25" s="238">
        <v>203444.93000000011</v>
      </c>
      <c r="D25" s="239">
        <f>B25+C25</f>
        <v>2591280.8846775941</v>
      </c>
      <c r="E25" s="238">
        <v>1464171.98</v>
      </c>
      <c r="F25" s="238">
        <v>1283014.92</v>
      </c>
      <c r="G25" s="237">
        <f>D25-E25</f>
        <v>1127108.9046775941</v>
      </c>
    </row>
    <row r="26" spans="1:7" x14ac:dyDescent="0.25">
      <c r="A26" s="241" t="s">
        <v>184</v>
      </c>
      <c r="B26" s="239">
        <f>SUM(B27:B35)</f>
        <v>174368088.12890899</v>
      </c>
      <c r="C26" s="239">
        <f>SUM(C27:C35)</f>
        <v>2153984.0200000014</v>
      </c>
      <c r="D26" s="239">
        <f>B26+C26</f>
        <v>176522072.148909</v>
      </c>
      <c r="E26" s="239">
        <f>SUM(E27:E35)</f>
        <v>100645816.71000001</v>
      </c>
      <c r="F26" s="239">
        <f>SUM(F27:F35)</f>
        <v>83775530.129999995</v>
      </c>
      <c r="G26" s="237">
        <f>D26-E26</f>
        <v>75876255.438908994</v>
      </c>
    </row>
    <row r="27" spans="1:7" x14ac:dyDescent="0.25">
      <c r="A27" s="240" t="s">
        <v>183</v>
      </c>
      <c r="B27" s="238">
        <v>111236399.01198274</v>
      </c>
      <c r="C27" s="238">
        <v>-17610894.690000001</v>
      </c>
      <c r="D27" s="239">
        <f>B27+C27</f>
        <v>93625504.321982741</v>
      </c>
      <c r="E27" s="238">
        <v>57331769.040000007</v>
      </c>
      <c r="F27" s="238">
        <v>52538862.719999999</v>
      </c>
      <c r="G27" s="237">
        <f>D27-E27</f>
        <v>36293735.281982735</v>
      </c>
    </row>
    <row r="28" spans="1:7" x14ac:dyDescent="0.25">
      <c r="A28" s="240" t="s">
        <v>182</v>
      </c>
      <c r="B28" s="238">
        <v>5424645.4848321658</v>
      </c>
      <c r="C28" s="238">
        <v>1031376.01</v>
      </c>
      <c r="D28" s="239">
        <f>B28+C28</f>
        <v>6456021.4948321655</v>
      </c>
      <c r="E28" s="238">
        <v>3432337.64</v>
      </c>
      <c r="F28" s="238">
        <v>2544829.2900000005</v>
      </c>
      <c r="G28" s="237">
        <f>D28-E28</f>
        <v>3023683.8548321654</v>
      </c>
    </row>
    <row r="29" spans="1:7" x14ac:dyDescent="0.25">
      <c r="A29" s="240" t="s">
        <v>181</v>
      </c>
      <c r="B29" s="238">
        <v>15544134.88463385</v>
      </c>
      <c r="C29" s="238">
        <v>-1363903.07</v>
      </c>
      <c r="D29" s="239">
        <f>B29+C29</f>
        <v>14180231.81463385</v>
      </c>
      <c r="E29" s="238">
        <v>4862880.4800000004</v>
      </c>
      <c r="F29" s="238">
        <v>2516852.0699999998</v>
      </c>
      <c r="G29" s="237">
        <f>D29-E29</f>
        <v>9317351.3346338496</v>
      </c>
    </row>
    <row r="30" spans="1:7" x14ac:dyDescent="0.25">
      <c r="A30" s="240" t="s">
        <v>180</v>
      </c>
      <c r="B30" s="238">
        <v>17119181.076834731</v>
      </c>
      <c r="C30" s="238">
        <v>1284606.23</v>
      </c>
      <c r="D30" s="239">
        <f>B30+C30</f>
        <v>18403787.306834731</v>
      </c>
      <c r="E30" s="238">
        <v>5520120.2199999997</v>
      </c>
      <c r="F30" s="238">
        <v>4768723.1499999994</v>
      </c>
      <c r="G30" s="237">
        <f>D30-E30</f>
        <v>12883667.086834732</v>
      </c>
    </row>
    <row r="31" spans="1:7" ht="25.5" x14ac:dyDescent="0.25">
      <c r="A31" s="240" t="s">
        <v>179</v>
      </c>
      <c r="B31" s="238">
        <v>8212615.9761829665</v>
      </c>
      <c r="C31" s="238">
        <v>1799304</v>
      </c>
      <c r="D31" s="239">
        <f>B31+C31</f>
        <v>10011919.976182967</v>
      </c>
      <c r="E31" s="238">
        <v>4215194.9400000004</v>
      </c>
      <c r="F31" s="238">
        <v>3421631.6899999995</v>
      </c>
      <c r="G31" s="237">
        <f>D31-E31</f>
        <v>5796725.036182967</v>
      </c>
    </row>
    <row r="32" spans="1:7" x14ac:dyDescent="0.25">
      <c r="A32" s="240" t="s">
        <v>178</v>
      </c>
      <c r="B32" s="238">
        <v>1384669.3778340495</v>
      </c>
      <c r="C32" s="238">
        <v>158000</v>
      </c>
      <c r="D32" s="239">
        <f>B32+C32</f>
        <v>1542669.3778340495</v>
      </c>
      <c r="E32" s="238">
        <v>595080</v>
      </c>
      <c r="F32" s="238">
        <v>265640</v>
      </c>
      <c r="G32" s="237">
        <f>D32-E32</f>
        <v>947589.37783404952</v>
      </c>
    </row>
    <row r="33" spans="1:7" x14ac:dyDescent="0.25">
      <c r="A33" s="240" t="s">
        <v>177</v>
      </c>
      <c r="B33" s="238">
        <v>3092396.6332266806</v>
      </c>
      <c r="C33" s="238">
        <v>78841</v>
      </c>
      <c r="D33" s="239">
        <f>B33+C33</f>
        <v>3171237.6332266806</v>
      </c>
      <c r="E33" s="238">
        <v>1017426.78</v>
      </c>
      <c r="F33" s="238">
        <v>1018426.78</v>
      </c>
      <c r="G33" s="237">
        <f>D33-E33</f>
        <v>2153810.8532266803</v>
      </c>
    </row>
    <row r="34" spans="1:7" ht="15.75" thickBot="1" x14ac:dyDescent="0.3">
      <c r="A34" s="236" t="s">
        <v>176</v>
      </c>
      <c r="B34" s="234">
        <v>182017.4938</v>
      </c>
      <c r="C34" s="234">
        <v>9860</v>
      </c>
      <c r="D34" s="235">
        <f>B34+C34</f>
        <v>191877.4938</v>
      </c>
      <c r="E34" s="234">
        <v>9860</v>
      </c>
      <c r="F34" s="234">
        <v>9860</v>
      </c>
      <c r="G34" s="233">
        <f>D34-E34</f>
        <v>182017.4938</v>
      </c>
    </row>
    <row r="35" spans="1:7" x14ac:dyDescent="0.25">
      <c r="A35" s="240" t="s">
        <v>175</v>
      </c>
      <c r="B35" s="238">
        <v>12172028.189581791</v>
      </c>
      <c r="C35" s="238">
        <v>16766794.540000001</v>
      </c>
      <c r="D35" s="239">
        <f>B35+C35</f>
        <v>28938822.729581792</v>
      </c>
      <c r="E35" s="238">
        <v>23661147.609999999</v>
      </c>
      <c r="F35" s="238">
        <v>16690704.43</v>
      </c>
      <c r="G35" s="237">
        <f>D35-E35</f>
        <v>5277675.1195817925</v>
      </c>
    </row>
    <row r="36" spans="1:7" x14ac:dyDescent="0.25">
      <c r="A36" s="241" t="s">
        <v>174</v>
      </c>
      <c r="B36" s="239">
        <f>SUM(B37:B45)</f>
        <v>0</v>
      </c>
      <c r="C36" s="239">
        <f>SUM(C37:C45)</f>
        <v>2162000</v>
      </c>
      <c r="D36" s="239">
        <f>B36+C36</f>
        <v>2162000</v>
      </c>
      <c r="E36" s="239">
        <f>SUM(E37:E45)</f>
        <v>2161999.6800000002</v>
      </c>
      <c r="F36" s="239">
        <f>SUM(F37:F45)</f>
        <v>2161999.6800000002</v>
      </c>
      <c r="G36" s="237">
        <f>D36-E36</f>
        <v>0.31999999983236194</v>
      </c>
    </row>
    <row r="37" spans="1:7" x14ac:dyDescent="0.25">
      <c r="A37" s="240" t="s">
        <v>173</v>
      </c>
      <c r="B37" s="238"/>
      <c r="C37" s="238"/>
      <c r="D37" s="239">
        <f>B37+C37</f>
        <v>0</v>
      </c>
      <c r="E37" s="238"/>
      <c r="F37" s="238"/>
      <c r="G37" s="237">
        <f>D37-E37</f>
        <v>0</v>
      </c>
    </row>
    <row r="38" spans="1:7" x14ac:dyDescent="0.25">
      <c r="A38" s="240" t="s">
        <v>172</v>
      </c>
      <c r="B38" s="238">
        <v>0</v>
      </c>
      <c r="C38" s="238">
        <v>2162000</v>
      </c>
      <c r="D38" s="239">
        <f>B38+C38</f>
        <v>2162000</v>
      </c>
      <c r="E38" s="238">
        <v>2161999.6800000002</v>
      </c>
      <c r="F38" s="238">
        <v>2161999.6800000002</v>
      </c>
      <c r="G38" s="237">
        <f>D38-E38</f>
        <v>0.31999999983236194</v>
      </c>
    </row>
    <row r="39" spans="1:7" x14ac:dyDescent="0.25">
      <c r="A39" s="240" t="s">
        <v>171</v>
      </c>
      <c r="B39" s="238"/>
      <c r="C39" s="238"/>
      <c r="D39" s="239">
        <f>B39+C39</f>
        <v>0</v>
      </c>
      <c r="E39" s="238"/>
      <c r="F39" s="238"/>
      <c r="G39" s="237">
        <f>D39-E39</f>
        <v>0</v>
      </c>
    </row>
    <row r="40" spans="1:7" x14ac:dyDescent="0.25">
      <c r="A40" s="240" t="s">
        <v>170</v>
      </c>
      <c r="B40" s="238"/>
      <c r="C40" s="238"/>
      <c r="D40" s="239">
        <f>B40+C40</f>
        <v>0</v>
      </c>
      <c r="E40" s="238"/>
      <c r="F40" s="238"/>
      <c r="G40" s="237">
        <f>D40-E40</f>
        <v>0</v>
      </c>
    </row>
    <row r="41" spans="1:7" x14ac:dyDescent="0.25">
      <c r="A41" s="240" t="s">
        <v>169</v>
      </c>
      <c r="B41" s="238"/>
      <c r="C41" s="238"/>
      <c r="D41" s="239">
        <f>B41+C41</f>
        <v>0</v>
      </c>
      <c r="E41" s="238"/>
      <c r="F41" s="238"/>
      <c r="G41" s="237">
        <f>D41-E41</f>
        <v>0</v>
      </c>
    </row>
    <row r="42" spans="1:7" x14ac:dyDescent="0.25">
      <c r="A42" s="240" t="s">
        <v>168</v>
      </c>
      <c r="B42" s="238"/>
      <c r="C42" s="238"/>
      <c r="D42" s="239">
        <f>B42+C42</f>
        <v>0</v>
      </c>
      <c r="E42" s="238"/>
      <c r="F42" s="238"/>
      <c r="G42" s="237">
        <f>D42-E42</f>
        <v>0</v>
      </c>
    </row>
    <row r="43" spans="1:7" x14ac:dyDescent="0.25">
      <c r="A43" s="240" t="s">
        <v>167</v>
      </c>
      <c r="B43" s="238"/>
      <c r="C43" s="238"/>
      <c r="D43" s="239">
        <f>B43+C43</f>
        <v>0</v>
      </c>
      <c r="E43" s="238"/>
      <c r="F43" s="238"/>
      <c r="G43" s="237">
        <f>D43-E43</f>
        <v>0</v>
      </c>
    </row>
    <row r="44" spans="1:7" x14ac:dyDescent="0.25">
      <c r="A44" s="240" t="s">
        <v>166</v>
      </c>
      <c r="B44" s="238"/>
      <c r="C44" s="238"/>
      <c r="D44" s="239">
        <f>B44+C44</f>
        <v>0</v>
      </c>
      <c r="E44" s="238"/>
      <c r="F44" s="238"/>
      <c r="G44" s="237">
        <f>D44-E44</f>
        <v>0</v>
      </c>
    </row>
    <row r="45" spans="1:7" x14ac:dyDescent="0.25">
      <c r="A45" s="240" t="s">
        <v>165</v>
      </c>
      <c r="B45" s="238"/>
      <c r="C45" s="238"/>
      <c r="D45" s="239">
        <f>B45+C45</f>
        <v>0</v>
      </c>
      <c r="E45" s="238"/>
      <c r="F45" s="238"/>
      <c r="G45" s="237">
        <f>D45-E45</f>
        <v>0</v>
      </c>
    </row>
    <row r="46" spans="1:7" x14ac:dyDescent="0.25">
      <c r="A46" s="241" t="s">
        <v>164</v>
      </c>
      <c r="B46" s="239">
        <f>SUM(B47:B55)</f>
        <v>0</v>
      </c>
      <c r="C46" s="239">
        <f>SUM(C47:C55)</f>
        <v>648631.28</v>
      </c>
      <c r="D46" s="239">
        <f>B46+C46</f>
        <v>648631.28</v>
      </c>
      <c r="E46" s="239">
        <f>SUM(E47:E55)</f>
        <v>645400.71</v>
      </c>
      <c r="F46" s="239">
        <f>SUM(F47:F55)</f>
        <v>535389.81999999995</v>
      </c>
      <c r="G46" s="237">
        <f>D46-E46</f>
        <v>3230.5700000000652</v>
      </c>
    </row>
    <row r="47" spans="1:7" x14ac:dyDescent="0.25">
      <c r="A47" s="240" t="s">
        <v>163</v>
      </c>
      <c r="B47" s="238">
        <v>0</v>
      </c>
      <c r="C47" s="238"/>
      <c r="D47" s="239">
        <f>B47+C47</f>
        <v>0</v>
      </c>
      <c r="E47" s="238"/>
      <c r="F47" s="238"/>
      <c r="G47" s="237">
        <f>D47-E47</f>
        <v>0</v>
      </c>
    </row>
    <row r="48" spans="1:7" x14ac:dyDescent="0.25">
      <c r="A48" s="240" t="s">
        <v>162</v>
      </c>
      <c r="B48" s="238"/>
      <c r="C48" s="238"/>
      <c r="D48" s="239">
        <f>B48+C48</f>
        <v>0</v>
      </c>
      <c r="E48" s="238"/>
      <c r="F48" s="238"/>
      <c r="G48" s="237">
        <f>D48-E48</f>
        <v>0</v>
      </c>
    </row>
    <row r="49" spans="1:7" x14ac:dyDescent="0.25">
      <c r="A49" s="240" t="s">
        <v>161</v>
      </c>
      <c r="B49" s="238"/>
      <c r="C49" s="238"/>
      <c r="D49" s="239">
        <f>B49+C49</f>
        <v>0</v>
      </c>
      <c r="E49" s="238"/>
      <c r="F49" s="238"/>
      <c r="G49" s="237">
        <f>D49-E49</f>
        <v>0</v>
      </c>
    </row>
    <row r="50" spans="1:7" x14ac:dyDescent="0.25">
      <c r="A50" s="240" t="s">
        <v>160</v>
      </c>
      <c r="B50" s="238">
        <v>0</v>
      </c>
      <c r="C50" s="238">
        <v>241161.68</v>
      </c>
      <c r="D50" s="239">
        <f>B50+C50</f>
        <v>241161.68</v>
      </c>
      <c r="E50" s="238">
        <v>239585.33</v>
      </c>
      <c r="F50" s="238">
        <v>239585.33</v>
      </c>
      <c r="G50" s="237">
        <f>D50-E50</f>
        <v>1576.3500000000058</v>
      </c>
    </row>
    <row r="51" spans="1:7" x14ac:dyDescent="0.25">
      <c r="A51" s="240" t="s">
        <v>159</v>
      </c>
      <c r="B51" s="238"/>
      <c r="C51" s="238"/>
      <c r="D51" s="239">
        <f>B51+C51</f>
        <v>0</v>
      </c>
      <c r="E51" s="238"/>
      <c r="F51" s="238"/>
      <c r="G51" s="237">
        <f>D51-E51</f>
        <v>0</v>
      </c>
    </row>
    <row r="52" spans="1:7" x14ac:dyDescent="0.25">
      <c r="A52" s="240" t="s">
        <v>158</v>
      </c>
      <c r="B52" s="238">
        <v>0</v>
      </c>
      <c r="C52" s="238">
        <v>407469.6</v>
      </c>
      <c r="D52" s="239">
        <f>B52+C52</f>
        <v>407469.6</v>
      </c>
      <c r="E52" s="238">
        <v>405815.38</v>
      </c>
      <c r="F52" s="238">
        <v>295804.49</v>
      </c>
      <c r="G52" s="237">
        <f>D52-E52</f>
        <v>1654.2199999999721</v>
      </c>
    </row>
    <row r="53" spans="1:7" x14ac:dyDescent="0.25">
      <c r="A53" s="240" t="s">
        <v>157</v>
      </c>
      <c r="B53" s="238"/>
      <c r="C53" s="238"/>
      <c r="D53" s="239">
        <f>B53+C53</f>
        <v>0</v>
      </c>
      <c r="E53" s="238"/>
      <c r="F53" s="238"/>
      <c r="G53" s="237">
        <f>D53-E53</f>
        <v>0</v>
      </c>
    </row>
    <row r="54" spans="1:7" x14ac:dyDescent="0.25">
      <c r="A54" s="240" t="s">
        <v>156</v>
      </c>
      <c r="B54" s="238"/>
      <c r="C54" s="238"/>
      <c r="D54" s="239">
        <f>B54+C54</f>
        <v>0</v>
      </c>
      <c r="E54" s="238"/>
      <c r="F54" s="238"/>
      <c r="G54" s="237">
        <f>D54-E54</f>
        <v>0</v>
      </c>
    </row>
    <row r="55" spans="1:7" x14ac:dyDescent="0.25">
      <c r="A55" s="240" t="s">
        <v>155</v>
      </c>
      <c r="B55" s="238"/>
      <c r="C55" s="238"/>
      <c r="D55" s="239">
        <f>B55+C55</f>
        <v>0</v>
      </c>
      <c r="E55" s="238"/>
      <c r="F55" s="238"/>
      <c r="G55" s="237">
        <f>D55-E55</f>
        <v>0</v>
      </c>
    </row>
    <row r="56" spans="1:7" x14ac:dyDescent="0.25">
      <c r="A56" s="241" t="s">
        <v>154</v>
      </c>
      <c r="B56" s="239">
        <f>SUM(B57:B59)</f>
        <v>166755176</v>
      </c>
      <c r="C56" s="239">
        <f>SUM(C57:C59)</f>
        <v>43640495.189999998</v>
      </c>
      <c r="D56" s="239">
        <f>B56+C56</f>
        <v>210395671.19</v>
      </c>
      <c r="E56" s="239">
        <f>SUM(E57:E59)</f>
        <v>10227607.74</v>
      </c>
      <c r="F56" s="239">
        <f>SUM(F57:F59)</f>
        <v>10227607.74</v>
      </c>
      <c r="G56" s="237">
        <f>D56-E56</f>
        <v>200168063.44999999</v>
      </c>
    </row>
    <row r="57" spans="1:7" x14ac:dyDescent="0.25">
      <c r="A57" s="240" t="s">
        <v>153</v>
      </c>
      <c r="B57" s="238">
        <v>166755176</v>
      </c>
      <c r="C57" s="238">
        <v>43640495.189999998</v>
      </c>
      <c r="D57" s="239">
        <f>B57+C57</f>
        <v>210395671.19</v>
      </c>
      <c r="E57" s="238">
        <v>10227607.74</v>
      </c>
      <c r="F57" s="238">
        <v>10227607.74</v>
      </c>
      <c r="G57" s="237">
        <f>D57-E57</f>
        <v>200168063.44999999</v>
      </c>
    </row>
    <row r="58" spans="1:7" x14ac:dyDescent="0.25">
      <c r="A58" s="240" t="s">
        <v>152</v>
      </c>
      <c r="B58" s="238"/>
      <c r="C58" s="238"/>
      <c r="D58" s="239">
        <f>B58+C58</f>
        <v>0</v>
      </c>
      <c r="E58" s="238"/>
      <c r="F58" s="238"/>
      <c r="G58" s="237">
        <f>D58-E58</f>
        <v>0</v>
      </c>
    </row>
    <row r="59" spans="1:7" x14ac:dyDescent="0.25">
      <c r="A59" s="240" t="s">
        <v>151</v>
      </c>
      <c r="B59" s="238"/>
      <c r="C59" s="238"/>
      <c r="D59" s="239">
        <f>B59+C59</f>
        <v>0</v>
      </c>
      <c r="E59" s="238"/>
      <c r="F59" s="238"/>
      <c r="G59" s="237">
        <f>D59-E59</f>
        <v>0</v>
      </c>
    </row>
    <row r="60" spans="1:7" x14ac:dyDescent="0.25">
      <c r="A60" s="241" t="s">
        <v>150</v>
      </c>
      <c r="B60" s="239">
        <f>SUM(B61:B67)</f>
        <v>48432617</v>
      </c>
      <c r="C60" s="239">
        <f>SUM(C61:C67)</f>
        <v>0</v>
      </c>
      <c r="D60" s="239">
        <f>B60+C60</f>
        <v>48432617</v>
      </c>
      <c r="E60" s="239">
        <f>SUM(E61:E67)</f>
        <v>0</v>
      </c>
      <c r="F60" s="239">
        <f>SUM(F61:F67)</f>
        <v>0</v>
      </c>
      <c r="G60" s="237">
        <f>D60-E60</f>
        <v>48432617</v>
      </c>
    </row>
    <row r="61" spans="1:7" x14ac:dyDescent="0.25">
      <c r="A61" s="240" t="s">
        <v>149</v>
      </c>
      <c r="B61" s="238"/>
      <c r="C61" s="238"/>
      <c r="D61" s="239">
        <f>B61+C61</f>
        <v>0</v>
      </c>
      <c r="E61" s="238"/>
      <c r="F61" s="238"/>
      <c r="G61" s="237">
        <f>D61-E61</f>
        <v>0</v>
      </c>
    </row>
    <row r="62" spans="1:7" ht="15.75" thickBot="1" x14ac:dyDescent="0.3">
      <c r="A62" s="236" t="s">
        <v>148</v>
      </c>
      <c r="B62" s="234"/>
      <c r="C62" s="234"/>
      <c r="D62" s="235">
        <f>B62+C62</f>
        <v>0</v>
      </c>
      <c r="E62" s="234"/>
      <c r="F62" s="234"/>
      <c r="G62" s="233">
        <f>D62-E62</f>
        <v>0</v>
      </c>
    </row>
    <row r="63" spans="1:7" x14ac:dyDescent="0.25">
      <c r="A63" s="240" t="s">
        <v>147</v>
      </c>
      <c r="B63" s="238"/>
      <c r="C63" s="238"/>
      <c r="D63" s="239">
        <f>B63+C63</f>
        <v>0</v>
      </c>
      <c r="E63" s="238"/>
      <c r="F63" s="238"/>
      <c r="G63" s="237">
        <f>D63-E63</f>
        <v>0</v>
      </c>
    </row>
    <row r="64" spans="1:7" x14ac:dyDescent="0.25">
      <c r="A64" s="240" t="s">
        <v>146</v>
      </c>
      <c r="B64" s="238"/>
      <c r="C64" s="238"/>
      <c r="D64" s="239">
        <f>B64+C64</f>
        <v>0</v>
      </c>
      <c r="E64" s="238"/>
      <c r="F64" s="238"/>
      <c r="G64" s="237">
        <f>D64-E64</f>
        <v>0</v>
      </c>
    </row>
    <row r="65" spans="1:7" x14ac:dyDescent="0.25">
      <c r="A65" s="240" t="s">
        <v>145</v>
      </c>
      <c r="B65" s="238"/>
      <c r="C65" s="238"/>
      <c r="D65" s="239">
        <f>B65+C65</f>
        <v>0</v>
      </c>
      <c r="E65" s="238"/>
      <c r="F65" s="238"/>
      <c r="G65" s="237">
        <f>D65-E65</f>
        <v>0</v>
      </c>
    </row>
    <row r="66" spans="1:7" x14ac:dyDescent="0.25">
      <c r="A66" s="240" t="s">
        <v>144</v>
      </c>
      <c r="B66" s="238"/>
      <c r="C66" s="238"/>
      <c r="D66" s="239">
        <f>B66+C66</f>
        <v>0</v>
      </c>
      <c r="E66" s="238"/>
      <c r="F66" s="238"/>
      <c r="G66" s="237">
        <f>D66-E66</f>
        <v>0</v>
      </c>
    </row>
    <row r="67" spans="1:7" x14ac:dyDescent="0.25">
      <c r="A67" s="240" t="s">
        <v>143</v>
      </c>
      <c r="B67" s="238">
        <v>48432617</v>
      </c>
      <c r="C67" s="238">
        <v>0</v>
      </c>
      <c r="D67" s="239">
        <f>B67+C67</f>
        <v>48432617</v>
      </c>
      <c r="E67" s="238">
        <v>0</v>
      </c>
      <c r="F67" s="238">
        <v>0</v>
      </c>
      <c r="G67" s="237">
        <f>D67-E67</f>
        <v>48432617</v>
      </c>
    </row>
    <row r="68" spans="1:7" x14ac:dyDescent="0.25">
      <c r="A68" s="241" t="s">
        <v>142</v>
      </c>
      <c r="B68" s="239">
        <f>SUM(B69:B71)</f>
        <v>0</v>
      </c>
      <c r="C68" s="239">
        <f>SUM(C69:C71)</f>
        <v>0</v>
      </c>
      <c r="D68" s="239">
        <f>B68+C68</f>
        <v>0</v>
      </c>
      <c r="E68" s="239">
        <f>SUM(E69:E71)</f>
        <v>0</v>
      </c>
      <c r="F68" s="239">
        <f>SUM(F69:F71)</f>
        <v>0</v>
      </c>
      <c r="G68" s="237">
        <f>D68-E68</f>
        <v>0</v>
      </c>
    </row>
    <row r="69" spans="1:7" x14ac:dyDescent="0.25">
      <c r="A69" s="240" t="s">
        <v>141</v>
      </c>
      <c r="B69" s="238"/>
      <c r="C69" s="238"/>
      <c r="D69" s="239">
        <f>B69+C69</f>
        <v>0</v>
      </c>
      <c r="E69" s="238"/>
      <c r="F69" s="238"/>
      <c r="G69" s="237">
        <f>D69-E69</f>
        <v>0</v>
      </c>
    </row>
    <row r="70" spans="1:7" x14ac:dyDescent="0.25">
      <c r="A70" s="240" t="s">
        <v>140</v>
      </c>
      <c r="B70" s="238"/>
      <c r="C70" s="238"/>
      <c r="D70" s="239">
        <f>B70+C70</f>
        <v>0</v>
      </c>
      <c r="E70" s="238"/>
      <c r="F70" s="238"/>
      <c r="G70" s="237">
        <f>D70-E70</f>
        <v>0</v>
      </c>
    </row>
    <row r="71" spans="1:7" x14ac:dyDescent="0.25">
      <c r="A71" s="240" t="s">
        <v>139</v>
      </c>
      <c r="B71" s="238"/>
      <c r="C71" s="238"/>
      <c r="D71" s="239">
        <f>B71+C71</f>
        <v>0</v>
      </c>
      <c r="E71" s="238"/>
      <c r="F71" s="238"/>
      <c r="G71" s="237">
        <f>D71-E71</f>
        <v>0</v>
      </c>
    </row>
    <row r="72" spans="1:7" x14ac:dyDescent="0.25">
      <c r="A72" s="241" t="s">
        <v>138</v>
      </c>
      <c r="B72" s="239">
        <f>SUM(B73:B79)</f>
        <v>0</v>
      </c>
      <c r="C72" s="239">
        <f>SUM(C73:C79)</f>
        <v>66935836.119999997</v>
      </c>
      <c r="D72" s="239">
        <f>B72+C72</f>
        <v>66935836.119999997</v>
      </c>
      <c r="E72" s="239">
        <f>SUM(E73:E79)</f>
        <v>66926010.450000003</v>
      </c>
      <c r="F72" s="239">
        <f>SUM(F73:F79)</f>
        <v>65799451.600000009</v>
      </c>
      <c r="G72" s="237">
        <f>D72-E72</f>
        <v>9825.6699999943376</v>
      </c>
    </row>
    <row r="73" spans="1:7" x14ac:dyDescent="0.25">
      <c r="A73" s="240" t="s">
        <v>137</v>
      </c>
      <c r="B73" s="238">
        <v>0</v>
      </c>
      <c r="C73" s="238">
        <v>9813059.8099999987</v>
      </c>
      <c r="D73" s="239">
        <f>B73+C73</f>
        <v>9813059.8099999987</v>
      </c>
      <c r="E73" s="238">
        <v>9813059.8100000005</v>
      </c>
      <c r="F73" s="238">
        <v>9813059.8100000005</v>
      </c>
      <c r="G73" s="237">
        <f>D73-E73</f>
        <v>0</v>
      </c>
    </row>
    <row r="74" spans="1:7" x14ac:dyDescent="0.25">
      <c r="A74" s="240" t="s">
        <v>136</v>
      </c>
      <c r="B74" s="238">
        <v>0</v>
      </c>
      <c r="C74" s="238">
        <v>12363625.449999999</v>
      </c>
      <c r="D74" s="239">
        <f>B74+C74</f>
        <v>12363625.449999999</v>
      </c>
      <c r="E74" s="238">
        <v>12363625.450000001</v>
      </c>
      <c r="F74" s="238">
        <v>12363625.450000001</v>
      </c>
      <c r="G74" s="237">
        <f>D74-E74</f>
        <v>0</v>
      </c>
    </row>
    <row r="75" spans="1:7" x14ac:dyDescent="0.25">
      <c r="A75" s="240" t="s">
        <v>135</v>
      </c>
      <c r="B75" s="238"/>
      <c r="C75" s="238"/>
      <c r="D75" s="239">
        <f>B75+C75</f>
        <v>0</v>
      </c>
      <c r="E75" s="238"/>
      <c r="F75" s="238"/>
      <c r="G75" s="237">
        <f>D75-E75</f>
        <v>0</v>
      </c>
    </row>
    <row r="76" spans="1:7" x14ac:dyDescent="0.25">
      <c r="A76" s="240" t="s">
        <v>134</v>
      </c>
      <c r="B76" s="238"/>
      <c r="C76" s="238"/>
      <c r="D76" s="239">
        <f>B76+C76</f>
        <v>0</v>
      </c>
      <c r="E76" s="238"/>
      <c r="F76" s="238"/>
      <c r="G76" s="237">
        <f>D76-E76</f>
        <v>0</v>
      </c>
    </row>
    <row r="77" spans="1:7" x14ac:dyDescent="0.25">
      <c r="A77" s="240" t="s">
        <v>133</v>
      </c>
      <c r="B77" s="238"/>
      <c r="C77" s="238"/>
      <c r="D77" s="239">
        <f>B77+C77</f>
        <v>0</v>
      </c>
      <c r="E77" s="238"/>
      <c r="F77" s="238"/>
      <c r="G77" s="237">
        <f>D77-E77</f>
        <v>0</v>
      </c>
    </row>
    <row r="78" spans="1:7" x14ac:dyDescent="0.25">
      <c r="A78" s="240" t="s">
        <v>132</v>
      </c>
      <c r="B78" s="238"/>
      <c r="C78" s="238"/>
      <c r="D78" s="239">
        <f>B78+C78</f>
        <v>0</v>
      </c>
      <c r="E78" s="238"/>
      <c r="F78" s="238"/>
      <c r="G78" s="237">
        <f>D78-E78</f>
        <v>0</v>
      </c>
    </row>
    <row r="79" spans="1:7" ht="15.75" thickBot="1" x14ac:dyDescent="0.3">
      <c r="A79" s="236" t="s">
        <v>131</v>
      </c>
      <c r="B79" s="234">
        <v>0</v>
      </c>
      <c r="C79" s="234">
        <v>44759150.859999999</v>
      </c>
      <c r="D79" s="235">
        <f>B79+C79</f>
        <v>44759150.859999999</v>
      </c>
      <c r="E79" s="234">
        <v>44749325.189999998</v>
      </c>
      <c r="F79" s="234">
        <v>43622766.340000004</v>
      </c>
      <c r="G79" s="233">
        <f>D79-E79</f>
        <v>9825.6700000017881</v>
      </c>
    </row>
    <row r="80" spans="1:7" ht="15.75" thickBot="1" x14ac:dyDescent="0.3">
      <c r="A80" s="232" t="s">
        <v>130</v>
      </c>
      <c r="B80" s="231">
        <f>B72+B68+B60+B56+B46+B36+B26+B16+B8</f>
        <v>623389417.66593051</v>
      </c>
      <c r="C80" s="231">
        <f>C72+C68+C60+C56+C46+C36+C26+C16+C8</f>
        <v>116461164.84</v>
      </c>
      <c r="D80" s="231">
        <f>B80+C80</f>
        <v>739850582.50593054</v>
      </c>
      <c r="E80" s="231">
        <f>E72+E68+E60+E56+E46+E36+E26+E16+E8</f>
        <v>298492105.78000003</v>
      </c>
      <c r="F80" s="231">
        <f>F72+F68+F60+F56+F46+F36+F26+F16+F8</f>
        <v>268228355.48999998</v>
      </c>
      <c r="G80" s="230">
        <f>D80-E80</f>
        <v>441358476.72593051</v>
      </c>
    </row>
    <row r="81" spans="1:7" x14ac:dyDescent="0.25">
      <c r="A81" s="229"/>
      <c r="B81" s="228"/>
      <c r="C81" s="228"/>
      <c r="D81" s="228"/>
      <c r="E81" s="228"/>
      <c r="F81" s="228"/>
      <c r="G81" s="228"/>
    </row>
    <row r="82" spans="1:7" x14ac:dyDescent="0.25">
      <c r="A82" s="229"/>
      <c r="B82" s="228"/>
      <c r="C82" s="228"/>
      <c r="D82" s="228"/>
      <c r="E82" s="228"/>
      <c r="F82" s="228"/>
      <c r="G82" s="228"/>
    </row>
    <row r="83" spans="1:7" x14ac:dyDescent="0.25">
      <c r="A83" s="229"/>
      <c r="B83" s="228"/>
      <c r="C83" s="228"/>
      <c r="D83" s="228"/>
      <c r="E83" s="228"/>
      <c r="F83" s="228"/>
      <c r="G83" s="228"/>
    </row>
    <row r="84" spans="1:7" x14ac:dyDescent="0.25">
      <c r="A84" s="229"/>
      <c r="B84" s="228"/>
      <c r="C84" s="228"/>
      <c r="D84" s="228"/>
      <c r="E84" s="228"/>
      <c r="F84" s="228"/>
      <c r="G84" s="228"/>
    </row>
    <row r="85" spans="1:7" x14ac:dyDescent="0.25">
      <c r="A85" s="229"/>
      <c r="B85" s="228"/>
      <c r="C85" s="228"/>
      <c r="D85" s="228"/>
      <c r="E85" s="228"/>
      <c r="F85" s="228"/>
      <c r="G85" s="228"/>
    </row>
    <row r="86" spans="1:7" x14ac:dyDescent="0.25">
      <c r="A86" s="229"/>
      <c r="B86" s="228"/>
      <c r="C86" s="228"/>
      <c r="D86" s="228"/>
      <c r="E86" s="228"/>
      <c r="F86" s="228"/>
      <c r="G86" s="228"/>
    </row>
    <row r="87" spans="1:7" ht="16.5" x14ac:dyDescent="0.25">
      <c r="A87" s="1"/>
      <c r="B87" s="1"/>
      <c r="C87" s="1"/>
      <c r="D87" s="1"/>
      <c r="E87" s="1"/>
      <c r="F87" s="1"/>
      <c r="G87" s="1"/>
    </row>
    <row r="88" spans="1:7" ht="16.5" x14ac:dyDescent="0.25">
      <c r="A88" s="1"/>
      <c r="B88" s="1"/>
      <c r="C88" s="1"/>
      <c r="D88" s="1"/>
      <c r="E88" s="1"/>
      <c r="F88" s="1"/>
      <c r="G88" s="1"/>
    </row>
    <row r="89" spans="1:7" ht="16.5" x14ac:dyDescent="0.25">
      <c r="A89" s="1"/>
      <c r="B89" s="1"/>
      <c r="C89" s="1"/>
      <c r="D89" s="1"/>
      <c r="E89" s="1"/>
      <c r="F89" s="1"/>
      <c r="G89" s="1"/>
    </row>
    <row r="90" spans="1:7" ht="16.5" x14ac:dyDescent="0.25">
      <c r="A90" s="1"/>
      <c r="B90" s="1"/>
      <c r="C90" s="1"/>
      <c r="D90" s="1"/>
      <c r="E90" s="1"/>
      <c r="F90" s="1"/>
      <c r="G90" s="1"/>
    </row>
  </sheetData>
  <sheetProtection password="C115" sheet="1" scenarios="1" formatColumns="0" formatRows="0"/>
  <mergeCells count="6">
    <mergeCell ref="A6:A7"/>
    <mergeCell ref="A1:G1"/>
    <mergeCell ref="A2:G2"/>
    <mergeCell ref="A3:G3"/>
    <mergeCell ref="A4:G4"/>
    <mergeCell ref="A5:E5"/>
  </mergeCells>
  <pageMargins left="0.70866141732283472" right="0.70866141732283472" top="0.74803149606299213" bottom="0.74803149606299213" header="0.31496062992125984" footer="0.31496062992125984"/>
  <pageSetup scale="67" orientation="portrait" horizontalDpi="1200" verticalDpi="1200" r:id="rId1"/>
  <rowBreaks count="1" manualBreakCount="1">
    <brk id="6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75640-BD11-4F9D-B718-24DCF73C842D}">
  <sheetPr>
    <tabColor theme="0" tint="-0.14999847407452621"/>
  </sheetPr>
  <dimension ref="A1:I159"/>
  <sheetViews>
    <sheetView view="pageBreakPreview" topLeftCell="A121" zoomScaleNormal="100" zoomScaleSheetLayoutView="100" workbookViewId="0">
      <selection activeCell="T27" sqref="T27"/>
    </sheetView>
  </sheetViews>
  <sheetFormatPr baseColWidth="10" defaultRowHeight="15" x14ac:dyDescent="0.25"/>
  <cols>
    <col min="1" max="1" width="6.140625" customWidth="1"/>
    <col min="2" max="2" width="35.28515625" customWidth="1"/>
    <col min="3" max="3" width="14.85546875" customWidth="1"/>
    <col min="4" max="4" width="12.85546875" customWidth="1"/>
    <col min="5" max="5" width="14.140625" customWidth="1"/>
    <col min="6" max="6" width="12.85546875" customWidth="1"/>
    <col min="7" max="7" width="13" customWidth="1"/>
    <col min="8" max="8" width="13.5703125" customWidth="1"/>
  </cols>
  <sheetData>
    <row r="1" spans="1:8" ht="15.75" x14ac:dyDescent="0.25">
      <c r="A1" s="293" t="str">
        <f>'[1]ETCA-I-01'!A1:G1</f>
        <v xml:space="preserve">Comision Estatal del Agua  </v>
      </c>
      <c r="B1" s="292"/>
      <c r="C1" s="292"/>
      <c r="D1" s="292"/>
      <c r="E1" s="292"/>
      <c r="F1" s="292"/>
      <c r="G1" s="292"/>
      <c r="H1" s="291"/>
    </row>
    <row r="2" spans="1:8" x14ac:dyDescent="0.25">
      <c r="A2" s="290" t="s">
        <v>299</v>
      </c>
      <c r="B2" s="289"/>
      <c r="C2" s="289"/>
      <c r="D2" s="289"/>
      <c r="E2" s="289"/>
      <c r="F2" s="289"/>
      <c r="G2" s="289"/>
      <c r="H2" s="288"/>
    </row>
    <row r="3" spans="1:8" x14ac:dyDescent="0.25">
      <c r="A3" s="290" t="s">
        <v>298</v>
      </c>
      <c r="B3" s="289"/>
      <c r="C3" s="289"/>
      <c r="D3" s="289"/>
      <c r="E3" s="289"/>
      <c r="F3" s="289"/>
      <c r="G3" s="289"/>
      <c r="H3" s="288"/>
    </row>
    <row r="4" spans="1:8" x14ac:dyDescent="0.25">
      <c r="A4" s="290" t="str">
        <f>'ETCA-II-02'!A3:I3</f>
        <v>Del 01 de Enero al 30 de Junio de 2020</v>
      </c>
      <c r="B4" s="289"/>
      <c r="C4" s="289"/>
      <c r="D4" s="289"/>
      <c r="E4" s="289"/>
      <c r="F4" s="289"/>
      <c r="G4" s="289"/>
      <c r="H4" s="288"/>
    </row>
    <row r="5" spans="1:8" ht="15.75" thickBot="1" x14ac:dyDescent="0.3">
      <c r="A5" s="279" t="s">
        <v>297</v>
      </c>
      <c r="B5" s="287"/>
      <c r="C5" s="287"/>
      <c r="D5" s="287"/>
      <c r="E5" s="287"/>
      <c r="F5" s="287"/>
      <c r="G5" s="287"/>
      <c r="H5" s="286"/>
    </row>
    <row r="6" spans="1:8" ht="15.75" thickBot="1" x14ac:dyDescent="0.3">
      <c r="A6" s="285" t="s">
        <v>296</v>
      </c>
      <c r="B6" s="284"/>
      <c r="C6" s="283" t="s">
        <v>295</v>
      </c>
      <c r="D6" s="282"/>
      <c r="E6" s="282"/>
      <c r="F6" s="282"/>
      <c r="G6" s="281"/>
      <c r="H6" s="280" t="s">
        <v>294</v>
      </c>
    </row>
    <row r="7" spans="1:8" ht="18.75" thickBot="1" x14ac:dyDescent="0.3">
      <c r="A7" s="279"/>
      <c r="B7" s="278"/>
      <c r="C7" s="276" t="s">
        <v>293</v>
      </c>
      <c r="D7" s="277" t="s">
        <v>292</v>
      </c>
      <c r="E7" s="276" t="s">
        <v>291</v>
      </c>
      <c r="F7" s="276" t="s">
        <v>108</v>
      </c>
      <c r="G7" s="276" t="s">
        <v>290</v>
      </c>
      <c r="H7" s="275"/>
    </row>
    <row r="8" spans="1:8" x14ac:dyDescent="0.25">
      <c r="A8" s="274"/>
      <c r="B8" s="272"/>
      <c r="C8" s="272"/>
      <c r="D8" s="273"/>
      <c r="E8" s="272"/>
      <c r="F8" s="272"/>
      <c r="G8" s="272"/>
      <c r="H8" s="271"/>
    </row>
    <row r="9" spans="1:8" x14ac:dyDescent="0.25">
      <c r="A9" s="260" t="s">
        <v>289</v>
      </c>
      <c r="B9" s="259"/>
      <c r="C9" s="258">
        <f>+C10+C18+C28+C38+C48+C58+C62+C71+C75</f>
        <v>535114183.66593045</v>
      </c>
      <c r="D9" s="258">
        <f>+D10+D18+D28+D38+D48+D58+D62+D71+D75</f>
        <v>72820669.650000006</v>
      </c>
      <c r="E9" s="258">
        <f>+E10+E18+E28+E38+E48+E58+E62+E71+E75</f>
        <v>607934853.31593049</v>
      </c>
      <c r="F9" s="258">
        <f>+F10+F18+F28+F38+F48+F58+F62+F71+F75</f>
        <v>290243021.88</v>
      </c>
      <c r="G9" s="258">
        <f>+G10+G18+G28+G38+G48+G58+G62+G71+G75</f>
        <v>259979271.58999997</v>
      </c>
      <c r="H9" s="258">
        <f>+H10+H18+H28+H38+H48+H58+H62+H71+H75</f>
        <v>317691831.43593037</v>
      </c>
    </row>
    <row r="10" spans="1:8" x14ac:dyDescent="0.25">
      <c r="A10" s="267" t="s">
        <v>287</v>
      </c>
      <c r="B10" s="266"/>
      <c r="C10" s="262">
        <f>SUM(C11:C17)</f>
        <v>204443147.32279521</v>
      </c>
      <c r="D10" s="262">
        <f>SUM(D11:D17)</f>
        <v>-632242.46000000008</v>
      </c>
      <c r="E10" s="262">
        <f>SUM(E11:E17)</f>
        <v>203810904.8627952</v>
      </c>
      <c r="F10" s="262">
        <f>SUM(F11:F17)</f>
        <v>107376242.36</v>
      </c>
      <c r="G10" s="262">
        <f>SUM(G11:G17)</f>
        <v>96587067.849999994</v>
      </c>
      <c r="H10" s="262">
        <f>SUM(H11:H17)</f>
        <v>96434662.502795175</v>
      </c>
    </row>
    <row r="11" spans="1:8" x14ac:dyDescent="0.25">
      <c r="A11" s="264"/>
      <c r="B11" s="263" t="s">
        <v>286</v>
      </c>
      <c r="C11" s="265">
        <v>115843503.13592325</v>
      </c>
      <c r="D11" s="265">
        <v>-3326938.06</v>
      </c>
      <c r="E11" s="262">
        <f>C11+D11</f>
        <v>112516565.07592325</v>
      </c>
      <c r="F11" s="265">
        <v>59921330.489999995</v>
      </c>
      <c r="G11" s="265">
        <v>52678683.809999995</v>
      </c>
      <c r="H11" s="261">
        <f>+E11-F11</f>
        <v>52595234.585923254</v>
      </c>
    </row>
    <row r="12" spans="1:8" x14ac:dyDescent="0.25">
      <c r="A12" s="264"/>
      <c r="B12" s="263" t="s">
        <v>285</v>
      </c>
      <c r="C12" s="265">
        <v>1883200.3508860434</v>
      </c>
      <c r="D12" s="265">
        <v>0</v>
      </c>
      <c r="E12" s="262">
        <f>C12+D12</f>
        <v>1883200.3508860434</v>
      </c>
      <c r="F12" s="265">
        <v>915409.53</v>
      </c>
      <c r="G12" s="265">
        <v>915409.53</v>
      </c>
      <c r="H12" s="261">
        <f>+E12-F12</f>
        <v>967790.82088604337</v>
      </c>
    </row>
    <row r="13" spans="1:8" x14ac:dyDescent="0.25">
      <c r="A13" s="264"/>
      <c r="B13" s="263" t="s">
        <v>284</v>
      </c>
      <c r="C13" s="265">
        <v>10262941.40592527</v>
      </c>
      <c r="D13" s="265">
        <v>1413976</v>
      </c>
      <c r="E13" s="262">
        <f>C13+D13</f>
        <v>11676917.40592527</v>
      </c>
      <c r="F13" s="265">
        <v>5590431.6500000013</v>
      </c>
      <c r="G13" s="265">
        <v>5210036.540000001</v>
      </c>
      <c r="H13" s="261">
        <f>+E13-F13</f>
        <v>6086485.7559252689</v>
      </c>
    </row>
    <row r="14" spans="1:8" x14ac:dyDescent="0.25">
      <c r="A14" s="264"/>
      <c r="B14" s="263" t="s">
        <v>283</v>
      </c>
      <c r="C14" s="265">
        <v>39796179.374640383</v>
      </c>
      <c r="D14" s="265">
        <v>18063</v>
      </c>
      <c r="E14" s="262">
        <f>C14+D14</f>
        <v>39814242.374640383</v>
      </c>
      <c r="F14" s="265">
        <v>22372557.470000003</v>
      </c>
      <c r="G14" s="265">
        <v>19448419.850000001</v>
      </c>
      <c r="H14" s="261">
        <f>+E14-F14</f>
        <v>17441684.90464038</v>
      </c>
    </row>
    <row r="15" spans="1:8" x14ac:dyDescent="0.25">
      <c r="A15" s="264"/>
      <c r="B15" s="263" t="s">
        <v>282</v>
      </c>
      <c r="C15" s="265">
        <v>35786324.26935032</v>
      </c>
      <c r="D15" s="265">
        <v>1031185.24</v>
      </c>
      <c r="E15" s="262">
        <f>C15+D15</f>
        <v>36817509.509350322</v>
      </c>
      <c r="F15" s="265">
        <v>18151243.190000001</v>
      </c>
      <c r="G15" s="265">
        <v>17909248.09</v>
      </c>
      <c r="H15" s="261">
        <f>+E15-F15</f>
        <v>18666266.319350321</v>
      </c>
    </row>
    <row r="16" spans="1:8" x14ac:dyDescent="0.25">
      <c r="A16" s="264"/>
      <c r="B16" s="263" t="s">
        <v>281</v>
      </c>
      <c r="C16" s="265"/>
      <c r="D16" s="265"/>
      <c r="E16" s="262">
        <f>C16+D16</f>
        <v>0</v>
      </c>
      <c r="F16" s="265"/>
      <c r="G16" s="265"/>
      <c r="H16" s="261">
        <f>+E16-F16</f>
        <v>0</v>
      </c>
    </row>
    <row r="17" spans="1:8" x14ac:dyDescent="0.25">
      <c r="A17" s="264"/>
      <c r="B17" s="263" t="s">
        <v>280</v>
      </c>
      <c r="C17" s="265">
        <v>870998.78606991796</v>
      </c>
      <c r="D17" s="265">
        <v>231471.35999999999</v>
      </c>
      <c r="E17" s="262">
        <f>C17+D17</f>
        <v>1102470.1460699178</v>
      </c>
      <c r="F17" s="265">
        <v>425270.03</v>
      </c>
      <c r="G17" s="265">
        <v>425270.03</v>
      </c>
      <c r="H17" s="261">
        <f>+E17-F17</f>
        <v>677200.1160699178</v>
      </c>
    </row>
    <row r="18" spans="1:8" x14ac:dyDescent="0.25">
      <c r="A18" s="267" t="s">
        <v>279</v>
      </c>
      <c r="B18" s="266"/>
      <c r="C18" s="262">
        <f>SUM(C19:C27)</f>
        <v>29390389.214226238</v>
      </c>
      <c r="D18" s="262">
        <f>SUM(D19:D27)</f>
        <v>1552460.6900000002</v>
      </c>
      <c r="E18" s="262">
        <f>SUM(E19:E27)</f>
        <v>30942849.90422624</v>
      </c>
      <c r="F18" s="262">
        <f>SUM(F19:F27)</f>
        <v>10509028.129999999</v>
      </c>
      <c r="G18" s="262">
        <f>SUM(G19:G27)</f>
        <v>9141308.6699999981</v>
      </c>
      <c r="H18" s="262">
        <f>SUM(H19:H27)</f>
        <v>20433821.774226241</v>
      </c>
    </row>
    <row r="19" spans="1:8" x14ac:dyDescent="0.25">
      <c r="A19" s="264"/>
      <c r="B19" s="263" t="s">
        <v>278</v>
      </c>
      <c r="C19" s="265">
        <v>2348248.1320336713</v>
      </c>
      <c r="D19" s="265">
        <v>2168</v>
      </c>
      <c r="E19" s="262">
        <f>C19+D19</f>
        <v>2350416.1320336713</v>
      </c>
      <c r="F19" s="265">
        <v>411455.08</v>
      </c>
      <c r="G19" s="265">
        <v>393356.91000000009</v>
      </c>
      <c r="H19" s="261">
        <f>+E19-F19</f>
        <v>1938961.0520336712</v>
      </c>
    </row>
    <row r="20" spans="1:8" x14ac:dyDescent="0.25">
      <c r="A20" s="264"/>
      <c r="B20" s="263" t="s">
        <v>277</v>
      </c>
      <c r="C20" s="265">
        <v>495539.67176440824</v>
      </c>
      <c r="D20" s="265">
        <v>5740</v>
      </c>
      <c r="E20" s="262">
        <f>C20+D20</f>
        <v>501279.67176440824</v>
      </c>
      <c r="F20" s="265">
        <v>254742.19</v>
      </c>
      <c r="G20" s="265">
        <v>222090.21000000002</v>
      </c>
      <c r="H20" s="261">
        <f>+E20-F20</f>
        <v>246537.48176440824</v>
      </c>
    </row>
    <row r="21" spans="1:8" x14ac:dyDescent="0.25">
      <c r="A21" s="264"/>
      <c r="B21" s="263" t="s">
        <v>276</v>
      </c>
      <c r="C21" s="265">
        <v>6451276.4820699999</v>
      </c>
      <c r="D21" s="265">
        <v>1093360.78</v>
      </c>
      <c r="E21" s="262">
        <f>C21+D21</f>
        <v>7544637.2620700002</v>
      </c>
      <c r="F21" s="265">
        <v>2755927.5799999996</v>
      </c>
      <c r="G21" s="265">
        <v>2332408.8199999998</v>
      </c>
      <c r="H21" s="261">
        <f>+E21-F21</f>
        <v>4788709.6820700001</v>
      </c>
    </row>
    <row r="22" spans="1:8" x14ac:dyDescent="0.25">
      <c r="A22" s="264"/>
      <c r="B22" s="263" t="s">
        <v>275</v>
      </c>
      <c r="C22" s="265">
        <v>647543.79660407268</v>
      </c>
      <c r="D22" s="265">
        <v>-20036</v>
      </c>
      <c r="E22" s="262">
        <f>C22+D22</f>
        <v>627507.79660407268</v>
      </c>
      <c r="F22" s="265">
        <v>201232.05</v>
      </c>
      <c r="G22" s="265">
        <v>197788.09</v>
      </c>
      <c r="H22" s="261">
        <f>+E22-F22</f>
        <v>426275.74660407269</v>
      </c>
    </row>
    <row r="23" spans="1:8" x14ac:dyDescent="0.25">
      <c r="A23" s="264"/>
      <c r="B23" s="263" t="s">
        <v>274</v>
      </c>
      <c r="C23" s="265">
        <v>7668652.7501789946</v>
      </c>
      <c r="D23" s="265">
        <v>-255830</v>
      </c>
      <c r="E23" s="262">
        <f>C23+D23</f>
        <v>7412822.7501789946</v>
      </c>
      <c r="F23" s="265">
        <v>136254.62</v>
      </c>
      <c r="G23" s="265">
        <v>43858.299999999996</v>
      </c>
      <c r="H23" s="261">
        <f>+E23-F23</f>
        <v>7276568.1301789945</v>
      </c>
    </row>
    <row r="24" spans="1:8" x14ac:dyDescent="0.25">
      <c r="A24" s="264"/>
      <c r="B24" s="263" t="s">
        <v>273</v>
      </c>
      <c r="C24" s="265">
        <v>7323123.8132909173</v>
      </c>
      <c r="D24" s="265">
        <v>55239.22</v>
      </c>
      <c r="E24" s="262">
        <f>C24+D24</f>
        <v>7378363.0332909171</v>
      </c>
      <c r="F24" s="265">
        <v>5115976.4499999993</v>
      </c>
      <c r="G24" s="265">
        <v>4509472.97</v>
      </c>
      <c r="H24" s="261">
        <f>+E24-F24</f>
        <v>2262386.5832909178</v>
      </c>
    </row>
    <row r="25" spans="1:8" x14ac:dyDescent="0.25">
      <c r="A25" s="264"/>
      <c r="B25" s="263" t="s">
        <v>272</v>
      </c>
      <c r="C25" s="265">
        <v>2068168.613606584</v>
      </c>
      <c r="D25" s="265">
        <v>468373.76000000001</v>
      </c>
      <c r="E25" s="262">
        <f>C25+D25</f>
        <v>2536542.373606584</v>
      </c>
      <c r="F25" s="265">
        <v>169268.18</v>
      </c>
      <c r="G25" s="265">
        <v>159318.45000000001</v>
      </c>
      <c r="H25" s="261">
        <f>+E25-F25</f>
        <v>2367274.1936065839</v>
      </c>
    </row>
    <row r="26" spans="1:8" x14ac:dyDescent="0.25">
      <c r="A26" s="264"/>
      <c r="B26" s="263" t="s">
        <v>271</v>
      </c>
      <c r="C26" s="265"/>
      <c r="D26" s="265"/>
      <c r="E26" s="262">
        <f>C26+D26</f>
        <v>0</v>
      </c>
      <c r="F26" s="265"/>
      <c r="G26" s="265"/>
      <c r="H26" s="261">
        <f>+E26-F26</f>
        <v>0</v>
      </c>
    </row>
    <row r="27" spans="1:8" x14ac:dyDescent="0.25">
      <c r="A27" s="264"/>
      <c r="B27" s="263" t="s">
        <v>270</v>
      </c>
      <c r="C27" s="265">
        <v>2387835.9546775939</v>
      </c>
      <c r="D27" s="265">
        <v>203444.93000000011</v>
      </c>
      <c r="E27" s="262">
        <f>C27+D27</f>
        <v>2591280.8846775941</v>
      </c>
      <c r="F27" s="265">
        <v>1464171.98</v>
      </c>
      <c r="G27" s="265">
        <v>1283014.92</v>
      </c>
      <c r="H27" s="261">
        <f>+E27-F27</f>
        <v>1127108.9046775941</v>
      </c>
    </row>
    <row r="28" spans="1:8" x14ac:dyDescent="0.25">
      <c r="A28" s="267" t="s">
        <v>269</v>
      </c>
      <c r="B28" s="266"/>
      <c r="C28" s="262">
        <f>SUM(C29:C37)</f>
        <v>174368088.12890899</v>
      </c>
      <c r="D28" s="262">
        <f>SUM(D29:D37)</f>
        <v>2153984.0200000014</v>
      </c>
      <c r="E28" s="262">
        <f>SUM(E29:E37)</f>
        <v>176522072.148909</v>
      </c>
      <c r="F28" s="262">
        <f>SUM(F29:F37)</f>
        <v>100645816.71000001</v>
      </c>
      <c r="G28" s="262">
        <f>SUM(G29:G37)</f>
        <v>83775530.129999995</v>
      </c>
      <c r="H28" s="262">
        <f>SUM(H29:H37)</f>
        <v>75876255.438908964</v>
      </c>
    </row>
    <row r="29" spans="1:8" x14ac:dyDescent="0.25">
      <c r="A29" s="264"/>
      <c r="B29" s="263" t="s">
        <v>268</v>
      </c>
      <c r="C29" s="265">
        <v>111236399.01198274</v>
      </c>
      <c r="D29" s="265">
        <v>-17610894.690000001</v>
      </c>
      <c r="E29" s="262">
        <f>C29+D29</f>
        <v>93625504.321982741</v>
      </c>
      <c r="F29" s="265">
        <v>57331769.040000007</v>
      </c>
      <c r="G29" s="265">
        <v>52538862.719999999</v>
      </c>
      <c r="H29" s="261">
        <f>+E29-F29</f>
        <v>36293735.281982735</v>
      </c>
    </row>
    <row r="30" spans="1:8" x14ac:dyDescent="0.25">
      <c r="A30" s="264"/>
      <c r="B30" s="263" t="s">
        <v>267</v>
      </c>
      <c r="C30" s="265">
        <v>5424645.4848321658</v>
      </c>
      <c r="D30" s="265">
        <v>1031376.01</v>
      </c>
      <c r="E30" s="262">
        <f>C30+D30</f>
        <v>6456021.4948321655</v>
      </c>
      <c r="F30" s="265">
        <v>3432337.64</v>
      </c>
      <c r="G30" s="265">
        <v>2544829.2900000005</v>
      </c>
      <c r="H30" s="261">
        <f>+E30-F30</f>
        <v>3023683.8548321654</v>
      </c>
    </row>
    <row r="31" spans="1:8" x14ac:dyDescent="0.25">
      <c r="A31" s="264"/>
      <c r="B31" s="263" t="s">
        <v>266</v>
      </c>
      <c r="C31" s="265">
        <v>15544134.88463385</v>
      </c>
      <c r="D31" s="265">
        <v>-1363903.07</v>
      </c>
      <c r="E31" s="262">
        <f>C31+D31</f>
        <v>14180231.81463385</v>
      </c>
      <c r="F31" s="265">
        <v>4862880.4800000004</v>
      </c>
      <c r="G31" s="265">
        <v>2516852.0699999998</v>
      </c>
      <c r="H31" s="261">
        <f>+E31-F31</f>
        <v>9317351.3346338496</v>
      </c>
    </row>
    <row r="32" spans="1:8" x14ac:dyDescent="0.25">
      <c r="A32" s="264"/>
      <c r="B32" s="263" t="s">
        <v>265</v>
      </c>
      <c r="C32" s="265">
        <v>17119181.076834731</v>
      </c>
      <c r="D32" s="265">
        <v>1284606.23</v>
      </c>
      <c r="E32" s="262">
        <f>C32+D32</f>
        <v>18403787.306834731</v>
      </c>
      <c r="F32" s="265">
        <v>5520120.2199999997</v>
      </c>
      <c r="G32" s="265">
        <v>4768723.1499999994</v>
      </c>
      <c r="H32" s="261">
        <f>+E32-F32</f>
        <v>12883667.086834732</v>
      </c>
    </row>
    <row r="33" spans="1:8" x14ac:dyDescent="0.25">
      <c r="A33" s="264"/>
      <c r="B33" s="263" t="s">
        <v>264</v>
      </c>
      <c r="C33" s="265">
        <v>8212615.9761829665</v>
      </c>
      <c r="D33" s="265">
        <v>1799304</v>
      </c>
      <c r="E33" s="262">
        <f>C33+D33</f>
        <v>10011919.976182967</v>
      </c>
      <c r="F33" s="265">
        <v>4215194.9400000004</v>
      </c>
      <c r="G33" s="265">
        <v>3421631.6899999995</v>
      </c>
      <c r="H33" s="261">
        <f>+E33-F33</f>
        <v>5796725.036182967</v>
      </c>
    </row>
    <row r="34" spans="1:8" x14ac:dyDescent="0.25">
      <c r="A34" s="264"/>
      <c r="B34" s="263" t="s">
        <v>263</v>
      </c>
      <c r="C34" s="265">
        <v>1384669.3778340495</v>
      </c>
      <c r="D34" s="265">
        <v>158000</v>
      </c>
      <c r="E34" s="262">
        <f>C34+D34</f>
        <v>1542669.3778340495</v>
      </c>
      <c r="F34" s="265">
        <v>595080</v>
      </c>
      <c r="G34" s="265">
        <v>265640</v>
      </c>
      <c r="H34" s="261">
        <f>+E34-F34</f>
        <v>947589.37783404952</v>
      </c>
    </row>
    <row r="35" spans="1:8" x14ac:dyDescent="0.25">
      <c r="A35" s="264"/>
      <c r="B35" s="263" t="s">
        <v>262</v>
      </c>
      <c r="C35" s="265">
        <v>3092396.6332266806</v>
      </c>
      <c r="D35" s="265">
        <v>78841</v>
      </c>
      <c r="E35" s="262">
        <f>C35+D35</f>
        <v>3171237.6332266806</v>
      </c>
      <c r="F35" s="265">
        <v>1017426.78</v>
      </c>
      <c r="G35" s="265">
        <v>1018426.78</v>
      </c>
      <c r="H35" s="261">
        <f>+E35-F35</f>
        <v>2153810.8532266803</v>
      </c>
    </row>
    <row r="36" spans="1:8" x14ac:dyDescent="0.25">
      <c r="A36" s="264"/>
      <c r="B36" s="263" t="s">
        <v>261</v>
      </c>
      <c r="C36" s="265">
        <v>182017.4938</v>
      </c>
      <c r="D36" s="265">
        <v>9860</v>
      </c>
      <c r="E36" s="262">
        <f>C36+D36</f>
        <v>191877.4938</v>
      </c>
      <c r="F36" s="265">
        <v>9860</v>
      </c>
      <c r="G36" s="265">
        <v>9860</v>
      </c>
      <c r="H36" s="261">
        <f>+E36-F36</f>
        <v>182017.4938</v>
      </c>
    </row>
    <row r="37" spans="1:8" ht="15.75" thickBot="1" x14ac:dyDescent="0.3">
      <c r="A37" s="257"/>
      <c r="B37" s="256" t="s">
        <v>260</v>
      </c>
      <c r="C37" s="269">
        <v>12172028.189581791</v>
      </c>
      <c r="D37" s="269">
        <v>16766794.540000001</v>
      </c>
      <c r="E37" s="270">
        <f>C37+D37</f>
        <v>28938822.729581792</v>
      </c>
      <c r="F37" s="269">
        <v>23661147.609999999</v>
      </c>
      <c r="G37" s="269">
        <v>16690704.43</v>
      </c>
      <c r="H37" s="268">
        <f>+E37-F37</f>
        <v>5277675.1195817925</v>
      </c>
    </row>
    <row r="38" spans="1:8" x14ac:dyDescent="0.25">
      <c r="A38" s="267" t="s">
        <v>259</v>
      </c>
      <c r="B38" s="266"/>
      <c r="C38" s="262">
        <f>SUM(C39:C47)</f>
        <v>0</v>
      </c>
      <c r="D38" s="262">
        <f>SUM(D39:D47)</f>
        <v>2162000</v>
      </c>
      <c r="E38" s="262">
        <f>SUM(E39:E47)</f>
        <v>2162000</v>
      </c>
      <c r="F38" s="262">
        <f>SUM(F39:F47)</f>
        <v>2161999.6800000002</v>
      </c>
      <c r="G38" s="262">
        <f>SUM(G39:G47)</f>
        <v>2161999.6800000002</v>
      </c>
      <c r="H38" s="262">
        <f>SUM(H39:H47)</f>
        <v>0.31999999983236194</v>
      </c>
    </row>
    <row r="39" spans="1:8" x14ac:dyDescent="0.25">
      <c r="A39" s="264"/>
      <c r="B39" s="263" t="s">
        <v>258</v>
      </c>
      <c r="C39" s="265"/>
      <c r="D39" s="265"/>
      <c r="E39" s="262">
        <f>C39+D39</f>
        <v>0</v>
      </c>
      <c r="F39" s="265"/>
      <c r="G39" s="265"/>
      <c r="H39" s="261">
        <f>+E39-F39</f>
        <v>0</v>
      </c>
    </row>
    <row r="40" spans="1:8" x14ac:dyDescent="0.25">
      <c r="A40" s="264"/>
      <c r="B40" s="263" t="s">
        <v>257</v>
      </c>
      <c r="C40" s="265">
        <v>0</v>
      </c>
      <c r="D40" s="265">
        <v>2162000</v>
      </c>
      <c r="E40" s="262">
        <f>C40+D40</f>
        <v>2162000</v>
      </c>
      <c r="F40" s="265">
        <v>2161999.6800000002</v>
      </c>
      <c r="G40" s="265">
        <v>2161999.6800000002</v>
      </c>
      <c r="H40" s="261">
        <f>+E40-F40</f>
        <v>0.31999999983236194</v>
      </c>
    </row>
    <row r="41" spans="1:8" x14ac:dyDescent="0.25">
      <c r="A41" s="264"/>
      <c r="B41" s="263" t="s">
        <v>256</v>
      </c>
      <c r="C41" s="265"/>
      <c r="D41" s="265"/>
      <c r="E41" s="262">
        <f>C41+D41</f>
        <v>0</v>
      </c>
      <c r="F41" s="265"/>
      <c r="G41" s="265"/>
      <c r="H41" s="261">
        <f>+E41-F41</f>
        <v>0</v>
      </c>
    </row>
    <row r="42" spans="1:8" x14ac:dyDescent="0.25">
      <c r="A42" s="264"/>
      <c r="B42" s="263" t="s">
        <v>255</v>
      </c>
      <c r="C42" s="265"/>
      <c r="D42" s="265"/>
      <c r="E42" s="262">
        <f>C42+D42</f>
        <v>0</v>
      </c>
      <c r="F42" s="265"/>
      <c r="G42" s="265"/>
      <c r="H42" s="261">
        <f>+E42-F42</f>
        <v>0</v>
      </c>
    </row>
    <row r="43" spans="1:8" x14ac:dyDescent="0.25">
      <c r="A43" s="264"/>
      <c r="B43" s="263" t="s">
        <v>254</v>
      </c>
      <c r="C43" s="265"/>
      <c r="D43" s="265"/>
      <c r="E43" s="262">
        <f>C43+D43</f>
        <v>0</v>
      </c>
      <c r="F43" s="265"/>
      <c r="G43" s="265"/>
      <c r="H43" s="261">
        <f>+E43-F43</f>
        <v>0</v>
      </c>
    </row>
    <row r="44" spans="1:8" x14ac:dyDescent="0.25">
      <c r="A44" s="264"/>
      <c r="B44" s="263" t="s">
        <v>253</v>
      </c>
      <c r="C44" s="265"/>
      <c r="D44" s="265"/>
      <c r="E44" s="262">
        <f>C44+D44</f>
        <v>0</v>
      </c>
      <c r="F44" s="265"/>
      <c r="G44" s="265"/>
      <c r="H44" s="261">
        <f>+E44-F44</f>
        <v>0</v>
      </c>
    </row>
    <row r="45" spans="1:8" x14ac:dyDescent="0.25">
      <c r="A45" s="264"/>
      <c r="B45" s="263" t="s">
        <v>252</v>
      </c>
      <c r="C45" s="265"/>
      <c r="D45" s="265"/>
      <c r="E45" s="262">
        <f>C45+D45</f>
        <v>0</v>
      </c>
      <c r="F45" s="265"/>
      <c r="G45" s="265"/>
      <c r="H45" s="261">
        <f>+E45-F45</f>
        <v>0</v>
      </c>
    </row>
    <row r="46" spans="1:8" x14ac:dyDescent="0.25">
      <c r="A46" s="264"/>
      <c r="B46" s="263" t="s">
        <v>251</v>
      </c>
      <c r="C46" s="265"/>
      <c r="D46" s="265"/>
      <c r="E46" s="262">
        <f>C46+D46</f>
        <v>0</v>
      </c>
      <c r="F46" s="265"/>
      <c r="G46" s="265"/>
      <c r="H46" s="261">
        <f>+E46-F46</f>
        <v>0</v>
      </c>
    </row>
    <row r="47" spans="1:8" x14ac:dyDescent="0.25">
      <c r="A47" s="264"/>
      <c r="B47" s="263" t="s">
        <v>250</v>
      </c>
      <c r="C47" s="265"/>
      <c r="D47" s="265"/>
      <c r="E47" s="262">
        <f>C47+D47</f>
        <v>0</v>
      </c>
      <c r="F47" s="265"/>
      <c r="G47" s="265"/>
      <c r="H47" s="261">
        <f>+E47-F47</f>
        <v>0</v>
      </c>
    </row>
    <row r="48" spans="1:8" x14ac:dyDescent="0.25">
      <c r="A48" s="267" t="s">
        <v>249</v>
      </c>
      <c r="B48" s="266"/>
      <c r="C48" s="262">
        <f>SUM(C49:C57)</f>
        <v>0</v>
      </c>
      <c r="D48" s="262">
        <f>SUM(D49:D57)</f>
        <v>648631.28</v>
      </c>
      <c r="E48" s="262">
        <f>SUM(E49:E57)</f>
        <v>648631.28</v>
      </c>
      <c r="F48" s="262">
        <f>SUM(F49:F57)</f>
        <v>645400.71</v>
      </c>
      <c r="G48" s="262">
        <f>SUM(G49:G57)</f>
        <v>535389.81999999995</v>
      </c>
      <c r="H48" s="262">
        <f>SUM(H49:H57)</f>
        <v>3230.5699999999779</v>
      </c>
    </row>
    <row r="49" spans="1:8" x14ac:dyDescent="0.25">
      <c r="A49" s="264"/>
      <c r="B49" s="263" t="s">
        <v>248</v>
      </c>
      <c r="C49" s="265">
        <v>0</v>
      </c>
      <c r="D49" s="265"/>
      <c r="E49" s="262">
        <f>C49+D49</f>
        <v>0</v>
      </c>
      <c r="F49" s="265"/>
      <c r="G49" s="265"/>
      <c r="H49" s="261">
        <f>+E49-F49</f>
        <v>0</v>
      </c>
    </row>
    <row r="50" spans="1:8" x14ac:dyDescent="0.25">
      <c r="A50" s="264"/>
      <c r="B50" s="263" t="s">
        <v>247</v>
      </c>
      <c r="C50" s="265">
        <v>0</v>
      </c>
      <c r="D50" s="265"/>
      <c r="E50" s="262">
        <f>C50+D50</f>
        <v>0</v>
      </c>
      <c r="F50" s="265"/>
      <c r="G50" s="265"/>
      <c r="H50" s="261">
        <f>+E50-F50</f>
        <v>0</v>
      </c>
    </row>
    <row r="51" spans="1:8" x14ac:dyDescent="0.25">
      <c r="A51" s="264"/>
      <c r="B51" s="263" t="s">
        <v>246</v>
      </c>
      <c r="C51" s="265"/>
      <c r="D51" s="265"/>
      <c r="E51" s="262">
        <f>C51+D51</f>
        <v>0</v>
      </c>
      <c r="F51" s="265"/>
      <c r="G51" s="265"/>
      <c r="H51" s="261">
        <f>+E51-F51</f>
        <v>0</v>
      </c>
    </row>
    <row r="52" spans="1:8" x14ac:dyDescent="0.25">
      <c r="A52" s="264"/>
      <c r="B52" s="263" t="s">
        <v>245</v>
      </c>
      <c r="C52" s="265">
        <v>0</v>
      </c>
      <c r="D52" s="265">
        <v>241161.68</v>
      </c>
      <c r="E52" s="262">
        <f>C52+D52</f>
        <v>241161.68</v>
      </c>
      <c r="F52" s="265">
        <v>239585.33</v>
      </c>
      <c r="G52" s="265">
        <v>239585.33</v>
      </c>
      <c r="H52" s="261">
        <f>+E52-F52</f>
        <v>1576.3500000000058</v>
      </c>
    </row>
    <row r="53" spans="1:8" x14ac:dyDescent="0.25">
      <c r="A53" s="264"/>
      <c r="B53" s="263" t="s">
        <v>244</v>
      </c>
      <c r="C53" s="265"/>
      <c r="D53" s="265"/>
      <c r="E53" s="262">
        <f>C53+D53</f>
        <v>0</v>
      </c>
      <c r="F53" s="265"/>
      <c r="G53" s="265"/>
      <c r="H53" s="261">
        <f>+E53-F53</f>
        <v>0</v>
      </c>
    </row>
    <row r="54" spans="1:8" x14ac:dyDescent="0.25">
      <c r="A54" s="264"/>
      <c r="B54" s="263" t="s">
        <v>243</v>
      </c>
      <c r="C54" s="265">
        <v>0</v>
      </c>
      <c r="D54" s="265">
        <v>407469.6</v>
      </c>
      <c r="E54" s="262">
        <f>C54+D54</f>
        <v>407469.6</v>
      </c>
      <c r="F54" s="265">
        <v>405815.38</v>
      </c>
      <c r="G54" s="265">
        <v>295804.49</v>
      </c>
      <c r="H54" s="261">
        <f>+E54-F54</f>
        <v>1654.2199999999721</v>
      </c>
    </row>
    <row r="55" spans="1:8" x14ac:dyDescent="0.25">
      <c r="A55" s="264"/>
      <c r="B55" s="263" t="s">
        <v>242</v>
      </c>
      <c r="C55" s="265"/>
      <c r="D55" s="265"/>
      <c r="E55" s="262">
        <f>C55+D55</f>
        <v>0</v>
      </c>
      <c r="F55" s="265"/>
      <c r="G55" s="265"/>
      <c r="H55" s="261">
        <f>+E55-F55</f>
        <v>0</v>
      </c>
    </row>
    <row r="56" spans="1:8" x14ac:dyDescent="0.25">
      <c r="A56" s="264"/>
      <c r="B56" s="263" t="s">
        <v>241</v>
      </c>
      <c r="C56" s="265"/>
      <c r="D56" s="265"/>
      <c r="E56" s="262">
        <f>C56+D56</f>
        <v>0</v>
      </c>
      <c r="F56" s="265"/>
      <c r="G56" s="265"/>
      <c r="H56" s="261">
        <f>+E56-F56</f>
        <v>0</v>
      </c>
    </row>
    <row r="57" spans="1:8" x14ac:dyDescent="0.25">
      <c r="A57" s="264"/>
      <c r="B57" s="263" t="s">
        <v>240</v>
      </c>
      <c r="C57" s="265"/>
      <c r="D57" s="265"/>
      <c r="E57" s="262">
        <f>C57+D57</f>
        <v>0</v>
      </c>
      <c r="F57" s="265"/>
      <c r="G57" s="265"/>
      <c r="H57" s="261">
        <f>+E57-F57</f>
        <v>0</v>
      </c>
    </row>
    <row r="58" spans="1:8" x14ac:dyDescent="0.25">
      <c r="A58" s="267" t="s">
        <v>239</v>
      </c>
      <c r="B58" s="266"/>
      <c r="C58" s="262">
        <f>SUM(C59:C61)</f>
        <v>78479942</v>
      </c>
      <c r="D58" s="262">
        <f>SUM(D59:D61)</f>
        <v>0</v>
      </c>
      <c r="E58" s="262">
        <f>SUM(E59:E61)</f>
        <v>78479942</v>
      </c>
      <c r="F58" s="262">
        <f>SUM(F59:F61)</f>
        <v>1978523.84</v>
      </c>
      <c r="G58" s="262">
        <f>SUM(G59:G61)</f>
        <v>1978523.84</v>
      </c>
      <c r="H58" s="262">
        <f>SUM(H59:H61)</f>
        <v>76501418.159999996</v>
      </c>
    </row>
    <row r="59" spans="1:8" x14ac:dyDescent="0.25">
      <c r="A59" s="264"/>
      <c r="B59" s="263" t="s">
        <v>238</v>
      </c>
      <c r="C59" s="265">
        <v>78479942</v>
      </c>
      <c r="D59" s="265">
        <v>0</v>
      </c>
      <c r="E59" s="262">
        <f>C59+D59</f>
        <v>78479942</v>
      </c>
      <c r="F59" s="265">
        <v>1978523.84</v>
      </c>
      <c r="G59" s="265">
        <v>1978523.84</v>
      </c>
      <c r="H59" s="261">
        <f>+E59-F59</f>
        <v>76501418.159999996</v>
      </c>
    </row>
    <row r="60" spans="1:8" x14ac:dyDescent="0.25">
      <c r="A60" s="264"/>
      <c r="B60" s="263" t="s">
        <v>237</v>
      </c>
      <c r="C60" s="265"/>
      <c r="D60" s="265"/>
      <c r="E60" s="262">
        <f>C60+D60</f>
        <v>0</v>
      </c>
      <c r="F60" s="265"/>
      <c r="G60" s="265"/>
      <c r="H60" s="261">
        <f>+E60-F60</f>
        <v>0</v>
      </c>
    </row>
    <row r="61" spans="1:8" x14ac:dyDescent="0.25">
      <c r="A61" s="264"/>
      <c r="B61" s="263" t="s">
        <v>236</v>
      </c>
      <c r="C61" s="265"/>
      <c r="D61" s="265"/>
      <c r="E61" s="262">
        <f>C61+D61</f>
        <v>0</v>
      </c>
      <c r="F61" s="265"/>
      <c r="G61" s="265"/>
      <c r="H61" s="261">
        <f>+E61-F61</f>
        <v>0</v>
      </c>
    </row>
    <row r="62" spans="1:8" x14ac:dyDescent="0.25">
      <c r="A62" s="267" t="s">
        <v>235</v>
      </c>
      <c r="B62" s="266"/>
      <c r="C62" s="262">
        <f>SUM(C63:C70)</f>
        <v>48432617</v>
      </c>
      <c r="D62" s="262">
        <f>SUM(D63:D70)</f>
        <v>0</v>
      </c>
      <c r="E62" s="262">
        <f>SUM(E63:E70)</f>
        <v>48432617</v>
      </c>
      <c r="F62" s="262">
        <f>SUM(F63:F70)</f>
        <v>0</v>
      </c>
      <c r="G62" s="262">
        <f>SUM(G63:G70)</f>
        <v>0</v>
      </c>
      <c r="H62" s="262">
        <f>SUM(H63:H70)</f>
        <v>48432617</v>
      </c>
    </row>
    <row r="63" spans="1:8" x14ac:dyDescent="0.25">
      <c r="A63" s="264"/>
      <c r="B63" s="263" t="s">
        <v>234</v>
      </c>
      <c r="C63" s="265"/>
      <c r="D63" s="265"/>
      <c r="E63" s="262">
        <f>C63+D63</f>
        <v>0</v>
      </c>
      <c r="F63" s="265"/>
      <c r="G63" s="265"/>
      <c r="H63" s="261">
        <f>+E63-F63</f>
        <v>0</v>
      </c>
    </row>
    <row r="64" spans="1:8" x14ac:dyDescent="0.25">
      <c r="A64" s="264"/>
      <c r="B64" s="263" t="s">
        <v>233</v>
      </c>
      <c r="C64" s="265"/>
      <c r="D64" s="265"/>
      <c r="E64" s="262">
        <f>C64+D64</f>
        <v>0</v>
      </c>
      <c r="F64" s="265"/>
      <c r="G64" s="265"/>
      <c r="H64" s="261">
        <f>+E64-F64</f>
        <v>0</v>
      </c>
    </row>
    <row r="65" spans="1:8" x14ac:dyDescent="0.25">
      <c r="A65" s="264"/>
      <c r="B65" s="263" t="s">
        <v>232</v>
      </c>
      <c r="C65" s="265"/>
      <c r="D65" s="265"/>
      <c r="E65" s="262">
        <f>C65+D65</f>
        <v>0</v>
      </c>
      <c r="F65" s="265"/>
      <c r="G65" s="265"/>
      <c r="H65" s="261">
        <f>+E65-F65</f>
        <v>0</v>
      </c>
    </row>
    <row r="66" spans="1:8" x14ac:dyDescent="0.25">
      <c r="A66" s="264"/>
      <c r="B66" s="263" t="s">
        <v>231</v>
      </c>
      <c r="C66" s="265"/>
      <c r="D66" s="265"/>
      <c r="E66" s="262">
        <f>C66+D66</f>
        <v>0</v>
      </c>
      <c r="F66" s="265"/>
      <c r="G66" s="265"/>
      <c r="H66" s="261">
        <f>+E66-F66</f>
        <v>0</v>
      </c>
    </row>
    <row r="67" spans="1:8" x14ac:dyDescent="0.25">
      <c r="A67" s="264"/>
      <c r="B67" s="263" t="s">
        <v>230</v>
      </c>
      <c r="C67" s="265"/>
      <c r="D67" s="265"/>
      <c r="E67" s="262">
        <f>C67+D67</f>
        <v>0</v>
      </c>
      <c r="F67" s="265"/>
      <c r="G67" s="265"/>
      <c r="H67" s="261">
        <f>+E67-F67</f>
        <v>0</v>
      </c>
    </row>
    <row r="68" spans="1:8" x14ac:dyDescent="0.25">
      <c r="A68" s="264"/>
      <c r="B68" s="263" t="s">
        <v>229</v>
      </c>
      <c r="C68" s="265"/>
      <c r="D68" s="265"/>
      <c r="E68" s="262">
        <f>C68+D68</f>
        <v>0</v>
      </c>
      <c r="F68" s="265"/>
      <c r="G68" s="265"/>
      <c r="H68" s="261">
        <f>+E68-F68</f>
        <v>0</v>
      </c>
    </row>
    <row r="69" spans="1:8" x14ac:dyDescent="0.25">
      <c r="A69" s="264"/>
      <c r="B69" s="263" t="s">
        <v>228</v>
      </c>
      <c r="C69" s="265"/>
      <c r="D69" s="265"/>
      <c r="E69" s="262">
        <f>C69+D69</f>
        <v>0</v>
      </c>
      <c r="F69" s="265"/>
      <c r="G69" s="265"/>
      <c r="H69" s="261">
        <f>+E69-F69</f>
        <v>0</v>
      </c>
    </row>
    <row r="70" spans="1:8" x14ac:dyDescent="0.25">
      <c r="A70" s="264"/>
      <c r="B70" s="263" t="s">
        <v>227</v>
      </c>
      <c r="C70" s="265">
        <v>48432617</v>
      </c>
      <c r="D70" s="265">
        <v>0</v>
      </c>
      <c r="E70" s="262">
        <f>C70+D70</f>
        <v>48432617</v>
      </c>
      <c r="F70" s="265">
        <v>0</v>
      </c>
      <c r="G70" s="265">
        <v>0</v>
      </c>
      <c r="H70" s="261">
        <f>+E70-F70</f>
        <v>48432617</v>
      </c>
    </row>
    <row r="71" spans="1:8" x14ac:dyDescent="0.25">
      <c r="A71" s="267" t="s">
        <v>226</v>
      </c>
      <c r="B71" s="266"/>
      <c r="C71" s="262">
        <f>SUM(C72:C74)</f>
        <v>0</v>
      </c>
      <c r="D71" s="262">
        <f>SUM(D72:D74)</f>
        <v>0</v>
      </c>
      <c r="E71" s="262">
        <f>SUM(E72:E74)</f>
        <v>0</v>
      </c>
      <c r="F71" s="262">
        <f>SUM(F72:F74)</f>
        <v>0</v>
      </c>
      <c r="G71" s="262">
        <f>SUM(G72:G74)</f>
        <v>0</v>
      </c>
      <c r="H71" s="262">
        <f>SUM(H72:H74)</f>
        <v>0</v>
      </c>
    </row>
    <row r="72" spans="1:8" ht="15.75" thickBot="1" x14ac:dyDescent="0.3">
      <c r="A72" s="257"/>
      <c r="B72" s="256" t="s">
        <v>225</v>
      </c>
      <c r="C72" s="269"/>
      <c r="D72" s="269"/>
      <c r="E72" s="270">
        <f>C72+D72</f>
        <v>0</v>
      </c>
      <c r="F72" s="269"/>
      <c r="G72" s="269"/>
      <c r="H72" s="268">
        <f>+E72-F72</f>
        <v>0</v>
      </c>
    </row>
    <row r="73" spans="1:8" x14ac:dyDescent="0.25">
      <c r="A73" s="264"/>
      <c r="B73" s="263" t="s">
        <v>224</v>
      </c>
      <c r="C73" s="265"/>
      <c r="D73" s="265"/>
      <c r="E73" s="262">
        <f>C73+D73</f>
        <v>0</v>
      </c>
      <c r="F73" s="265"/>
      <c r="G73" s="265"/>
      <c r="H73" s="261">
        <f>+E73-F73</f>
        <v>0</v>
      </c>
    </row>
    <row r="74" spans="1:8" x14ac:dyDescent="0.25">
      <c r="A74" s="264"/>
      <c r="B74" s="263" t="s">
        <v>223</v>
      </c>
      <c r="C74" s="265"/>
      <c r="D74" s="265"/>
      <c r="E74" s="262">
        <f>C74+D74</f>
        <v>0</v>
      </c>
      <c r="F74" s="265"/>
      <c r="G74" s="265"/>
      <c r="H74" s="261">
        <f>+E74-F74</f>
        <v>0</v>
      </c>
    </row>
    <row r="75" spans="1:8" x14ac:dyDescent="0.25">
      <c r="A75" s="267" t="s">
        <v>222</v>
      </c>
      <c r="B75" s="266"/>
      <c r="C75" s="262">
        <f>SUM(C76:C82)</f>
        <v>0</v>
      </c>
      <c r="D75" s="262">
        <f>SUM(D76:D82)</f>
        <v>66935836.119999997</v>
      </c>
      <c r="E75" s="262">
        <f>SUM(E76:E82)</f>
        <v>66935836.119999997</v>
      </c>
      <c r="F75" s="262">
        <f>SUM(F76:F82)</f>
        <v>66926010.450000003</v>
      </c>
      <c r="G75" s="262">
        <f>SUM(G76:G82)</f>
        <v>65799451.600000009</v>
      </c>
      <c r="H75" s="262">
        <f>SUM(H76:H82)</f>
        <v>9825.6700000017881</v>
      </c>
    </row>
    <row r="76" spans="1:8" x14ac:dyDescent="0.25">
      <c r="A76" s="264"/>
      <c r="B76" s="263" t="s">
        <v>221</v>
      </c>
      <c r="C76" s="265">
        <v>0</v>
      </c>
      <c r="D76" s="265">
        <v>9813059.8099999987</v>
      </c>
      <c r="E76" s="262">
        <f>C76+D76</f>
        <v>9813059.8099999987</v>
      </c>
      <c r="F76" s="265">
        <v>9813059.8100000005</v>
      </c>
      <c r="G76" s="265">
        <v>9813059.8100000005</v>
      </c>
      <c r="H76" s="261">
        <f>+E76-F76</f>
        <v>0</v>
      </c>
    </row>
    <row r="77" spans="1:8" x14ac:dyDescent="0.25">
      <c r="A77" s="264"/>
      <c r="B77" s="263" t="s">
        <v>220</v>
      </c>
      <c r="C77" s="265">
        <v>0</v>
      </c>
      <c r="D77" s="265">
        <v>12363625.449999999</v>
      </c>
      <c r="E77" s="262">
        <f>C77+D77</f>
        <v>12363625.449999999</v>
      </c>
      <c r="F77" s="265">
        <v>12363625.450000001</v>
      </c>
      <c r="G77" s="265">
        <v>12363625.450000001</v>
      </c>
      <c r="H77" s="261">
        <f>+E77-F77</f>
        <v>0</v>
      </c>
    </row>
    <row r="78" spans="1:8" x14ac:dyDescent="0.25">
      <c r="A78" s="264"/>
      <c r="B78" s="263" t="s">
        <v>219</v>
      </c>
      <c r="C78" s="265"/>
      <c r="D78" s="265"/>
      <c r="E78" s="262">
        <f>C78+D78</f>
        <v>0</v>
      </c>
      <c r="F78" s="265"/>
      <c r="G78" s="265"/>
      <c r="H78" s="261">
        <f>+E78-F78</f>
        <v>0</v>
      </c>
    </row>
    <row r="79" spans="1:8" x14ac:dyDescent="0.25">
      <c r="A79" s="264"/>
      <c r="B79" s="263" t="s">
        <v>218</v>
      </c>
      <c r="C79" s="265"/>
      <c r="D79" s="265"/>
      <c r="E79" s="262">
        <f>C79+D79</f>
        <v>0</v>
      </c>
      <c r="F79" s="265"/>
      <c r="G79" s="265"/>
      <c r="H79" s="261">
        <f>+E79-F79</f>
        <v>0</v>
      </c>
    </row>
    <row r="80" spans="1:8" x14ac:dyDescent="0.25">
      <c r="A80" s="264"/>
      <c r="B80" s="263" t="s">
        <v>217</v>
      </c>
      <c r="C80" s="265"/>
      <c r="D80" s="265"/>
      <c r="E80" s="262">
        <f>C80+D80</f>
        <v>0</v>
      </c>
      <c r="F80" s="265"/>
      <c r="G80" s="265"/>
      <c r="H80" s="261">
        <f>+E80-F80</f>
        <v>0</v>
      </c>
    </row>
    <row r="81" spans="1:8" x14ac:dyDescent="0.25">
      <c r="A81" s="264"/>
      <c r="B81" s="263" t="s">
        <v>216</v>
      </c>
      <c r="C81" s="265"/>
      <c r="D81" s="265"/>
      <c r="E81" s="262">
        <f>C81+D81</f>
        <v>0</v>
      </c>
      <c r="F81" s="265"/>
      <c r="G81" s="265"/>
      <c r="H81" s="261">
        <f>+E81-F81</f>
        <v>0</v>
      </c>
    </row>
    <row r="82" spans="1:8" x14ac:dyDescent="0.25">
      <c r="A82" s="264"/>
      <c r="B82" s="263" t="s">
        <v>215</v>
      </c>
      <c r="C82" s="265">
        <v>0</v>
      </c>
      <c r="D82" s="265">
        <v>44759150.859999999</v>
      </c>
      <c r="E82" s="262">
        <f>C82+D82</f>
        <v>44759150.859999999</v>
      </c>
      <c r="F82" s="265">
        <v>44749325.189999998</v>
      </c>
      <c r="G82" s="265">
        <v>43622766.340000004</v>
      </c>
      <c r="H82" s="261">
        <f>+E82-F82</f>
        <v>9825.6700000017881</v>
      </c>
    </row>
    <row r="83" spans="1:8" x14ac:dyDescent="0.25">
      <c r="A83" s="260" t="s">
        <v>288</v>
      </c>
      <c r="B83" s="259"/>
      <c r="C83" s="258">
        <f>+C84+C92+C102+C112+C122+C132+C136+C145+C149</f>
        <v>88275234</v>
      </c>
      <c r="D83" s="258">
        <f>+D84+D92+D102+D112+D122+D132+D136+D145+D149</f>
        <v>43640495.189999998</v>
      </c>
      <c r="E83" s="258">
        <f>+E84+E92+E102+E112+E122+E132+E136+E145+E149</f>
        <v>131915729.19</v>
      </c>
      <c r="F83" s="258">
        <f>+F84+F92+F102+F112+F122+F132+F136+F145+F149</f>
        <v>8249083.8999999994</v>
      </c>
      <c r="G83" s="258">
        <f>+G84+G92+G102+G112+G122+G132+G136+G145+G149</f>
        <v>8249083.8999999994</v>
      </c>
      <c r="H83" s="258">
        <f>+H84+H92+H102+H112+H122+H132+H136+H145+H149</f>
        <v>123666645.28999999</v>
      </c>
    </row>
    <row r="84" spans="1:8" x14ac:dyDescent="0.25">
      <c r="A84" s="267" t="s">
        <v>287</v>
      </c>
      <c r="B84" s="266"/>
      <c r="C84" s="262">
        <f>SUM(C85:C91)</f>
        <v>0</v>
      </c>
      <c r="D84" s="262">
        <f>SUM(D85:D91)</f>
        <v>0</v>
      </c>
      <c r="E84" s="262">
        <f>SUM(E85:E91)</f>
        <v>0</v>
      </c>
      <c r="F84" s="262">
        <f>SUM(F85:F91)</f>
        <v>0</v>
      </c>
      <c r="G84" s="262">
        <f>SUM(G85:G91)</f>
        <v>0</v>
      </c>
      <c r="H84" s="262">
        <f>SUM(H85:H91)</f>
        <v>0</v>
      </c>
    </row>
    <row r="85" spans="1:8" x14ac:dyDescent="0.25">
      <c r="A85" s="264"/>
      <c r="B85" s="263" t="s">
        <v>286</v>
      </c>
      <c r="C85" s="265"/>
      <c r="D85" s="265"/>
      <c r="E85" s="262">
        <f>C85+D85</f>
        <v>0</v>
      </c>
      <c r="F85" s="265"/>
      <c r="G85" s="265"/>
      <c r="H85" s="261">
        <f>+E85-F85</f>
        <v>0</v>
      </c>
    </row>
    <row r="86" spans="1:8" x14ac:dyDescent="0.25">
      <c r="A86" s="264"/>
      <c r="B86" s="263" t="s">
        <v>285</v>
      </c>
      <c r="C86" s="265"/>
      <c r="D86" s="265"/>
      <c r="E86" s="262">
        <f>C86+D86</f>
        <v>0</v>
      </c>
      <c r="F86" s="265"/>
      <c r="G86" s="265"/>
      <c r="H86" s="261">
        <f>+E86-F86</f>
        <v>0</v>
      </c>
    </row>
    <row r="87" spans="1:8" x14ac:dyDescent="0.25">
      <c r="A87" s="264"/>
      <c r="B87" s="263" t="s">
        <v>284</v>
      </c>
      <c r="C87" s="265"/>
      <c r="D87" s="265"/>
      <c r="E87" s="262">
        <f>C87+D87</f>
        <v>0</v>
      </c>
      <c r="F87" s="265"/>
      <c r="G87" s="265"/>
      <c r="H87" s="261">
        <f>+E87-F87</f>
        <v>0</v>
      </c>
    </row>
    <row r="88" spans="1:8" x14ac:dyDescent="0.25">
      <c r="A88" s="264"/>
      <c r="B88" s="263" t="s">
        <v>283</v>
      </c>
      <c r="C88" s="265"/>
      <c r="D88" s="265"/>
      <c r="E88" s="262">
        <f>C88+D88</f>
        <v>0</v>
      </c>
      <c r="F88" s="265"/>
      <c r="G88" s="265"/>
      <c r="H88" s="261">
        <f>+E88-F88</f>
        <v>0</v>
      </c>
    </row>
    <row r="89" spans="1:8" x14ac:dyDescent="0.25">
      <c r="A89" s="264"/>
      <c r="B89" s="263" t="s">
        <v>282</v>
      </c>
      <c r="C89" s="265"/>
      <c r="D89" s="265"/>
      <c r="E89" s="262">
        <f>C89+D89</f>
        <v>0</v>
      </c>
      <c r="F89" s="265"/>
      <c r="G89" s="265"/>
      <c r="H89" s="261">
        <f>+E89-F89</f>
        <v>0</v>
      </c>
    </row>
    <row r="90" spans="1:8" x14ac:dyDescent="0.25">
      <c r="A90" s="264"/>
      <c r="B90" s="263" t="s">
        <v>281</v>
      </c>
      <c r="C90" s="265"/>
      <c r="D90" s="265"/>
      <c r="E90" s="262">
        <f>C90+D90</f>
        <v>0</v>
      </c>
      <c r="F90" s="265"/>
      <c r="G90" s="265"/>
      <c r="H90" s="261">
        <f>+E90-F90</f>
        <v>0</v>
      </c>
    </row>
    <row r="91" spans="1:8" x14ac:dyDescent="0.25">
      <c r="A91" s="264"/>
      <c r="B91" s="263" t="s">
        <v>280</v>
      </c>
      <c r="C91" s="265"/>
      <c r="D91" s="265"/>
      <c r="E91" s="262">
        <f>C91+D91</f>
        <v>0</v>
      </c>
      <c r="F91" s="265"/>
      <c r="G91" s="265"/>
      <c r="H91" s="261">
        <f>+E91-F91</f>
        <v>0</v>
      </c>
    </row>
    <row r="92" spans="1:8" x14ac:dyDescent="0.25">
      <c r="A92" s="267" t="s">
        <v>279</v>
      </c>
      <c r="B92" s="266"/>
      <c r="C92" s="262">
        <f>SUM(C93:C101)</f>
        <v>0</v>
      </c>
      <c r="D92" s="262">
        <f>SUM(D93:D101)</f>
        <v>0</v>
      </c>
      <c r="E92" s="262">
        <f>SUM(E93:E101)</f>
        <v>0</v>
      </c>
      <c r="F92" s="262">
        <f>SUM(F93:F101)</f>
        <v>0</v>
      </c>
      <c r="G92" s="262">
        <f>SUM(G93:G101)</f>
        <v>0</v>
      </c>
      <c r="H92" s="262">
        <f>SUM(H93:H101)</f>
        <v>0</v>
      </c>
    </row>
    <row r="93" spans="1:8" x14ac:dyDescent="0.25">
      <c r="A93" s="264"/>
      <c r="B93" s="263" t="s">
        <v>278</v>
      </c>
      <c r="C93" s="265"/>
      <c r="D93" s="265"/>
      <c r="E93" s="262">
        <f>C93+D93</f>
        <v>0</v>
      </c>
      <c r="F93" s="265"/>
      <c r="G93" s="265"/>
      <c r="H93" s="261">
        <f>+E93-F93</f>
        <v>0</v>
      </c>
    </row>
    <row r="94" spans="1:8" x14ac:dyDescent="0.25">
      <c r="A94" s="264"/>
      <c r="B94" s="263" t="s">
        <v>277</v>
      </c>
      <c r="C94" s="265"/>
      <c r="D94" s="265"/>
      <c r="E94" s="262">
        <f>C94+D94</f>
        <v>0</v>
      </c>
      <c r="F94" s="265"/>
      <c r="G94" s="265"/>
      <c r="H94" s="261">
        <f>+E94-F94</f>
        <v>0</v>
      </c>
    </row>
    <row r="95" spans="1:8" x14ac:dyDescent="0.25">
      <c r="A95" s="264"/>
      <c r="B95" s="263" t="s">
        <v>276</v>
      </c>
      <c r="C95" s="265"/>
      <c r="D95" s="265"/>
      <c r="E95" s="262">
        <f>C95+D95</f>
        <v>0</v>
      </c>
      <c r="F95" s="265"/>
      <c r="G95" s="265"/>
      <c r="H95" s="261">
        <f>+E95-F95</f>
        <v>0</v>
      </c>
    </row>
    <row r="96" spans="1:8" x14ac:dyDescent="0.25">
      <c r="A96" s="264"/>
      <c r="B96" s="263" t="s">
        <v>275</v>
      </c>
      <c r="C96" s="265"/>
      <c r="D96" s="265"/>
      <c r="E96" s="262">
        <f>C96+D96</f>
        <v>0</v>
      </c>
      <c r="F96" s="265"/>
      <c r="G96" s="265"/>
      <c r="H96" s="261">
        <f>+E96-F96</f>
        <v>0</v>
      </c>
    </row>
    <row r="97" spans="1:8" x14ac:dyDescent="0.25">
      <c r="A97" s="264"/>
      <c r="B97" s="263" t="s">
        <v>274</v>
      </c>
      <c r="C97" s="265"/>
      <c r="D97" s="265"/>
      <c r="E97" s="262">
        <f>C97+D97</f>
        <v>0</v>
      </c>
      <c r="F97" s="265"/>
      <c r="G97" s="265"/>
      <c r="H97" s="261">
        <f>+E97-F97</f>
        <v>0</v>
      </c>
    </row>
    <row r="98" spans="1:8" x14ac:dyDescent="0.25">
      <c r="A98" s="264"/>
      <c r="B98" s="263" t="s">
        <v>273</v>
      </c>
      <c r="C98" s="265"/>
      <c r="D98" s="265"/>
      <c r="E98" s="262">
        <f>C98+D98</f>
        <v>0</v>
      </c>
      <c r="F98" s="265"/>
      <c r="G98" s="265"/>
      <c r="H98" s="261">
        <f>+E98-F98</f>
        <v>0</v>
      </c>
    </row>
    <row r="99" spans="1:8" x14ac:dyDescent="0.25">
      <c r="A99" s="264"/>
      <c r="B99" s="263" t="s">
        <v>272</v>
      </c>
      <c r="C99" s="265"/>
      <c r="D99" s="265"/>
      <c r="E99" s="262">
        <f>C99+D99</f>
        <v>0</v>
      </c>
      <c r="F99" s="265"/>
      <c r="G99" s="265"/>
      <c r="H99" s="261">
        <f>+E99-F99</f>
        <v>0</v>
      </c>
    </row>
    <row r="100" spans="1:8" x14ac:dyDescent="0.25">
      <c r="A100" s="264"/>
      <c r="B100" s="263" t="s">
        <v>271</v>
      </c>
      <c r="C100" s="265"/>
      <c r="D100" s="265"/>
      <c r="E100" s="262">
        <f>C100+D100</f>
        <v>0</v>
      </c>
      <c r="F100" s="265"/>
      <c r="G100" s="265"/>
      <c r="H100" s="261">
        <f>+E100-F100</f>
        <v>0</v>
      </c>
    </row>
    <row r="101" spans="1:8" x14ac:dyDescent="0.25">
      <c r="A101" s="264"/>
      <c r="B101" s="263" t="s">
        <v>270</v>
      </c>
      <c r="C101" s="265"/>
      <c r="D101" s="265"/>
      <c r="E101" s="262">
        <f>C101+D101</f>
        <v>0</v>
      </c>
      <c r="F101" s="265"/>
      <c r="G101" s="265"/>
      <c r="H101" s="261">
        <f>+E101-F101</f>
        <v>0</v>
      </c>
    </row>
    <row r="102" spans="1:8" x14ac:dyDescent="0.25">
      <c r="A102" s="267" t="s">
        <v>269</v>
      </c>
      <c r="B102" s="266"/>
      <c r="C102" s="262">
        <f>SUM(C103:C111)</f>
        <v>0</v>
      </c>
      <c r="D102" s="262">
        <f>SUM(D103:D111)</f>
        <v>0</v>
      </c>
      <c r="E102" s="262">
        <f>SUM(E103:E111)</f>
        <v>0</v>
      </c>
      <c r="F102" s="262">
        <f>SUM(F103:F111)</f>
        <v>0</v>
      </c>
      <c r="G102" s="262">
        <f>SUM(G103:G111)</f>
        <v>0</v>
      </c>
      <c r="H102" s="262">
        <f>SUM(H103:H111)</f>
        <v>0</v>
      </c>
    </row>
    <row r="103" spans="1:8" x14ac:dyDescent="0.25">
      <c r="A103" s="264"/>
      <c r="B103" s="263" t="s">
        <v>268</v>
      </c>
      <c r="C103" s="265"/>
      <c r="D103" s="265"/>
      <c r="E103" s="262">
        <f>C103+D103</f>
        <v>0</v>
      </c>
      <c r="F103" s="265"/>
      <c r="G103" s="265"/>
      <c r="H103" s="261">
        <f>+E103-F103</f>
        <v>0</v>
      </c>
    </row>
    <row r="104" spans="1:8" x14ac:dyDescent="0.25">
      <c r="A104" s="264"/>
      <c r="B104" s="263" t="s">
        <v>267</v>
      </c>
      <c r="C104" s="265"/>
      <c r="D104" s="265"/>
      <c r="E104" s="262">
        <f>C104+D104</f>
        <v>0</v>
      </c>
      <c r="F104" s="265"/>
      <c r="G104" s="265"/>
      <c r="H104" s="261">
        <f>+E104-F104</f>
        <v>0</v>
      </c>
    </row>
    <row r="105" spans="1:8" x14ac:dyDescent="0.25">
      <c r="A105" s="264"/>
      <c r="B105" s="263" t="s">
        <v>266</v>
      </c>
      <c r="C105" s="265"/>
      <c r="D105" s="265"/>
      <c r="E105" s="262">
        <f>C105+D105</f>
        <v>0</v>
      </c>
      <c r="F105" s="265"/>
      <c r="G105" s="265"/>
      <c r="H105" s="261">
        <f>+E105-F105</f>
        <v>0</v>
      </c>
    </row>
    <row r="106" spans="1:8" x14ac:dyDescent="0.25">
      <c r="A106" s="264"/>
      <c r="B106" s="263" t="s">
        <v>265</v>
      </c>
      <c r="C106" s="265"/>
      <c r="D106" s="265"/>
      <c r="E106" s="262">
        <f>C106+D106</f>
        <v>0</v>
      </c>
      <c r="F106" s="265"/>
      <c r="G106" s="265"/>
      <c r="H106" s="261">
        <f>+E106-F106</f>
        <v>0</v>
      </c>
    </row>
    <row r="107" spans="1:8" ht="15.75" thickBot="1" x14ac:dyDescent="0.3">
      <c r="A107" s="257"/>
      <c r="B107" s="256" t="s">
        <v>264</v>
      </c>
      <c r="C107" s="269"/>
      <c r="D107" s="269"/>
      <c r="E107" s="270">
        <f>C107+D107</f>
        <v>0</v>
      </c>
      <c r="F107" s="269"/>
      <c r="G107" s="269"/>
      <c r="H107" s="268">
        <f>+E107-F107</f>
        <v>0</v>
      </c>
    </row>
    <row r="108" spans="1:8" x14ac:dyDescent="0.25">
      <c r="A108" s="264"/>
      <c r="B108" s="263" t="s">
        <v>263</v>
      </c>
      <c r="C108" s="265"/>
      <c r="D108" s="265"/>
      <c r="E108" s="262">
        <f>C108+D108</f>
        <v>0</v>
      </c>
      <c r="F108" s="265"/>
      <c r="G108" s="265"/>
      <c r="H108" s="261">
        <f>+E108-F108</f>
        <v>0</v>
      </c>
    </row>
    <row r="109" spans="1:8" x14ac:dyDescent="0.25">
      <c r="A109" s="264"/>
      <c r="B109" s="263" t="s">
        <v>262</v>
      </c>
      <c r="C109" s="265"/>
      <c r="D109" s="265"/>
      <c r="E109" s="262">
        <f>C109+D109</f>
        <v>0</v>
      </c>
      <c r="F109" s="265"/>
      <c r="G109" s="265"/>
      <c r="H109" s="261">
        <f>+E109-F109</f>
        <v>0</v>
      </c>
    </row>
    <row r="110" spans="1:8" x14ac:dyDescent="0.25">
      <c r="A110" s="264"/>
      <c r="B110" s="263" t="s">
        <v>261</v>
      </c>
      <c r="C110" s="265"/>
      <c r="D110" s="265"/>
      <c r="E110" s="262">
        <f>C110+D110</f>
        <v>0</v>
      </c>
      <c r="F110" s="265"/>
      <c r="G110" s="265"/>
      <c r="H110" s="261">
        <f>+E110-F110</f>
        <v>0</v>
      </c>
    </row>
    <row r="111" spans="1:8" x14ac:dyDescent="0.25">
      <c r="A111" s="264"/>
      <c r="B111" s="263" t="s">
        <v>260</v>
      </c>
      <c r="C111" s="265"/>
      <c r="D111" s="265"/>
      <c r="E111" s="262">
        <f>C111+D111</f>
        <v>0</v>
      </c>
      <c r="F111" s="265"/>
      <c r="G111" s="265"/>
      <c r="H111" s="261">
        <f>+E111-F111</f>
        <v>0</v>
      </c>
    </row>
    <row r="112" spans="1:8" x14ac:dyDescent="0.25">
      <c r="A112" s="267" t="s">
        <v>259</v>
      </c>
      <c r="B112" s="266"/>
      <c r="C112" s="262">
        <f>SUM(C113:C121)</f>
        <v>0</v>
      </c>
      <c r="D112" s="262">
        <f>SUM(D113:D121)</f>
        <v>0</v>
      </c>
      <c r="E112" s="262">
        <f>SUM(E113:E121)</f>
        <v>0</v>
      </c>
      <c r="F112" s="262">
        <f>SUM(F113:F121)</f>
        <v>0</v>
      </c>
      <c r="G112" s="262">
        <f>SUM(G113:G121)</f>
        <v>0</v>
      </c>
      <c r="H112" s="262">
        <f>SUM(H113:H121)</f>
        <v>0</v>
      </c>
    </row>
    <row r="113" spans="1:8" x14ac:dyDescent="0.25">
      <c r="A113" s="264"/>
      <c r="B113" s="263" t="s">
        <v>258</v>
      </c>
      <c r="C113" s="265"/>
      <c r="D113" s="265"/>
      <c r="E113" s="262">
        <f>C113+D113</f>
        <v>0</v>
      </c>
      <c r="F113" s="265"/>
      <c r="G113" s="265"/>
      <c r="H113" s="261">
        <f>+E113-F113</f>
        <v>0</v>
      </c>
    </row>
    <row r="114" spans="1:8" x14ac:dyDescent="0.25">
      <c r="A114" s="264"/>
      <c r="B114" s="263" t="s">
        <v>257</v>
      </c>
      <c r="C114" s="265"/>
      <c r="D114" s="265"/>
      <c r="E114" s="262">
        <f>C114+D114</f>
        <v>0</v>
      </c>
      <c r="F114" s="265"/>
      <c r="G114" s="265"/>
      <c r="H114" s="261">
        <f>+E114-F114</f>
        <v>0</v>
      </c>
    </row>
    <row r="115" spans="1:8" x14ac:dyDescent="0.25">
      <c r="A115" s="264"/>
      <c r="B115" s="263" t="s">
        <v>256</v>
      </c>
      <c r="C115" s="265"/>
      <c r="D115" s="265"/>
      <c r="E115" s="262">
        <f>C115+D115</f>
        <v>0</v>
      </c>
      <c r="F115" s="265"/>
      <c r="G115" s="265"/>
      <c r="H115" s="261">
        <f>+E115-F115</f>
        <v>0</v>
      </c>
    </row>
    <row r="116" spans="1:8" x14ac:dyDescent="0.25">
      <c r="A116" s="264"/>
      <c r="B116" s="263" t="s">
        <v>255</v>
      </c>
      <c r="C116" s="265"/>
      <c r="D116" s="265"/>
      <c r="E116" s="262">
        <f>C116+D116</f>
        <v>0</v>
      </c>
      <c r="F116" s="265"/>
      <c r="G116" s="265"/>
      <c r="H116" s="261">
        <f>+E116-F116</f>
        <v>0</v>
      </c>
    </row>
    <row r="117" spans="1:8" x14ac:dyDescent="0.25">
      <c r="A117" s="264"/>
      <c r="B117" s="263" t="s">
        <v>254</v>
      </c>
      <c r="C117" s="265"/>
      <c r="D117" s="265"/>
      <c r="E117" s="262">
        <f>C117+D117</f>
        <v>0</v>
      </c>
      <c r="F117" s="265"/>
      <c r="G117" s="265"/>
      <c r="H117" s="261">
        <f>+E117-F117</f>
        <v>0</v>
      </c>
    </row>
    <row r="118" spans="1:8" x14ac:dyDescent="0.25">
      <c r="A118" s="264"/>
      <c r="B118" s="263" t="s">
        <v>253</v>
      </c>
      <c r="C118" s="265"/>
      <c r="D118" s="265"/>
      <c r="E118" s="262">
        <f>C118+D118</f>
        <v>0</v>
      </c>
      <c r="F118" s="265"/>
      <c r="G118" s="265"/>
      <c r="H118" s="261">
        <f>+E118-F118</f>
        <v>0</v>
      </c>
    </row>
    <row r="119" spans="1:8" x14ac:dyDescent="0.25">
      <c r="A119" s="264"/>
      <c r="B119" s="263" t="s">
        <v>252</v>
      </c>
      <c r="C119" s="265"/>
      <c r="D119" s="265"/>
      <c r="E119" s="262">
        <f>C119+D119</f>
        <v>0</v>
      </c>
      <c r="F119" s="265"/>
      <c r="G119" s="265"/>
      <c r="H119" s="261">
        <f>+E119-F119</f>
        <v>0</v>
      </c>
    </row>
    <row r="120" spans="1:8" x14ac:dyDescent="0.25">
      <c r="A120" s="264"/>
      <c r="B120" s="263" t="s">
        <v>251</v>
      </c>
      <c r="C120" s="265"/>
      <c r="D120" s="265"/>
      <c r="E120" s="262">
        <f>C120+D120</f>
        <v>0</v>
      </c>
      <c r="F120" s="265"/>
      <c r="G120" s="265"/>
      <c r="H120" s="261">
        <f>+E120-F120</f>
        <v>0</v>
      </c>
    </row>
    <row r="121" spans="1:8" x14ac:dyDescent="0.25">
      <c r="A121" s="264"/>
      <c r="B121" s="263" t="s">
        <v>250</v>
      </c>
      <c r="C121" s="265"/>
      <c r="D121" s="265"/>
      <c r="E121" s="262">
        <f>C121+D121</f>
        <v>0</v>
      </c>
      <c r="F121" s="265"/>
      <c r="G121" s="265"/>
      <c r="H121" s="261">
        <f>+E121-F121</f>
        <v>0</v>
      </c>
    </row>
    <row r="122" spans="1:8" x14ac:dyDescent="0.25">
      <c r="A122" s="267" t="s">
        <v>249</v>
      </c>
      <c r="B122" s="266"/>
      <c r="C122" s="262">
        <f>SUM(C123:C131)</f>
        <v>0</v>
      </c>
      <c r="D122" s="262">
        <f>SUM(D123:D131)</f>
        <v>0</v>
      </c>
      <c r="E122" s="262">
        <f>SUM(E123:E131)</f>
        <v>0</v>
      </c>
      <c r="F122" s="262">
        <f>SUM(F123:F131)</f>
        <v>0</v>
      </c>
      <c r="G122" s="262">
        <f>SUM(G123:G131)</f>
        <v>0</v>
      </c>
      <c r="H122" s="262">
        <f>SUM(H123:H131)</f>
        <v>0</v>
      </c>
    </row>
    <row r="123" spans="1:8" x14ac:dyDescent="0.25">
      <c r="A123" s="264"/>
      <c r="B123" s="263" t="s">
        <v>248</v>
      </c>
      <c r="C123" s="265">
        <v>0</v>
      </c>
      <c r="D123" s="265"/>
      <c r="E123" s="262">
        <f>C123+D123</f>
        <v>0</v>
      </c>
      <c r="F123" s="265"/>
      <c r="G123" s="265"/>
      <c r="H123" s="261">
        <f>+E123-F123</f>
        <v>0</v>
      </c>
    </row>
    <row r="124" spans="1:8" x14ac:dyDescent="0.25">
      <c r="A124" s="264"/>
      <c r="B124" s="263" t="s">
        <v>247</v>
      </c>
      <c r="C124" s="265"/>
      <c r="D124" s="265"/>
      <c r="E124" s="262">
        <f>C124+D124</f>
        <v>0</v>
      </c>
      <c r="F124" s="265"/>
      <c r="G124" s="265"/>
      <c r="H124" s="261">
        <f>+E124-F124</f>
        <v>0</v>
      </c>
    </row>
    <row r="125" spans="1:8" x14ac:dyDescent="0.25">
      <c r="A125" s="264"/>
      <c r="B125" s="263" t="s">
        <v>246</v>
      </c>
      <c r="C125" s="265"/>
      <c r="D125" s="265"/>
      <c r="E125" s="262">
        <f>C125+D125</f>
        <v>0</v>
      </c>
      <c r="F125" s="265"/>
      <c r="G125" s="265"/>
      <c r="H125" s="261">
        <f>+E125-F125</f>
        <v>0</v>
      </c>
    </row>
    <row r="126" spans="1:8" x14ac:dyDescent="0.25">
      <c r="A126" s="264"/>
      <c r="B126" s="263" t="s">
        <v>245</v>
      </c>
      <c r="C126" s="265"/>
      <c r="D126" s="265"/>
      <c r="E126" s="262">
        <f>C126+D126</f>
        <v>0</v>
      </c>
      <c r="F126" s="265"/>
      <c r="G126" s="265"/>
      <c r="H126" s="261">
        <f>+E126-F126</f>
        <v>0</v>
      </c>
    </row>
    <row r="127" spans="1:8" x14ac:dyDescent="0.25">
      <c r="A127" s="264"/>
      <c r="B127" s="263" t="s">
        <v>244</v>
      </c>
      <c r="C127" s="265"/>
      <c r="D127" s="265"/>
      <c r="E127" s="262">
        <f>C127+D127</f>
        <v>0</v>
      </c>
      <c r="F127" s="265"/>
      <c r="G127" s="265"/>
      <c r="H127" s="261">
        <f>+E127-F127</f>
        <v>0</v>
      </c>
    </row>
    <row r="128" spans="1:8" x14ac:dyDescent="0.25">
      <c r="A128" s="264"/>
      <c r="B128" s="263" t="s">
        <v>243</v>
      </c>
      <c r="C128" s="265"/>
      <c r="D128" s="265"/>
      <c r="E128" s="262">
        <f>C128+D128</f>
        <v>0</v>
      </c>
      <c r="F128" s="265"/>
      <c r="G128" s="265"/>
      <c r="H128" s="261">
        <f>+E128-F128</f>
        <v>0</v>
      </c>
    </row>
    <row r="129" spans="1:8" x14ac:dyDescent="0.25">
      <c r="A129" s="264"/>
      <c r="B129" s="263" t="s">
        <v>242</v>
      </c>
      <c r="C129" s="265"/>
      <c r="D129" s="265"/>
      <c r="E129" s="262">
        <f>C129+D129</f>
        <v>0</v>
      </c>
      <c r="F129" s="265"/>
      <c r="G129" s="265"/>
      <c r="H129" s="261">
        <f>+E129-F129</f>
        <v>0</v>
      </c>
    </row>
    <row r="130" spans="1:8" x14ac:dyDescent="0.25">
      <c r="A130" s="264"/>
      <c r="B130" s="263" t="s">
        <v>241</v>
      </c>
      <c r="C130" s="265"/>
      <c r="D130" s="265"/>
      <c r="E130" s="262">
        <f>C130+D130</f>
        <v>0</v>
      </c>
      <c r="F130" s="265"/>
      <c r="G130" s="265"/>
      <c r="H130" s="261">
        <f>+E130-F130</f>
        <v>0</v>
      </c>
    </row>
    <row r="131" spans="1:8" x14ac:dyDescent="0.25">
      <c r="A131" s="264"/>
      <c r="B131" s="263" t="s">
        <v>240</v>
      </c>
      <c r="C131" s="265"/>
      <c r="D131" s="265"/>
      <c r="E131" s="262">
        <f>C131+D131</f>
        <v>0</v>
      </c>
      <c r="F131" s="265"/>
      <c r="G131" s="265"/>
      <c r="H131" s="261">
        <f>+E131-F131</f>
        <v>0</v>
      </c>
    </row>
    <row r="132" spans="1:8" x14ac:dyDescent="0.25">
      <c r="A132" s="267" t="s">
        <v>239</v>
      </c>
      <c r="B132" s="266"/>
      <c r="C132" s="262">
        <f>SUM(C133:C135)</f>
        <v>88275234</v>
      </c>
      <c r="D132" s="262">
        <f>SUM(D133:D135)</f>
        <v>43640495.189999998</v>
      </c>
      <c r="E132" s="262">
        <f>SUM(E133:E135)</f>
        <v>131915729.19</v>
      </c>
      <c r="F132" s="262">
        <f>SUM(F133:F135)</f>
        <v>8249083.8999999994</v>
      </c>
      <c r="G132" s="262">
        <f>SUM(G133:G135)</f>
        <v>8249083.8999999994</v>
      </c>
      <c r="H132" s="262">
        <f>SUM(H133:H135)</f>
        <v>123666645.28999999</v>
      </c>
    </row>
    <row r="133" spans="1:8" x14ac:dyDescent="0.25">
      <c r="A133" s="264"/>
      <c r="B133" s="263" t="s">
        <v>238</v>
      </c>
      <c r="C133" s="265">
        <v>88275234</v>
      </c>
      <c r="D133" s="265">
        <v>43640495.189999998</v>
      </c>
      <c r="E133" s="262">
        <f>C133+D133</f>
        <v>131915729.19</v>
      </c>
      <c r="F133" s="265">
        <v>8249083.8999999994</v>
      </c>
      <c r="G133" s="265">
        <v>8249083.8999999994</v>
      </c>
      <c r="H133" s="261">
        <f>+E133-F133</f>
        <v>123666645.28999999</v>
      </c>
    </row>
    <row r="134" spans="1:8" x14ac:dyDescent="0.25">
      <c r="A134" s="264"/>
      <c r="B134" s="263" t="s">
        <v>237</v>
      </c>
      <c r="C134" s="265"/>
      <c r="D134" s="265"/>
      <c r="E134" s="262">
        <f>C134+D134</f>
        <v>0</v>
      </c>
      <c r="F134" s="265"/>
      <c r="G134" s="265"/>
      <c r="H134" s="261">
        <f>+E134-F134</f>
        <v>0</v>
      </c>
    </row>
    <row r="135" spans="1:8" x14ac:dyDescent="0.25">
      <c r="A135" s="264"/>
      <c r="B135" s="263" t="s">
        <v>236</v>
      </c>
      <c r="C135" s="265"/>
      <c r="D135" s="265"/>
      <c r="E135" s="262">
        <f>C135+D135</f>
        <v>0</v>
      </c>
      <c r="F135" s="265"/>
      <c r="G135" s="265"/>
      <c r="H135" s="261">
        <f>+E135-F135</f>
        <v>0</v>
      </c>
    </row>
    <row r="136" spans="1:8" x14ac:dyDescent="0.25">
      <c r="A136" s="267" t="s">
        <v>235</v>
      </c>
      <c r="B136" s="266"/>
      <c r="C136" s="262">
        <f>SUM(C137:C144)</f>
        <v>0</v>
      </c>
      <c r="D136" s="262">
        <f>SUM(D137:D144)</f>
        <v>0</v>
      </c>
      <c r="E136" s="262">
        <f>SUM(E137:E144)</f>
        <v>0</v>
      </c>
      <c r="F136" s="262">
        <f>SUM(F137:F144)</f>
        <v>0</v>
      </c>
      <c r="G136" s="262">
        <f>SUM(G137:G144)</f>
        <v>0</v>
      </c>
      <c r="H136" s="262">
        <f>SUM(H137:H144)</f>
        <v>0</v>
      </c>
    </row>
    <row r="137" spans="1:8" x14ac:dyDescent="0.25">
      <c r="A137" s="264"/>
      <c r="B137" s="263" t="s">
        <v>234</v>
      </c>
      <c r="C137" s="265"/>
      <c r="D137" s="265"/>
      <c r="E137" s="262">
        <f>C137+D137</f>
        <v>0</v>
      </c>
      <c r="F137" s="265"/>
      <c r="G137" s="265"/>
      <c r="H137" s="261">
        <f>+E137-F137</f>
        <v>0</v>
      </c>
    </row>
    <row r="138" spans="1:8" x14ac:dyDescent="0.25">
      <c r="A138" s="264"/>
      <c r="B138" s="263" t="s">
        <v>233</v>
      </c>
      <c r="C138" s="265"/>
      <c r="D138" s="265"/>
      <c r="E138" s="262">
        <f>C138+D138</f>
        <v>0</v>
      </c>
      <c r="F138" s="265"/>
      <c r="G138" s="265"/>
      <c r="H138" s="261">
        <f>+E138-F138</f>
        <v>0</v>
      </c>
    </row>
    <row r="139" spans="1:8" x14ac:dyDescent="0.25">
      <c r="A139" s="264"/>
      <c r="B139" s="263" t="s">
        <v>232</v>
      </c>
      <c r="C139" s="265"/>
      <c r="D139" s="265"/>
      <c r="E139" s="262">
        <f>C139+D139</f>
        <v>0</v>
      </c>
      <c r="F139" s="265"/>
      <c r="G139" s="265"/>
      <c r="H139" s="261">
        <f>+E139-F139</f>
        <v>0</v>
      </c>
    </row>
    <row r="140" spans="1:8" x14ac:dyDescent="0.25">
      <c r="A140" s="264"/>
      <c r="B140" s="263" t="s">
        <v>231</v>
      </c>
      <c r="C140" s="265"/>
      <c r="D140" s="265"/>
      <c r="E140" s="262">
        <f>C140+D140</f>
        <v>0</v>
      </c>
      <c r="F140" s="265"/>
      <c r="G140" s="265"/>
      <c r="H140" s="261">
        <f>+E140-F140</f>
        <v>0</v>
      </c>
    </row>
    <row r="141" spans="1:8" x14ac:dyDescent="0.25">
      <c r="A141" s="264"/>
      <c r="B141" s="263" t="s">
        <v>230</v>
      </c>
      <c r="C141" s="265"/>
      <c r="D141" s="265"/>
      <c r="E141" s="262">
        <f>C141+D141</f>
        <v>0</v>
      </c>
      <c r="F141" s="265"/>
      <c r="G141" s="265"/>
      <c r="H141" s="261">
        <f>+E141-F141</f>
        <v>0</v>
      </c>
    </row>
    <row r="142" spans="1:8" ht="15.75" thickBot="1" x14ac:dyDescent="0.3">
      <c r="A142" s="257"/>
      <c r="B142" s="256" t="s">
        <v>229</v>
      </c>
      <c r="C142" s="269"/>
      <c r="D142" s="269"/>
      <c r="E142" s="270">
        <f>C142+D142</f>
        <v>0</v>
      </c>
      <c r="F142" s="269"/>
      <c r="G142" s="269"/>
      <c r="H142" s="268">
        <f>+E142-F142</f>
        <v>0</v>
      </c>
    </row>
    <row r="143" spans="1:8" x14ac:dyDescent="0.25">
      <c r="A143" s="264"/>
      <c r="B143" s="263" t="s">
        <v>228</v>
      </c>
      <c r="C143" s="265"/>
      <c r="D143" s="265"/>
      <c r="E143" s="262">
        <f>C143+D143</f>
        <v>0</v>
      </c>
      <c r="F143" s="265"/>
      <c r="G143" s="265"/>
      <c r="H143" s="261">
        <f>+E143-F143</f>
        <v>0</v>
      </c>
    </row>
    <row r="144" spans="1:8" x14ac:dyDescent="0.25">
      <c r="A144" s="264"/>
      <c r="B144" s="263" t="s">
        <v>227</v>
      </c>
      <c r="C144" s="265"/>
      <c r="D144" s="265"/>
      <c r="E144" s="262">
        <f>C144+D144</f>
        <v>0</v>
      </c>
      <c r="F144" s="265"/>
      <c r="G144" s="265"/>
      <c r="H144" s="261">
        <f>+E144-F144</f>
        <v>0</v>
      </c>
    </row>
    <row r="145" spans="1:9" x14ac:dyDescent="0.25">
      <c r="A145" s="267" t="s">
        <v>226</v>
      </c>
      <c r="B145" s="266"/>
      <c r="C145" s="262">
        <f>SUM(C146:C148)</f>
        <v>0</v>
      </c>
      <c r="D145" s="262">
        <f>SUM(D146:D148)</f>
        <v>0</v>
      </c>
      <c r="E145" s="262">
        <f>SUM(E146:E148)</f>
        <v>0</v>
      </c>
      <c r="F145" s="262">
        <f>SUM(F146:F148)</f>
        <v>0</v>
      </c>
      <c r="G145" s="262">
        <f>SUM(G146:G148)</f>
        <v>0</v>
      </c>
      <c r="H145" s="262">
        <f>SUM(H146:H148)</f>
        <v>0</v>
      </c>
    </row>
    <row r="146" spans="1:9" x14ac:dyDescent="0.25">
      <c r="A146" s="264"/>
      <c r="B146" s="263" t="s">
        <v>225</v>
      </c>
      <c r="C146" s="265"/>
      <c r="D146" s="265"/>
      <c r="E146" s="262">
        <f>C146+D146</f>
        <v>0</v>
      </c>
      <c r="F146" s="265"/>
      <c r="G146" s="265"/>
      <c r="H146" s="261">
        <f>+E146-F146</f>
        <v>0</v>
      </c>
    </row>
    <row r="147" spans="1:9" x14ac:dyDescent="0.25">
      <c r="A147" s="264"/>
      <c r="B147" s="263" t="s">
        <v>224</v>
      </c>
      <c r="C147" s="265"/>
      <c r="D147" s="265"/>
      <c r="E147" s="262">
        <f>C147+D147</f>
        <v>0</v>
      </c>
      <c r="F147" s="265"/>
      <c r="G147" s="265"/>
      <c r="H147" s="261">
        <f>+E147-F147</f>
        <v>0</v>
      </c>
    </row>
    <row r="148" spans="1:9" x14ac:dyDescent="0.25">
      <c r="A148" s="264"/>
      <c r="B148" s="263" t="s">
        <v>223</v>
      </c>
      <c r="C148" s="265"/>
      <c r="D148" s="265"/>
      <c r="E148" s="262">
        <f>C148+D148</f>
        <v>0</v>
      </c>
      <c r="F148" s="265"/>
      <c r="G148" s="265"/>
      <c r="H148" s="261">
        <f>+E148-F148</f>
        <v>0</v>
      </c>
    </row>
    <row r="149" spans="1:9" x14ac:dyDescent="0.25">
      <c r="A149" s="267" t="s">
        <v>222</v>
      </c>
      <c r="B149" s="266"/>
      <c r="C149" s="262">
        <f>SUM(C150:C156)</f>
        <v>0</v>
      </c>
      <c r="D149" s="262">
        <f>SUM(D150:D156)</f>
        <v>0</v>
      </c>
      <c r="E149" s="262">
        <f>SUM(E150:E156)</f>
        <v>0</v>
      </c>
      <c r="F149" s="262">
        <f>SUM(F150:F156)</f>
        <v>0</v>
      </c>
      <c r="G149" s="262">
        <f>SUM(G150:G156)</f>
        <v>0</v>
      </c>
      <c r="H149" s="262">
        <f>SUM(H150:H156)</f>
        <v>0</v>
      </c>
    </row>
    <row r="150" spans="1:9" x14ac:dyDescent="0.25">
      <c r="A150" s="264"/>
      <c r="B150" s="263" t="s">
        <v>221</v>
      </c>
      <c r="C150" s="265"/>
      <c r="D150" s="265"/>
      <c r="E150" s="262">
        <f>C150+D150</f>
        <v>0</v>
      </c>
      <c r="F150" s="265"/>
      <c r="G150" s="265"/>
      <c r="H150" s="261">
        <f>+E150-F150</f>
        <v>0</v>
      </c>
    </row>
    <row r="151" spans="1:9" x14ac:dyDescent="0.25">
      <c r="A151" s="264"/>
      <c r="B151" s="263" t="s">
        <v>220</v>
      </c>
      <c r="C151" s="265"/>
      <c r="D151" s="265"/>
      <c r="E151" s="262">
        <f>C151+D151</f>
        <v>0</v>
      </c>
      <c r="F151" s="265"/>
      <c r="G151" s="265"/>
      <c r="H151" s="261">
        <f>+E151-F151</f>
        <v>0</v>
      </c>
    </row>
    <row r="152" spans="1:9" x14ac:dyDescent="0.25">
      <c r="A152" s="264"/>
      <c r="B152" s="263" t="s">
        <v>219</v>
      </c>
      <c r="C152" s="265"/>
      <c r="D152" s="265"/>
      <c r="E152" s="262">
        <f>C152+D152</f>
        <v>0</v>
      </c>
      <c r="F152" s="265"/>
      <c r="G152" s="265"/>
      <c r="H152" s="261">
        <f>+E152-F152</f>
        <v>0</v>
      </c>
    </row>
    <row r="153" spans="1:9" x14ac:dyDescent="0.25">
      <c r="A153" s="264"/>
      <c r="B153" s="263" t="s">
        <v>218</v>
      </c>
      <c r="C153" s="265"/>
      <c r="D153" s="265"/>
      <c r="E153" s="262">
        <f>C153+D153</f>
        <v>0</v>
      </c>
      <c r="F153" s="265"/>
      <c r="G153" s="265"/>
      <c r="H153" s="261">
        <f>+E153-F153</f>
        <v>0</v>
      </c>
    </row>
    <row r="154" spans="1:9" x14ac:dyDescent="0.25">
      <c r="A154" s="264"/>
      <c r="B154" s="263" t="s">
        <v>217</v>
      </c>
      <c r="C154" s="265"/>
      <c r="D154" s="265"/>
      <c r="E154" s="262">
        <f>C154+D154</f>
        <v>0</v>
      </c>
      <c r="F154" s="265"/>
      <c r="G154" s="265"/>
      <c r="H154" s="261">
        <f>+E154-F154</f>
        <v>0</v>
      </c>
      <c r="I154" s="106" t="str">
        <f>IF((C158-'ETCA II-04'!B80)&gt;0.9,"ERROR!!!!! EL MONTO NO COINCIDE CON LO REPORTADO EN EL FORMATO ETCA-II-04 EN EL TOTAL DEL GASTO","")</f>
        <v/>
      </c>
    </row>
    <row r="155" spans="1:9" x14ac:dyDescent="0.25">
      <c r="A155" s="264"/>
      <c r="B155" s="263" t="s">
        <v>216</v>
      </c>
      <c r="C155" s="265"/>
      <c r="D155" s="265"/>
      <c r="E155" s="262">
        <f>C155+D155</f>
        <v>0</v>
      </c>
      <c r="F155" s="265"/>
      <c r="G155" s="265"/>
      <c r="H155" s="261">
        <f>+E155-F155</f>
        <v>0</v>
      </c>
      <c r="I155" s="106" t="str">
        <f>IF((D158-'ETCA II-04'!C80)&gt;0.9,"ERROR!!!!! EL MONTO NO COINCIDE CON LO REPORTADO EN EL FORMATO ETCA-II-04 EN EL TOTAL DEL GASTO","")</f>
        <v/>
      </c>
    </row>
    <row r="156" spans="1:9" x14ac:dyDescent="0.25">
      <c r="A156" s="264"/>
      <c r="B156" s="263" t="s">
        <v>215</v>
      </c>
      <c r="C156" s="265"/>
      <c r="D156" s="265"/>
      <c r="E156" s="262">
        <f>C156+D156</f>
        <v>0</v>
      </c>
      <c r="F156" s="265"/>
      <c r="G156" s="265"/>
      <c r="H156" s="261">
        <f>+E156-F156</f>
        <v>0</v>
      </c>
      <c r="I156" s="106" t="str">
        <f>IF((E158-'ETCA II-04'!D80)&gt;0.9,"ERROR!!!!! EL MONTO NO COINCIDE CON LO REPORTADO EN EL FORMATO ETCA-II-04 EN EL TOTAL DEL GASTO","")</f>
        <v/>
      </c>
    </row>
    <row r="157" spans="1:9" x14ac:dyDescent="0.25">
      <c r="A157" s="264"/>
      <c r="B157" s="263"/>
      <c r="C157" s="262"/>
      <c r="D157" s="262"/>
      <c r="E157" s="262">
        <f>C157+D157</f>
        <v>0</v>
      </c>
      <c r="F157" s="262"/>
      <c r="G157" s="262"/>
      <c r="H157" s="261"/>
      <c r="I157" s="106" t="str">
        <f>IF((H158-'ETCA II-04'!G80)&gt;0.9,"ERROR!!!!! EL MONTO NO COINCIDE CON LO REPORTADO EN EL FORMATO ETCA-II-04 EN EL TOTAL DEL GASTO","")</f>
        <v/>
      </c>
    </row>
    <row r="158" spans="1:9" x14ac:dyDescent="0.25">
      <c r="A158" s="260" t="s">
        <v>214</v>
      </c>
      <c r="B158" s="259"/>
      <c r="C158" s="258">
        <f>+C9+C83</f>
        <v>623389417.66593051</v>
      </c>
      <c r="D158" s="258">
        <f>+D9+D83</f>
        <v>116461164.84</v>
      </c>
      <c r="E158" s="258">
        <f>+E9+E83</f>
        <v>739850582.50593042</v>
      </c>
      <c r="F158" s="258">
        <f>+F9+F83</f>
        <v>298492105.77999997</v>
      </c>
      <c r="G158" s="258">
        <f>+G9+G83</f>
        <v>268228355.48999998</v>
      </c>
      <c r="H158" s="258">
        <f>+H9+H83</f>
        <v>441358476.72593033</v>
      </c>
      <c r="I158" s="106" t="str">
        <f>IF((F158-'ETCA II-04'!E80)&gt;0.9,"ERROR!!!!! EL MONTO NO COINCIDE CON LO REPORTADO EN EL FORMATO ETCA-II-04 EN EL TOTAL DEL GASTO","")</f>
        <v/>
      </c>
    </row>
    <row r="159" spans="1:9" ht="15.75" thickBot="1" x14ac:dyDescent="0.3">
      <c r="A159" s="257"/>
      <c r="B159" s="256"/>
      <c r="C159" s="255"/>
      <c r="D159" s="255"/>
      <c r="E159" s="255"/>
      <c r="F159" s="255"/>
      <c r="G159" s="255"/>
      <c r="H159" s="254"/>
      <c r="I159" s="106" t="str">
        <f>IF((G158-'ETCA II-04'!F80)&gt;0.9,"ERROR!!!!! EL MONTO NO COINCIDE CON LO REPORTADO EN EL FORMATO ETCA-II-04 EN EL TOTAL DEL GASTO","")</f>
        <v/>
      </c>
    </row>
  </sheetData>
  <sheetProtection password="C115" sheet="1" scenarios="1" formatColumns="0" formatRows="0"/>
  <mergeCells count="29">
    <mergeCell ref="A136:B136"/>
    <mergeCell ref="A145:B145"/>
    <mergeCell ref="A149:B149"/>
    <mergeCell ref="A62:B62"/>
    <mergeCell ref="A158:B158"/>
    <mergeCell ref="A75:B75"/>
    <mergeCell ref="A83:B83"/>
    <mergeCell ref="A84:B84"/>
    <mergeCell ref="A92:B92"/>
    <mergeCell ref="A102:B102"/>
    <mergeCell ref="A112:B112"/>
    <mergeCell ref="A122:B122"/>
    <mergeCell ref="A132:B132"/>
    <mergeCell ref="A10:B10"/>
    <mergeCell ref="A18:B18"/>
    <mergeCell ref="A28:B28"/>
    <mergeCell ref="A38:B38"/>
    <mergeCell ref="A48:B48"/>
    <mergeCell ref="A58:B58"/>
    <mergeCell ref="A5:H5"/>
    <mergeCell ref="A1:H1"/>
    <mergeCell ref="A2:H2"/>
    <mergeCell ref="A3:H3"/>
    <mergeCell ref="A4:H4"/>
    <mergeCell ref="A71:B71"/>
    <mergeCell ref="A6:B7"/>
    <mergeCell ref="C6:G6"/>
    <mergeCell ref="H6:H7"/>
    <mergeCell ref="A9:B9"/>
  </mergeCells>
  <pageMargins left="0.70866141732283472" right="0.70866141732283472" top="0.74803149606299213" bottom="0.74803149606299213" header="0.31496062992125984" footer="0.31496062992125984"/>
  <pageSetup scale="72" orientation="portrait" horizontalDpi="1200" verticalDpi="1200" r:id="rId1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D3471-A09A-4DF6-810B-62D6658C4766}">
  <sheetPr>
    <tabColor theme="0" tint="-0.14999847407452621"/>
  </sheetPr>
  <dimension ref="A1:G39"/>
  <sheetViews>
    <sheetView view="pageBreakPreview" zoomScaleNormal="100" zoomScaleSheetLayoutView="100" workbookViewId="0">
      <selection activeCell="T27" sqref="T27"/>
    </sheetView>
  </sheetViews>
  <sheetFormatPr baseColWidth="10" defaultColWidth="11.28515625" defaultRowHeight="16.5" x14ac:dyDescent="0.25"/>
  <cols>
    <col min="1" max="1" width="36.7109375" style="1" customWidth="1"/>
    <col min="2" max="2" width="13.7109375" style="1" customWidth="1"/>
    <col min="3" max="3" width="12" style="1" customWidth="1"/>
    <col min="4" max="4" width="13" style="1" customWidth="1"/>
    <col min="5" max="5" width="13.7109375" style="1" customWidth="1"/>
    <col min="6" max="6" width="15.7109375" style="1" customWidth="1"/>
    <col min="7" max="7" width="12.140625" style="1" customWidth="1"/>
    <col min="8" max="16384" width="11.28515625" style="1"/>
  </cols>
  <sheetData>
    <row r="1" spans="1:7" x14ac:dyDescent="0.25">
      <c r="A1" s="105" t="str">
        <f>'[1]ETCA-I-01'!A1:G1</f>
        <v xml:space="preserve">Comision Estatal del Agua  </v>
      </c>
      <c r="B1" s="105"/>
      <c r="C1" s="105"/>
      <c r="D1" s="105"/>
      <c r="E1" s="105"/>
      <c r="F1" s="105"/>
      <c r="G1" s="105"/>
    </row>
    <row r="2" spans="1:7" s="103" customFormat="1" ht="15.75" x14ac:dyDescent="0.25">
      <c r="A2" s="105" t="s">
        <v>213</v>
      </c>
      <c r="B2" s="105"/>
      <c r="C2" s="105"/>
      <c r="D2" s="105"/>
      <c r="E2" s="105"/>
      <c r="F2" s="105"/>
      <c r="G2" s="105"/>
    </row>
    <row r="3" spans="1:7" s="103" customFormat="1" ht="15.75" x14ac:dyDescent="0.25">
      <c r="A3" s="105" t="s">
        <v>316</v>
      </c>
      <c r="B3" s="105"/>
      <c r="C3" s="105"/>
      <c r="D3" s="105"/>
      <c r="E3" s="105"/>
      <c r="F3" s="105"/>
      <c r="G3" s="105"/>
    </row>
    <row r="4" spans="1:7" s="103" customFormat="1" x14ac:dyDescent="0.25">
      <c r="A4" s="104" t="str">
        <f>'[1]ETCA-I-03'!A3:D3</f>
        <v>Del 01 de Enero al 30 de Junio de 2020</v>
      </c>
      <c r="B4" s="104"/>
      <c r="C4" s="104"/>
      <c r="D4" s="104"/>
      <c r="E4" s="104"/>
      <c r="F4" s="104"/>
      <c r="G4" s="104"/>
    </row>
    <row r="5" spans="1:7" s="26" customFormat="1" ht="17.25" thickBot="1" x14ac:dyDescent="0.3">
      <c r="A5" s="253" t="s">
        <v>315</v>
      </c>
      <c r="B5" s="253"/>
      <c r="C5" s="253"/>
      <c r="D5" s="253"/>
      <c r="E5" s="253"/>
      <c r="F5" s="102"/>
      <c r="G5" s="319"/>
    </row>
    <row r="6" spans="1:7" s="317" customFormat="1" ht="38.25" x14ac:dyDescent="0.25">
      <c r="A6" s="98" t="s">
        <v>111</v>
      </c>
      <c r="B6" s="251" t="s">
        <v>209</v>
      </c>
      <c r="C6" s="251" t="s">
        <v>109</v>
      </c>
      <c r="D6" s="251" t="s">
        <v>208</v>
      </c>
      <c r="E6" s="249" t="s">
        <v>207</v>
      </c>
      <c r="F6" s="249" t="s">
        <v>206</v>
      </c>
      <c r="G6" s="318" t="s">
        <v>205</v>
      </c>
    </row>
    <row r="7" spans="1:7" s="315" customFormat="1" ht="15.75" customHeight="1" thickBot="1" x14ac:dyDescent="0.3">
      <c r="A7" s="94"/>
      <c r="B7" s="246" t="s">
        <v>26</v>
      </c>
      <c r="C7" s="246" t="s">
        <v>25</v>
      </c>
      <c r="D7" s="246" t="s">
        <v>204</v>
      </c>
      <c r="E7" s="246" t="s">
        <v>23</v>
      </c>
      <c r="F7" s="246" t="s">
        <v>22</v>
      </c>
      <c r="G7" s="316" t="s">
        <v>203</v>
      </c>
    </row>
    <row r="8" spans="1:7" ht="21.75" customHeight="1" x14ac:dyDescent="0.25">
      <c r="A8" s="314" t="s">
        <v>314</v>
      </c>
      <c r="B8" s="312">
        <v>408201624.66593045</v>
      </c>
      <c r="C8" s="312">
        <v>5236202.2500000019</v>
      </c>
      <c r="D8" s="313">
        <f>C8+B8</f>
        <v>413437826.91593045</v>
      </c>
      <c r="E8" s="312">
        <v>220693086.88</v>
      </c>
      <c r="F8" s="312">
        <v>191665906.33000001</v>
      </c>
      <c r="G8" s="311">
        <f>D8-E8</f>
        <v>192744740.03593045</v>
      </c>
    </row>
    <row r="9" spans="1:7" ht="22.5" customHeight="1" x14ac:dyDescent="0.25">
      <c r="A9" s="314" t="s">
        <v>313</v>
      </c>
      <c r="B9" s="312">
        <v>215187793</v>
      </c>
      <c r="C9" s="312">
        <v>44289126.469999999</v>
      </c>
      <c r="D9" s="313">
        <f>C9+B9</f>
        <v>259476919.47</v>
      </c>
      <c r="E9" s="312">
        <v>10873008.449999999</v>
      </c>
      <c r="F9" s="312">
        <v>10762997.560000001</v>
      </c>
      <c r="G9" s="311">
        <f>D9-E9</f>
        <v>248603911.02000001</v>
      </c>
    </row>
    <row r="10" spans="1:7" ht="22.5" customHeight="1" x14ac:dyDescent="0.25">
      <c r="A10" s="314" t="s">
        <v>312</v>
      </c>
      <c r="B10" s="312">
        <v>0</v>
      </c>
      <c r="C10" s="312">
        <v>66935836.119999997</v>
      </c>
      <c r="D10" s="313">
        <f>C10+B10</f>
        <v>66935836.119999997</v>
      </c>
      <c r="E10" s="312">
        <v>66926010.450000003</v>
      </c>
      <c r="F10" s="312">
        <v>65799451.599999994</v>
      </c>
      <c r="G10" s="311">
        <f>D10-E10</f>
        <v>9825.6699999943376</v>
      </c>
    </row>
    <row r="11" spans="1:7" ht="23.25" customHeight="1" x14ac:dyDescent="0.25">
      <c r="A11" s="314" t="s">
        <v>169</v>
      </c>
      <c r="B11" s="312"/>
      <c r="C11" s="312"/>
      <c r="D11" s="313">
        <f>C11+B11</f>
        <v>0</v>
      </c>
      <c r="E11" s="312"/>
      <c r="F11" s="312"/>
      <c r="G11" s="311">
        <f>D11-E11</f>
        <v>0</v>
      </c>
    </row>
    <row r="12" spans="1:7" ht="22.5" customHeight="1" x14ac:dyDescent="0.25">
      <c r="A12" s="314" t="s">
        <v>141</v>
      </c>
      <c r="B12" s="312"/>
      <c r="C12" s="312"/>
      <c r="D12" s="313">
        <f>C12+B12</f>
        <v>0</v>
      </c>
      <c r="E12" s="312"/>
      <c r="F12" s="312"/>
      <c r="G12" s="311">
        <f>D12-E12</f>
        <v>0</v>
      </c>
    </row>
    <row r="13" spans="1:7" ht="10.5" customHeight="1" thickBot="1" x14ac:dyDescent="0.3">
      <c r="A13" s="310"/>
      <c r="B13" s="308"/>
      <c r="C13" s="308"/>
      <c r="D13" s="309"/>
      <c r="E13" s="308"/>
      <c r="F13" s="308"/>
      <c r="G13" s="307"/>
    </row>
    <row r="14" spans="1:7" ht="16.5" customHeight="1" thickBot="1" x14ac:dyDescent="0.3">
      <c r="A14" s="306" t="s">
        <v>130</v>
      </c>
      <c r="B14" s="304">
        <f>SUM(B8:B13)</f>
        <v>623389417.66593051</v>
      </c>
      <c r="C14" s="304">
        <f>SUM(C8:C13)</f>
        <v>116461164.84</v>
      </c>
      <c r="D14" s="305">
        <f>C14+B14</f>
        <v>739850582.50593054</v>
      </c>
      <c r="E14" s="304">
        <f>SUM(E8:E13)</f>
        <v>298492105.77999997</v>
      </c>
      <c r="F14" s="304">
        <f>SUM(F8:F13)</f>
        <v>268228355.49000001</v>
      </c>
      <c r="G14" s="303">
        <f>D14-E14</f>
        <v>441358476.72593057</v>
      </c>
    </row>
    <row r="15" spans="1:7" ht="16.5" customHeight="1" x14ac:dyDescent="0.25">
      <c r="A15" s="302"/>
      <c r="B15" s="300"/>
      <c r="C15" s="300"/>
      <c r="D15" s="301"/>
      <c r="E15" s="300"/>
      <c r="F15" s="300"/>
      <c r="G15" s="300"/>
    </row>
    <row r="16" spans="1:7" ht="16.5" customHeight="1" x14ac:dyDescent="0.25">
      <c r="A16" s="302"/>
      <c r="B16" s="300"/>
      <c r="C16" s="300"/>
      <c r="D16" s="301"/>
      <c r="E16" s="300"/>
      <c r="F16" s="300"/>
      <c r="G16" s="300"/>
    </row>
    <row r="17" spans="1:7" ht="16.5" customHeight="1" x14ac:dyDescent="0.25">
      <c r="A17" s="302"/>
      <c r="B17" s="300"/>
      <c r="C17" s="300"/>
      <c r="D17" s="301"/>
      <c r="E17" s="300"/>
      <c r="F17" s="300"/>
      <c r="G17" s="300"/>
    </row>
    <row r="18" spans="1:7" ht="16.5" customHeight="1" x14ac:dyDescent="0.25">
      <c r="A18" s="302"/>
      <c r="B18" s="300"/>
      <c r="C18" s="300"/>
      <c r="D18" s="301"/>
      <c r="E18" s="300"/>
      <c r="F18" s="300"/>
      <c r="G18" s="300"/>
    </row>
    <row r="19" spans="1:7" ht="16.5" customHeight="1" x14ac:dyDescent="0.25">
      <c r="A19" s="302"/>
      <c r="B19" s="300"/>
      <c r="C19" s="300"/>
      <c r="D19" s="301"/>
      <c r="E19" s="300"/>
      <c r="F19" s="300"/>
      <c r="G19" s="300"/>
    </row>
    <row r="20" spans="1:7" ht="16.5" customHeight="1" x14ac:dyDescent="0.25">
      <c r="A20" s="302"/>
      <c r="B20" s="300"/>
      <c r="C20" s="300"/>
      <c r="D20" s="301"/>
      <c r="E20" s="300"/>
      <c r="F20" s="300"/>
      <c r="G20" s="300"/>
    </row>
    <row r="21" spans="1:7" ht="16.5" customHeight="1" x14ac:dyDescent="0.25">
      <c r="A21" s="302"/>
      <c r="B21" s="300"/>
      <c r="C21" s="300"/>
      <c r="D21" s="301"/>
      <c r="E21" s="300"/>
      <c r="F21" s="300"/>
      <c r="G21" s="300"/>
    </row>
    <row r="22" spans="1:7" ht="16.5" customHeight="1" x14ac:dyDescent="0.25">
      <c r="A22" s="302"/>
      <c r="B22" s="300"/>
      <c r="C22" s="300"/>
      <c r="D22" s="301"/>
      <c r="E22" s="300"/>
      <c r="F22" s="300"/>
      <c r="G22" s="300"/>
    </row>
    <row r="23" spans="1:7" ht="16.5" customHeight="1" x14ac:dyDescent="0.25">
      <c r="A23" s="302"/>
      <c r="B23" s="300"/>
      <c r="C23" s="300"/>
      <c r="D23" s="301"/>
      <c r="E23" s="300"/>
      <c r="F23" s="300"/>
      <c r="G23" s="300"/>
    </row>
    <row r="24" spans="1:7" ht="16.5" customHeight="1" x14ac:dyDescent="0.25">
      <c r="A24" s="302"/>
      <c r="B24" s="300"/>
      <c r="C24" s="300"/>
      <c r="D24" s="301"/>
      <c r="E24" s="300"/>
      <c r="F24" s="300"/>
      <c r="G24" s="300"/>
    </row>
    <row r="25" spans="1:7" ht="18.75" customHeight="1" x14ac:dyDescent="0.25"/>
    <row r="26" spans="1:7" s="174" customFormat="1" ht="15.75" x14ac:dyDescent="0.25">
      <c r="A26" s="299" t="s">
        <v>311</v>
      </c>
      <c r="B26" s="299"/>
      <c r="C26" s="299"/>
      <c r="D26" s="299"/>
      <c r="E26" s="299"/>
      <c r="F26" s="299"/>
      <c r="G26" s="294"/>
    </row>
    <row r="27" spans="1:7" s="174" customFormat="1" ht="13.5" x14ac:dyDescent="0.25">
      <c r="A27" s="297" t="s">
        <v>310</v>
      </c>
      <c r="B27" s="294"/>
      <c r="C27" s="294"/>
      <c r="D27" s="294"/>
      <c r="E27" s="294"/>
      <c r="F27" s="294"/>
      <c r="G27" s="294"/>
    </row>
    <row r="28" spans="1:7" s="174" customFormat="1" ht="28.5" customHeight="1" x14ac:dyDescent="0.25">
      <c r="A28" s="296" t="s">
        <v>309</v>
      </c>
      <c r="B28" s="296"/>
      <c r="C28" s="296"/>
      <c r="D28" s="296"/>
      <c r="E28" s="296"/>
      <c r="F28" s="296"/>
      <c r="G28" s="296"/>
    </row>
    <row r="29" spans="1:7" s="174" customFormat="1" ht="13.5" x14ac:dyDescent="0.25">
      <c r="A29" s="297" t="s">
        <v>308</v>
      </c>
      <c r="B29" s="294"/>
      <c r="C29" s="294"/>
      <c r="D29" s="294"/>
      <c r="E29" s="294"/>
      <c r="F29" s="294"/>
      <c r="G29" s="294"/>
    </row>
    <row r="30" spans="1:7" s="174" customFormat="1" ht="25.5" customHeight="1" x14ac:dyDescent="0.25">
      <c r="A30" s="296" t="s">
        <v>307</v>
      </c>
      <c r="B30" s="296"/>
      <c r="C30" s="296"/>
      <c r="D30" s="296"/>
      <c r="E30" s="296"/>
      <c r="F30" s="296"/>
      <c r="G30" s="296"/>
    </row>
    <row r="31" spans="1:7" s="174" customFormat="1" ht="13.5" x14ac:dyDescent="0.25">
      <c r="A31" s="298" t="s">
        <v>306</v>
      </c>
      <c r="B31" s="298"/>
      <c r="C31" s="298"/>
      <c r="D31" s="298"/>
      <c r="E31" s="294"/>
      <c r="F31" s="294"/>
      <c r="G31" s="294"/>
    </row>
    <row r="32" spans="1:7" s="174" customFormat="1" ht="13.5" customHeight="1" x14ac:dyDescent="0.25">
      <c r="A32" s="296" t="s">
        <v>305</v>
      </c>
      <c r="B32" s="296"/>
      <c r="C32" s="296"/>
      <c r="D32" s="296"/>
      <c r="E32" s="296"/>
      <c r="F32" s="296"/>
      <c r="G32" s="296"/>
    </row>
    <row r="33" spans="1:7" s="174" customFormat="1" ht="13.5" x14ac:dyDescent="0.25">
      <c r="A33" s="297" t="s">
        <v>304</v>
      </c>
      <c r="B33" s="294"/>
      <c r="C33" s="294"/>
      <c r="D33" s="294"/>
      <c r="E33" s="294"/>
      <c r="F33" s="294"/>
      <c r="G33" s="294"/>
    </row>
    <row r="34" spans="1:7" s="174" customFormat="1" ht="13.5" customHeight="1" x14ac:dyDescent="0.25">
      <c r="A34" s="296" t="s">
        <v>303</v>
      </c>
      <c r="B34" s="296"/>
      <c r="C34" s="296"/>
      <c r="D34" s="296"/>
      <c r="E34" s="296"/>
      <c r="F34" s="296"/>
      <c r="G34" s="296"/>
    </row>
    <row r="35" spans="1:7" s="174" customFormat="1" ht="13.5" x14ac:dyDescent="0.25">
      <c r="A35" s="295" t="s">
        <v>300</v>
      </c>
      <c r="B35" s="294"/>
      <c r="C35" s="294"/>
      <c r="D35" s="294"/>
      <c r="E35" s="294"/>
      <c r="F35" s="294"/>
      <c r="G35" s="294"/>
    </row>
    <row r="36" spans="1:7" s="174" customFormat="1" ht="13.5" x14ac:dyDescent="0.25">
      <c r="A36" s="297" t="s">
        <v>302</v>
      </c>
      <c r="B36" s="294"/>
      <c r="C36" s="294"/>
      <c r="D36" s="294"/>
      <c r="E36" s="294"/>
      <c r="F36" s="294"/>
      <c r="G36" s="294"/>
    </row>
    <row r="37" spans="1:7" s="174" customFormat="1" ht="13.5" customHeight="1" x14ac:dyDescent="0.25">
      <c r="A37" s="296" t="s">
        <v>301</v>
      </c>
      <c r="B37" s="296"/>
      <c r="C37" s="296"/>
      <c r="D37" s="296"/>
      <c r="E37" s="296"/>
      <c r="F37" s="296"/>
      <c r="G37" s="296"/>
    </row>
    <row r="38" spans="1:7" s="174" customFormat="1" ht="13.5" x14ac:dyDescent="0.25">
      <c r="A38" s="295" t="s">
        <v>300</v>
      </c>
      <c r="B38" s="294"/>
      <c r="C38" s="294"/>
      <c r="D38" s="294"/>
      <c r="E38" s="294"/>
      <c r="F38" s="294"/>
      <c r="G38" s="294"/>
    </row>
    <row r="39" spans="1:7" ht="8.25" customHeight="1" x14ac:dyDescent="0.25"/>
  </sheetData>
  <sheetProtection formatColumns="0" formatRows="0" insertHyperlinks="0"/>
  <mergeCells count="13">
    <mergeCell ref="A6:A7"/>
    <mergeCell ref="A1:G1"/>
    <mergeCell ref="A2:G2"/>
    <mergeCell ref="A3:G3"/>
    <mergeCell ref="A4:G4"/>
    <mergeCell ref="A5:E5"/>
    <mergeCell ref="A34:G34"/>
    <mergeCell ref="A37:G37"/>
    <mergeCell ref="A26:F26"/>
    <mergeCell ref="A28:G28"/>
    <mergeCell ref="A30:G30"/>
    <mergeCell ref="A31:D31"/>
    <mergeCell ref="A32:G32"/>
  </mergeCells>
  <pageMargins left="0.39370078740157483" right="0.39370078740157483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C3374-8252-45A5-9542-C8A018CC8948}">
  <sheetPr>
    <tabColor theme="0" tint="-0.14999847407452621"/>
  </sheetPr>
  <dimension ref="A1:H33"/>
  <sheetViews>
    <sheetView view="pageBreakPreview" topLeftCell="A4" zoomScale="115" zoomScaleNormal="100" zoomScaleSheetLayoutView="115" workbookViewId="0">
      <selection activeCell="T27" sqref="T27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8" width="13.28515625" style="1" bestFit="1" customWidth="1"/>
    <col min="9" max="16384" width="11.28515625" style="1"/>
  </cols>
  <sheetData>
    <row r="1" spans="1:8" x14ac:dyDescent="0.25">
      <c r="A1" s="105" t="str">
        <f>'[1]ETCA-I-01'!A1:G1</f>
        <v xml:space="preserve">Comision Estatal del Agua  </v>
      </c>
      <c r="B1" s="105"/>
      <c r="C1" s="105"/>
      <c r="D1" s="105"/>
      <c r="E1" s="105"/>
      <c r="F1" s="105"/>
      <c r="G1" s="105"/>
    </row>
    <row r="2" spans="1:8" s="26" customFormat="1" x14ac:dyDescent="0.25">
      <c r="A2" s="105" t="s">
        <v>213</v>
      </c>
      <c r="B2" s="105"/>
      <c r="C2" s="105"/>
      <c r="D2" s="105"/>
      <c r="E2" s="105"/>
      <c r="F2" s="105"/>
      <c r="G2" s="105"/>
    </row>
    <row r="3" spans="1:8" s="26" customFormat="1" x14ac:dyDescent="0.25">
      <c r="A3" s="105" t="s">
        <v>326</v>
      </c>
      <c r="B3" s="105"/>
      <c r="C3" s="105"/>
      <c r="D3" s="105"/>
      <c r="E3" s="105"/>
      <c r="F3" s="105"/>
      <c r="G3" s="105"/>
    </row>
    <row r="4" spans="1:8" s="26" customFormat="1" x14ac:dyDescent="0.25">
      <c r="A4" s="104" t="str">
        <f>'[1]ETCA-I-03'!A3:D3</f>
        <v>Del 01 de Enero al 30 de Junio de 2020</v>
      </c>
      <c r="B4" s="104"/>
      <c r="C4" s="104"/>
      <c r="D4" s="104"/>
      <c r="E4" s="104"/>
      <c r="F4" s="104"/>
      <c r="G4" s="104"/>
    </row>
    <row r="5" spans="1:8" s="26" customFormat="1" ht="17.25" thickBot="1" x14ac:dyDescent="0.3">
      <c r="A5" s="253" t="s">
        <v>327</v>
      </c>
      <c r="B5" s="253"/>
      <c r="C5" s="253"/>
      <c r="D5" s="253"/>
      <c r="E5" s="253"/>
      <c r="F5" s="102"/>
      <c r="G5" s="319"/>
    </row>
    <row r="6" spans="1:8" s="335" customFormat="1" ht="38.25" x14ac:dyDescent="0.25">
      <c r="A6" s="336" t="s">
        <v>326</v>
      </c>
      <c r="B6" s="251" t="s">
        <v>209</v>
      </c>
      <c r="C6" s="251" t="s">
        <v>109</v>
      </c>
      <c r="D6" s="251" t="s">
        <v>208</v>
      </c>
      <c r="E6" s="249" t="s">
        <v>207</v>
      </c>
      <c r="F6" s="249" t="s">
        <v>206</v>
      </c>
      <c r="G6" s="318" t="s">
        <v>205</v>
      </c>
    </row>
    <row r="7" spans="1:8" s="331" customFormat="1" ht="17.25" thickBot="1" x14ac:dyDescent="0.3">
      <c r="A7" s="334"/>
      <c r="B7" s="333" t="s">
        <v>26</v>
      </c>
      <c r="C7" s="333" t="s">
        <v>25</v>
      </c>
      <c r="D7" s="333" t="s">
        <v>204</v>
      </c>
      <c r="E7" s="333" t="s">
        <v>23</v>
      </c>
      <c r="F7" s="333" t="s">
        <v>22</v>
      </c>
      <c r="G7" s="332" t="s">
        <v>203</v>
      </c>
    </row>
    <row r="8" spans="1:8" ht="21" customHeight="1" x14ac:dyDescent="0.25">
      <c r="A8" s="328" t="s">
        <v>325</v>
      </c>
      <c r="B8" s="327">
        <v>3479411.7612575777</v>
      </c>
      <c r="C8" s="327">
        <v>-73203.473065350554</v>
      </c>
      <c r="D8" s="327">
        <f>IF($A8="","",B8+C8)</f>
        <v>3406208.288192227</v>
      </c>
      <c r="E8" s="327">
        <v>1659989.8422000001</v>
      </c>
      <c r="F8" s="327">
        <v>1522782.8213217249</v>
      </c>
      <c r="G8" s="324">
        <f>IF($A8="","",D8-E8)</f>
        <v>1746218.4459922269</v>
      </c>
      <c r="H8" s="326"/>
    </row>
    <row r="9" spans="1:8" ht="21" customHeight="1" x14ac:dyDescent="0.25">
      <c r="A9" s="328" t="s">
        <v>324</v>
      </c>
      <c r="B9" s="327">
        <f>30640757.8418159+48432617</f>
        <v>79073374.841815904</v>
      </c>
      <c r="C9" s="327">
        <f>1104034.82610021+12009350.56+2162000-102843.02</f>
        <v>15172542.366100211</v>
      </c>
      <c r="D9" s="327">
        <f>IF($A9="","",B9+C9)</f>
        <v>94245917.207916111</v>
      </c>
      <c r="E9" s="327">
        <f>11465429.31662+11987534.04+2161999.68</f>
        <v>25614963.036619999</v>
      </c>
      <c r="F9" s="327">
        <v>23497749.618311424</v>
      </c>
      <c r="G9" s="324">
        <f>IF($A9="","",D9-E9)</f>
        <v>68630954.17129612</v>
      </c>
      <c r="H9" s="326"/>
    </row>
    <row r="10" spans="1:8" ht="21" customHeight="1" x14ac:dyDescent="0.25">
      <c r="A10" s="328" t="s">
        <v>323</v>
      </c>
      <c r="B10" s="327">
        <f>6363853.21542498+15000000</f>
        <v>21363853.215424981</v>
      </c>
      <c r="C10" s="327">
        <v>-119475.78484085736</v>
      </c>
      <c r="D10" s="327">
        <f>IF($A10="","",B10+C10)</f>
        <v>21244377.430584125</v>
      </c>
      <c r="E10" s="327">
        <v>3442074.9964127168</v>
      </c>
      <c r="F10" s="327">
        <v>3157569.1254180628</v>
      </c>
      <c r="G10" s="324">
        <f>IF($A10="","",D10-E10)</f>
        <v>17802302.434171408</v>
      </c>
      <c r="H10" s="326"/>
    </row>
    <row r="11" spans="1:8" ht="21" customHeight="1" x14ac:dyDescent="0.25">
      <c r="A11" s="330" t="s">
        <v>322</v>
      </c>
      <c r="B11" s="329">
        <f>10562992.1448452+119755176</f>
        <v>130318168.1448452</v>
      </c>
      <c r="C11" s="329">
        <f>-180089.869748779+43640495.19</f>
        <v>43460405.320251219</v>
      </c>
      <c r="D11" s="329">
        <f>IF($A11="","",B11+C11)</f>
        <v>173778573.46509641</v>
      </c>
      <c r="E11" s="329">
        <f>4720859.55169012+10227607.74</f>
        <v>14948467.29169012</v>
      </c>
      <c r="F11" s="329">
        <v>13712896.68056464</v>
      </c>
      <c r="G11" s="324">
        <f>IF($A11="","",D11-E11)</f>
        <v>158830106.1734063</v>
      </c>
      <c r="H11" s="326"/>
    </row>
    <row r="12" spans="1:8" ht="21" customHeight="1" x14ac:dyDescent="0.25">
      <c r="A12" s="330" t="s">
        <v>321</v>
      </c>
      <c r="B12" s="329">
        <f>7075008.3903317+32000000</f>
        <v>39075008.3903317</v>
      </c>
      <c r="C12" s="329">
        <v>140128.01421579003</v>
      </c>
      <c r="D12" s="329">
        <f>IF($A12="","",B12+C12)</f>
        <v>39215136.40454749</v>
      </c>
      <c r="E12" s="329">
        <v>4421044.8555926709</v>
      </c>
      <c r="F12" s="329">
        <v>4055621.9003526769</v>
      </c>
      <c r="G12" s="324">
        <f>IF($A12="","",D12-E12)</f>
        <v>34794091.548954822</v>
      </c>
      <c r="H12" s="326"/>
    </row>
    <row r="13" spans="1:8" ht="21" customHeight="1" x14ac:dyDescent="0.25">
      <c r="A13" s="328" t="s">
        <v>320</v>
      </c>
      <c r="B13" s="327">
        <v>5682050.4859565804</v>
      </c>
      <c r="C13" s="327">
        <v>-289396.48933729529</v>
      </c>
      <c r="D13" s="327">
        <f>IF($A13="","",B13+C13)</f>
        <v>5392653.9966192851</v>
      </c>
      <c r="E13" s="327">
        <v>2147933.5520423981</v>
      </c>
      <c r="F13" s="327">
        <v>1970395.3790800592</v>
      </c>
      <c r="G13" s="324">
        <f>IF($A13="","",D13-E13)</f>
        <v>3244720.4445768869</v>
      </c>
      <c r="H13" s="326"/>
    </row>
    <row r="14" spans="1:8" ht="21" customHeight="1" x14ac:dyDescent="0.25">
      <c r="A14" s="323" t="s">
        <v>319</v>
      </c>
      <c r="B14" s="325">
        <v>4079523.2336262274</v>
      </c>
      <c r="C14" s="325">
        <v>15322.720447555592</v>
      </c>
      <c r="D14" s="325">
        <f>IF($A14="","",B14+C14)</f>
        <v>4094845.954073783</v>
      </c>
      <c r="E14" s="325">
        <v>2112014.7196420473</v>
      </c>
      <c r="F14" s="325">
        <v>1937445.4298992264</v>
      </c>
      <c r="G14" s="324">
        <f>IF($A14="","",D14-E14)</f>
        <v>1982831.2344317357</v>
      </c>
      <c r="H14" s="326"/>
    </row>
    <row r="15" spans="1:8" ht="21" customHeight="1" x14ac:dyDescent="0.25">
      <c r="A15" s="328" t="s">
        <v>318</v>
      </c>
      <c r="B15" s="327">
        <v>216250.92891638639</v>
      </c>
      <c r="C15" s="327">
        <v>-5651.09551381443</v>
      </c>
      <c r="D15" s="327">
        <f>IF($A15="","",B15+C15)</f>
        <v>210599.83340257197</v>
      </c>
      <c r="E15" s="327">
        <v>47028.054800000005</v>
      </c>
      <c r="F15" s="327">
        <v>43140.935052172747</v>
      </c>
      <c r="G15" s="324">
        <f>IF($A15="","",D15-E15)</f>
        <v>163571.77860257195</v>
      </c>
      <c r="H15" s="326"/>
    </row>
    <row r="16" spans="1:8" ht="21" customHeight="1" x14ac:dyDescent="0.25">
      <c r="A16" s="323" t="s">
        <v>317</v>
      </c>
      <c r="B16" s="325">
        <v>340101776.66375589</v>
      </c>
      <c r="C16" s="325">
        <v>58160493.25999999</v>
      </c>
      <c r="D16" s="325">
        <f>IF($A16="","",B16+C16)</f>
        <v>398262269.92375588</v>
      </c>
      <c r="E16" s="325">
        <v>244098589.43000001</v>
      </c>
      <c r="F16" s="325">
        <v>218330753.59999999</v>
      </c>
      <c r="G16" s="324">
        <f>IF($A16="","",D16-E16)</f>
        <v>154163680.49375588</v>
      </c>
    </row>
    <row r="17" spans="1:7" ht="21" customHeight="1" x14ac:dyDescent="0.25">
      <c r="A17" s="323"/>
      <c r="B17" s="312"/>
      <c r="C17" s="312"/>
      <c r="D17" s="312" t="str">
        <f>IF($A17="","",B17+C17)</f>
        <v/>
      </c>
      <c r="E17" s="312"/>
      <c r="F17" s="312"/>
      <c r="G17" s="322" t="str">
        <f>IF($A17="","",D17-E17)</f>
        <v/>
      </c>
    </row>
    <row r="18" spans="1:7" ht="21" customHeight="1" x14ac:dyDescent="0.25">
      <c r="A18" s="323"/>
      <c r="B18" s="312"/>
      <c r="C18" s="312"/>
      <c r="D18" s="312" t="str">
        <f>IF($A18="","",B18+C18)</f>
        <v/>
      </c>
      <c r="E18" s="312"/>
      <c r="F18" s="312"/>
      <c r="G18" s="322" t="str">
        <f>IF($A18="","",D18-E18)</f>
        <v/>
      </c>
    </row>
    <row r="19" spans="1:7" ht="21" customHeight="1" x14ac:dyDescent="0.25">
      <c r="A19" s="323"/>
      <c r="B19" s="312"/>
      <c r="C19" s="312"/>
      <c r="D19" s="312" t="str">
        <f>IF($A19="","",B19+C19)</f>
        <v/>
      </c>
      <c r="E19" s="312"/>
      <c r="F19" s="312"/>
      <c r="G19" s="322" t="str">
        <f>IF($A19="","",D19-E19)</f>
        <v/>
      </c>
    </row>
    <row r="20" spans="1:7" ht="21" customHeight="1" x14ac:dyDescent="0.25">
      <c r="A20" s="323"/>
      <c r="B20" s="312"/>
      <c r="C20" s="312"/>
      <c r="D20" s="312" t="str">
        <f>IF($A20="","",B20+C20)</f>
        <v/>
      </c>
      <c r="E20" s="312"/>
      <c r="F20" s="312"/>
      <c r="G20" s="322" t="str">
        <f>IF($A20="","",D20-E20)</f>
        <v/>
      </c>
    </row>
    <row r="21" spans="1:7" ht="21" customHeight="1" x14ac:dyDescent="0.25">
      <c r="A21" s="323"/>
      <c r="B21" s="312"/>
      <c r="C21" s="312"/>
      <c r="D21" s="312" t="str">
        <f>IF($A21="","",B21+C21)</f>
        <v/>
      </c>
      <c r="E21" s="312"/>
      <c r="F21" s="312"/>
      <c r="G21" s="322" t="str">
        <f>IF($A21="","",D21-E21)</f>
        <v/>
      </c>
    </row>
    <row r="22" spans="1:7" ht="21" customHeight="1" x14ac:dyDescent="0.25">
      <c r="A22" s="323"/>
      <c r="B22" s="312"/>
      <c r="C22" s="312"/>
      <c r="D22" s="312" t="str">
        <f>IF($A22="","",B22+C22)</f>
        <v/>
      </c>
      <c r="E22" s="312"/>
      <c r="F22" s="312"/>
      <c r="G22" s="322" t="str">
        <f>IF($A22="","",D22-E22)</f>
        <v/>
      </c>
    </row>
    <row r="23" spans="1:7" ht="21" customHeight="1" x14ac:dyDescent="0.25">
      <c r="A23" s="323"/>
      <c r="B23" s="312"/>
      <c r="C23" s="312"/>
      <c r="D23" s="312" t="str">
        <f>IF($A23="","",B23+C23)</f>
        <v/>
      </c>
      <c r="E23" s="312"/>
      <c r="F23" s="312"/>
      <c r="G23" s="322" t="str">
        <f>IF($A23="","",D23-E23)</f>
        <v/>
      </c>
    </row>
    <row r="24" spans="1:7" ht="21" customHeight="1" x14ac:dyDescent="0.25">
      <c r="A24" s="323"/>
      <c r="B24" s="312"/>
      <c r="C24" s="312"/>
      <c r="D24" s="312" t="str">
        <f>IF($A24="","",B24+C24)</f>
        <v/>
      </c>
      <c r="E24" s="312"/>
      <c r="F24" s="312"/>
      <c r="G24" s="322" t="str">
        <f>IF($A24="","",D24-E24)</f>
        <v/>
      </c>
    </row>
    <row r="25" spans="1:7" ht="21" customHeight="1" x14ac:dyDescent="0.25">
      <c r="A25" s="323"/>
      <c r="B25" s="312"/>
      <c r="C25" s="312"/>
      <c r="D25" s="312" t="str">
        <f>IF($A25="","",B25+C25)</f>
        <v/>
      </c>
      <c r="E25" s="312"/>
      <c r="F25" s="312"/>
      <c r="G25" s="322" t="str">
        <f>IF($A25="","",D25-E25)</f>
        <v/>
      </c>
    </row>
    <row r="26" spans="1:7" ht="21" customHeight="1" x14ac:dyDescent="0.25">
      <c r="A26" s="323"/>
      <c r="B26" s="312"/>
      <c r="C26" s="312"/>
      <c r="D26" s="312" t="str">
        <f>IF($A26="","",B26+C26)</f>
        <v/>
      </c>
      <c r="E26" s="312"/>
      <c r="F26" s="312"/>
      <c r="G26" s="322" t="str">
        <f>IF($A26="","",D26-E26)</f>
        <v/>
      </c>
    </row>
    <row r="27" spans="1:7" ht="21" customHeight="1" x14ac:dyDescent="0.25">
      <c r="A27" s="323"/>
      <c r="B27" s="312"/>
      <c r="C27" s="312"/>
      <c r="D27" s="312" t="str">
        <f>IF($A27="","",B27+C27)</f>
        <v/>
      </c>
      <c r="E27" s="312"/>
      <c r="F27" s="312"/>
      <c r="G27" s="322" t="str">
        <f>IF($A27="","",D27-E27)</f>
        <v/>
      </c>
    </row>
    <row r="28" spans="1:7" ht="21" customHeight="1" x14ac:dyDescent="0.25">
      <c r="A28" s="323"/>
      <c r="B28" s="312"/>
      <c r="C28" s="312"/>
      <c r="D28" s="312" t="str">
        <f>IF($A28="","",B28+C28)</f>
        <v/>
      </c>
      <c r="E28" s="312"/>
      <c r="F28" s="312"/>
      <c r="G28" s="322" t="str">
        <f>IF($A28="","",D28-E28)</f>
        <v/>
      </c>
    </row>
    <row r="29" spans="1:7" ht="21" customHeight="1" x14ac:dyDescent="0.25">
      <c r="A29" s="323"/>
      <c r="B29" s="312"/>
      <c r="C29" s="312"/>
      <c r="D29" s="312" t="str">
        <f>IF($A29="","",B29+C29)</f>
        <v/>
      </c>
      <c r="E29" s="312"/>
      <c r="F29" s="312"/>
      <c r="G29" s="322" t="str">
        <f>IF($A29="","",D29-E29)</f>
        <v/>
      </c>
    </row>
    <row r="30" spans="1:7" ht="21" customHeight="1" thickBot="1" x14ac:dyDescent="0.3">
      <c r="A30" s="323"/>
      <c r="B30" s="312"/>
      <c r="C30" s="312"/>
      <c r="D30" s="312" t="str">
        <f>IF($A30="","",B30+C30)</f>
        <v/>
      </c>
      <c r="E30" s="312"/>
      <c r="F30" s="312"/>
      <c r="G30" s="322" t="str">
        <f>IF($A30="","",D30-E30)</f>
        <v/>
      </c>
    </row>
    <row r="31" spans="1:7" ht="21" customHeight="1" thickBot="1" x14ac:dyDescent="0.3">
      <c r="A31" s="321" t="s">
        <v>130</v>
      </c>
      <c r="B31" s="231">
        <f>SUM(B8:B30)</f>
        <v>623389417.66593051</v>
      </c>
      <c r="C31" s="231">
        <f>SUM(C8:C30)</f>
        <v>116461164.83825745</v>
      </c>
      <c r="D31" s="231">
        <f>IF($A31="","",B31+C31)</f>
        <v>739850582.50418794</v>
      </c>
      <c r="E31" s="231">
        <f>SUM(E8:E30)</f>
        <v>298492105.77899992</v>
      </c>
      <c r="F31" s="231">
        <f>SUM(F8:F30)</f>
        <v>268228355.48999998</v>
      </c>
      <c r="G31" s="230">
        <f>IF($A31="","",D31-E31)</f>
        <v>441358476.72518802</v>
      </c>
    </row>
    <row r="32" spans="1:7" x14ac:dyDescent="0.25">
      <c r="B32" s="320"/>
      <c r="C32" s="320"/>
      <c r="D32" s="320"/>
      <c r="E32" s="320"/>
      <c r="F32" s="320"/>
      <c r="G32" s="320"/>
    </row>
    <row r="33" spans="2:7" x14ac:dyDescent="0.25">
      <c r="B33" s="320"/>
      <c r="C33" s="320"/>
      <c r="D33" s="320"/>
      <c r="E33" s="320"/>
      <c r="F33" s="320"/>
      <c r="G33" s="320"/>
    </row>
  </sheetData>
  <sheetProtection formatColumns="0" formatRows="0" insertRows="0" deleteColumns="0" deleteRows="0"/>
  <mergeCells count="6">
    <mergeCell ref="A6:A7"/>
    <mergeCell ref="A1:G1"/>
    <mergeCell ref="A2:G2"/>
    <mergeCell ref="A3:G3"/>
    <mergeCell ref="A4:G4"/>
    <mergeCell ref="A5:E5"/>
  </mergeCells>
  <printOptions horizontalCentered="1"/>
  <pageMargins left="0.51181102362204722" right="0.15748031496062992" top="0.74803149606299213" bottom="0.74803149606299213" header="0.31496062992125984" footer="0.31496062992125984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97117-8C3F-471D-8E60-BE02EE9F0AF3}">
  <sheetPr>
    <tabColor theme="0" tint="-0.14999847407452621"/>
  </sheetPr>
  <dimension ref="A1:H39"/>
  <sheetViews>
    <sheetView view="pageBreakPreview" topLeftCell="A19" zoomScaleNormal="100" zoomScaleSheetLayoutView="100" workbookViewId="0">
      <selection activeCell="T27" sqref="T27"/>
    </sheetView>
  </sheetViews>
  <sheetFormatPr baseColWidth="10" defaultColWidth="11.42578125" defaultRowHeight="15" x14ac:dyDescent="0.25"/>
  <cols>
    <col min="1" max="1" width="32.42578125" customWidth="1"/>
    <col min="2" max="2" width="12.140625" customWidth="1"/>
    <col min="3" max="3" width="13.140625" customWidth="1"/>
    <col min="4" max="4" width="12.42578125" customWidth="1"/>
    <col min="5" max="5" width="12.85546875" customWidth="1"/>
    <col min="6" max="6" width="14" customWidth="1"/>
    <col min="7" max="7" width="15.42578125" customWidth="1"/>
  </cols>
  <sheetData>
    <row r="1" spans="1:7" s="340" customFormat="1" ht="15.75" x14ac:dyDescent="0.2">
      <c r="A1" s="362" t="str">
        <f>'[1]ETCA-I-01'!A1:G1</f>
        <v xml:space="preserve">Comision Estatal del Agua  </v>
      </c>
      <c r="B1" s="361"/>
      <c r="C1" s="361"/>
      <c r="D1" s="361"/>
      <c r="E1" s="361"/>
      <c r="F1" s="361"/>
      <c r="G1" s="360"/>
    </row>
    <row r="2" spans="1:7" s="340" customFormat="1" ht="12.75" x14ac:dyDescent="0.2">
      <c r="A2" s="359" t="s">
        <v>299</v>
      </c>
      <c r="B2" s="358"/>
      <c r="C2" s="358"/>
      <c r="D2" s="358"/>
      <c r="E2" s="358"/>
      <c r="F2" s="358"/>
      <c r="G2" s="357"/>
    </row>
    <row r="3" spans="1:7" s="340" customFormat="1" ht="12.75" x14ac:dyDescent="0.2">
      <c r="A3" s="359" t="s">
        <v>335</v>
      </c>
      <c r="B3" s="358"/>
      <c r="C3" s="358"/>
      <c r="D3" s="358"/>
      <c r="E3" s="358"/>
      <c r="F3" s="358"/>
      <c r="G3" s="357"/>
    </row>
    <row r="4" spans="1:7" s="340" customFormat="1" ht="12.75" x14ac:dyDescent="0.2">
      <c r="A4" s="359" t="str">
        <f>'[1]ETCA-I-03'!A3:D3</f>
        <v>Del 01 de Enero al 30 de Junio de 2020</v>
      </c>
      <c r="B4" s="358"/>
      <c r="C4" s="358"/>
      <c r="D4" s="358"/>
      <c r="E4" s="358"/>
      <c r="F4" s="358"/>
      <c r="G4" s="357"/>
    </row>
    <row r="5" spans="1:7" s="340" customFormat="1" ht="20.25" customHeight="1" thickBot="1" x14ac:dyDescent="0.25">
      <c r="A5" s="356" t="s">
        <v>297</v>
      </c>
      <c r="B5" s="355"/>
      <c r="C5" s="355"/>
      <c r="D5" s="355"/>
      <c r="E5" s="355"/>
      <c r="F5" s="355"/>
      <c r="G5" s="354"/>
    </row>
    <row r="6" spans="1:7" s="340" customFormat="1" ht="13.5" thickBot="1" x14ac:dyDescent="0.25">
      <c r="A6" s="350" t="s">
        <v>296</v>
      </c>
      <c r="B6" s="353" t="s">
        <v>295</v>
      </c>
      <c r="C6" s="352"/>
      <c r="D6" s="352"/>
      <c r="E6" s="352"/>
      <c r="F6" s="351"/>
      <c r="G6" s="350" t="s">
        <v>294</v>
      </c>
    </row>
    <row r="7" spans="1:7" s="340" customFormat="1" ht="26.25" thickBot="1" x14ac:dyDescent="0.25">
      <c r="A7" s="348"/>
      <c r="B7" s="349" t="s">
        <v>293</v>
      </c>
      <c r="C7" s="349" t="s">
        <v>109</v>
      </c>
      <c r="D7" s="349" t="s">
        <v>30</v>
      </c>
      <c r="E7" s="349" t="s">
        <v>108</v>
      </c>
      <c r="F7" s="349" t="s">
        <v>334</v>
      </c>
      <c r="G7" s="348"/>
    </row>
    <row r="8" spans="1:7" s="340" customFormat="1" ht="12.75" x14ac:dyDescent="0.2">
      <c r="A8" s="343" t="s">
        <v>333</v>
      </c>
      <c r="B8" s="347"/>
      <c r="C8" s="347"/>
      <c r="D8" s="347"/>
      <c r="E8" s="347"/>
      <c r="F8" s="347"/>
      <c r="G8" s="347"/>
    </row>
    <row r="9" spans="1:7" s="340" customFormat="1" ht="12.75" x14ac:dyDescent="0.2">
      <c r="A9" s="343" t="s">
        <v>332</v>
      </c>
      <c r="B9" s="342">
        <f>SUM(B10:B18)</f>
        <v>535114183.66593021</v>
      </c>
      <c r="C9" s="342">
        <f>SUM(C10:C18)</f>
        <v>72820669.648257434</v>
      </c>
      <c r="D9" s="342">
        <f>SUM(D10:D18)</f>
        <v>607934853.31418765</v>
      </c>
      <c r="E9" s="342">
        <f>SUM(E10:E18)</f>
        <v>290243021.87899995</v>
      </c>
      <c r="F9" s="342">
        <f>SUM(F10:F18)</f>
        <v>259979271.58999994</v>
      </c>
      <c r="G9" s="342">
        <f>SUM(G10:G18)</f>
        <v>317691831.43518776</v>
      </c>
    </row>
    <row r="10" spans="1:7" s="340" customFormat="1" ht="12.75" x14ac:dyDescent="0.2">
      <c r="A10" s="345" t="s">
        <v>325</v>
      </c>
      <c r="B10" s="342">
        <v>3479411.7612575777</v>
      </c>
      <c r="C10" s="342">
        <v>-73203.473065350554</v>
      </c>
      <c r="D10" s="342">
        <f>B10+C10</f>
        <v>3406208.288192227</v>
      </c>
      <c r="E10" s="342">
        <v>1659989.8422000001</v>
      </c>
      <c r="F10" s="342">
        <v>1522782.8213217249</v>
      </c>
      <c r="G10" s="342">
        <f>+D10-E10</f>
        <v>1746218.4459922269</v>
      </c>
    </row>
    <row r="11" spans="1:7" s="340" customFormat="1" ht="25.5" x14ac:dyDescent="0.2">
      <c r="A11" s="345" t="s">
        <v>324</v>
      </c>
      <c r="B11" s="342">
        <v>79073374.841815904</v>
      </c>
      <c r="C11" s="342">
        <v>15172542.366100211</v>
      </c>
      <c r="D11" s="342">
        <f>B11+C11</f>
        <v>94245917.207916111</v>
      </c>
      <c r="E11" s="342">
        <v>25614963.036619999</v>
      </c>
      <c r="F11" s="342">
        <v>23497749.618311424</v>
      </c>
      <c r="G11" s="342">
        <f>+D11-E11</f>
        <v>68630954.17129612</v>
      </c>
    </row>
    <row r="12" spans="1:7" s="340" customFormat="1" ht="25.5" x14ac:dyDescent="0.2">
      <c r="A12" s="345" t="s">
        <v>323</v>
      </c>
      <c r="B12" s="342">
        <v>21363853.215424981</v>
      </c>
      <c r="C12" s="342">
        <v>-119475.78484085736</v>
      </c>
      <c r="D12" s="342">
        <f>B12+C12</f>
        <v>21244377.430584125</v>
      </c>
      <c r="E12" s="342">
        <v>3442074.9964127168</v>
      </c>
      <c r="F12" s="342">
        <v>3157569.1254180628</v>
      </c>
      <c r="G12" s="342">
        <f>+D12-E12</f>
        <v>17802302.434171408</v>
      </c>
    </row>
    <row r="13" spans="1:7" s="340" customFormat="1" ht="25.5" x14ac:dyDescent="0.2">
      <c r="A13" s="345" t="s">
        <v>322</v>
      </c>
      <c r="B13" s="342">
        <v>42042934.144844994</v>
      </c>
      <c r="C13" s="342">
        <v>-180089.86974880099</v>
      </c>
      <c r="D13" s="342">
        <f>B13+C13</f>
        <v>41862844.275096193</v>
      </c>
      <c r="E13" s="342">
        <v>6699383.3916901005</v>
      </c>
      <c r="F13" s="342">
        <v>5463812.7805645997</v>
      </c>
      <c r="G13" s="342">
        <f>+D13-E13</f>
        <v>35163460.883406095</v>
      </c>
    </row>
    <row r="14" spans="1:7" s="340" customFormat="1" ht="25.5" x14ac:dyDescent="0.2">
      <c r="A14" s="345" t="s">
        <v>321</v>
      </c>
      <c r="B14" s="342">
        <v>39075008.3903317</v>
      </c>
      <c r="C14" s="342">
        <v>140128.01421579003</v>
      </c>
      <c r="D14" s="342">
        <f>B14+C14</f>
        <v>39215136.40454749</v>
      </c>
      <c r="E14" s="342">
        <v>4421044.8555926709</v>
      </c>
      <c r="F14" s="342">
        <v>4055621.9003526769</v>
      </c>
      <c r="G14" s="342">
        <f>+D14-E14</f>
        <v>34794091.548954822</v>
      </c>
    </row>
    <row r="15" spans="1:7" s="340" customFormat="1" ht="12.75" x14ac:dyDescent="0.2">
      <c r="A15" s="345" t="s">
        <v>329</v>
      </c>
      <c r="B15" s="342">
        <v>5682050.4859565804</v>
      </c>
      <c r="C15" s="342">
        <v>-289396.48933729529</v>
      </c>
      <c r="D15" s="342">
        <f>B15+C15</f>
        <v>5392653.9966192851</v>
      </c>
      <c r="E15" s="342">
        <v>2147933.5520423981</v>
      </c>
      <c r="F15" s="342">
        <v>1970395.3790800592</v>
      </c>
      <c r="G15" s="342">
        <f>+D15-E15</f>
        <v>3244720.4445768869</v>
      </c>
    </row>
    <row r="16" spans="1:7" s="340" customFormat="1" ht="12.75" x14ac:dyDescent="0.2">
      <c r="A16" s="345" t="s">
        <v>319</v>
      </c>
      <c r="B16" s="342">
        <v>4079523.2336262274</v>
      </c>
      <c r="C16" s="342">
        <v>15322.720447555592</v>
      </c>
      <c r="D16" s="342">
        <f>B16+C16</f>
        <v>4094845.954073783</v>
      </c>
      <c r="E16" s="342">
        <v>2112014.7196420473</v>
      </c>
      <c r="F16" s="342">
        <v>1937445.4298992264</v>
      </c>
      <c r="G16" s="342">
        <f>+D16-E16</f>
        <v>1982831.2344317357</v>
      </c>
    </row>
    <row r="17" spans="1:7" s="340" customFormat="1" ht="25.5" x14ac:dyDescent="0.2">
      <c r="A17" s="345" t="s">
        <v>328</v>
      </c>
      <c r="B17" s="342">
        <v>216250.92891638639</v>
      </c>
      <c r="C17" s="342">
        <v>-5651.09551381443</v>
      </c>
      <c r="D17" s="342">
        <f>B17+C17</f>
        <v>210599.83340257197</v>
      </c>
      <c r="E17" s="342">
        <v>47028.054800000005</v>
      </c>
      <c r="F17" s="342">
        <v>43140.935052172747</v>
      </c>
      <c r="G17" s="342">
        <f>+D17-E17</f>
        <v>163571.77860257195</v>
      </c>
    </row>
    <row r="18" spans="1:7" s="340" customFormat="1" ht="12.75" x14ac:dyDescent="0.2">
      <c r="A18" s="345" t="s">
        <v>317</v>
      </c>
      <c r="B18" s="342">
        <v>340101776.66375589</v>
      </c>
      <c r="C18" s="342">
        <v>58160493.25999999</v>
      </c>
      <c r="D18" s="342">
        <f>B18+C18</f>
        <v>398262269.92375588</v>
      </c>
      <c r="E18" s="342">
        <v>244098589.43000001</v>
      </c>
      <c r="F18" s="342">
        <v>218330753.59999999</v>
      </c>
      <c r="G18" s="342">
        <f>+D18-E18</f>
        <v>154163680.49375588</v>
      </c>
    </row>
    <row r="19" spans="1:7" s="340" customFormat="1" ht="12.75" x14ac:dyDescent="0.2">
      <c r="A19" s="345"/>
      <c r="B19" s="342"/>
      <c r="C19" s="342"/>
      <c r="D19" s="342"/>
      <c r="E19" s="342"/>
      <c r="F19" s="342"/>
      <c r="G19" s="342"/>
    </row>
    <row r="20" spans="1:7" s="340" customFormat="1" ht="12.75" x14ac:dyDescent="0.2">
      <c r="A20" s="345"/>
      <c r="B20" s="342"/>
      <c r="C20" s="342"/>
      <c r="D20" s="342"/>
      <c r="E20" s="342"/>
      <c r="F20" s="342"/>
      <c r="G20" s="342"/>
    </row>
    <row r="21" spans="1:7" s="340" customFormat="1" ht="12.75" x14ac:dyDescent="0.2">
      <c r="A21" s="346" t="s">
        <v>331</v>
      </c>
      <c r="B21" s="342"/>
      <c r="C21" s="342"/>
      <c r="D21" s="342"/>
      <c r="E21" s="342"/>
      <c r="F21" s="342"/>
      <c r="G21" s="342"/>
    </row>
    <row r="22" spans="1:7" s="340" customFormat="1" ht="12.75" x14ac:dyDescent="0.2">
      <c r="A22" s="346" t="s">
        <v>330</v>
      </c>
      <c r="B22" s="342">
        <f>SUM(B23:B30)</f>
        <v>88275234</v>
      </c>
      <c r="C22" s="342">
        <f>SUM(C23:C30)</f>
        <v>43640495.189999998</v>
      </c>
      <c r="D22" s="342">
        <f>SUM(D23:D30)</f>
        <v>131915729.19</v>
      </c>
      <c r="E22" s="342">
        <f>SUM(E23:E30)</f>
        <v>8249083.8999999994</v>
      </c>
      <c r="F22" s="342">
        <f>SUM(F23:F30)</f>
        <v>8249083.8999999994</v>
      </c>
      <c r="G22" s="342">
        <f>SUM(G23:G30)</f>
        <v>123666645.28999999</v>
      </c>
    </row>
    <row r="23" spans="1:7" s="340" customFormat="1" ht="12.75" x14ac:dyDescent="0.2">
      <c r="A23" s="345" t="s">
        <v>325</v>
      </c>
      <c r="B23" s="342"/>
      <c r="C23" s="342"/>
      <c r="D23" s="342">
        <f>B23+C23</f>
        <v>0</v>
      </c>
      <c r="E23" s="342"/>
      <c r="F23" s="342"/>
      <c r="G23" s="342">
        <f>+D23-E23</f>
        <v>0</v>
      </c>
    </row>
    <row r="24" spans="1:7" s="340" customFormat="1" ht="25.5" x14ac:dyDescent="0.2">
      <c r="A24" s="345" t="s">
        <v>324</v>
      </c>
      <c r="B24" s="342"/>
      <c r="C24" s="342"/>
      <c r="D24" s="342">
        <f>B24+C24</f>
        <v>0</v>
      </c>
      <c r="E24" s="342"/>
      <c r="F24" s="342"/>
      <c r="G24" s="342">
        <f>+D24-E24</f>
        <v>0</v>
      </c>
    </row>
    <row r="25" spans="1:7" s="340" customFormat="1" ht="25.5" x14ac:dyDescent="0.2">
      <c r="A25" s="345" t="s">
        <v>323</v>
      </c>
      <c r="B25" s="342"/>
      <c r="C25" s="342"/>
      <c r="D25" s="342">
        <f>B25+C25</f>
        <v>0</v>
      </c>
      <c r="E25" s="342"/>
      <c r="F25" s="342"/>
      <c r="G25" s="342">
        <f>+D25-E25</f>
        <v>0</v>
      </c>
    </row>
    <row r="26" spans="1:7" s="340" customFormat="1" ht="25.5" x14ac:dyDescent="0.2">
      <c r="A26" s="345" t="s">
        <v>322</v>
      </c>
      <c r="B26" s="342">
        <v>88275234</v>
      </c>
      <c r="C26" s="342">
        <v>43640495.189999998</v>
      </c>
      <c r="D26" s="342">
        <f>B26+C26</f>
        <v>131915729.19</v>
      </c>
      <c r="E26" s="342">
        <v>8249083.8999999994</v>
      </c>
      <c r="F26" s="342">
        <v>8249083.8999999994</v>
      </c>
      <c r="G26" s="342">
        <f>+D26-E26</f>
        <v>123666645.28999999</v>
      </c>
    </row>
    <row r="27" spans="1:7" s="340" customFormat="1" ht="25.5" x14ac:dyDescent="0.2">
      <c r="A27" s="345" t="s">
        <v>321</v>
      </c>
      <c r="B27" s="342"/>
      <c r="C27" s="342"/>
      <c r="D27" s="342">
        <f>B27+C27</f>
        <v>0</v>
      </c>
      <c r="E27" s="342"/>
      <c r="F27" s="342"/>
      <c r="G27" s="342">
        <f>+D27-E27</f>
        <v>0</v>
      </c>
    </row>
    <row r="28" spans="1:7" s="340" customFormat="1" ht="12.75" x14ac:dyDescent="0.2">
      <c r="A28" s="345" t="s">
        <v>329</v>
      </c>
      <c r="B28" s="342"/>
      <c r="C28" s="342"/>
      <c r="D28" s="342">
        <f>B28+C28</f>
        <v>0</v>
      </c>
      <c r="E28" s="342"/>
      <c r="F28" s="342"/>
      <c r="G28" s="342">
        <f>+D28-E28</f>
        <v>0</v>
      </c>
    </row>
    <row r="29" spans="1:7" s="340" customFormat="1" ht="12.75" x14ac:dyDescent="0.2">
      <c r="A29" s="345" t="s">
        <v>319</v>
      </c>
      <c r="B29" s="342"/>
      <c r="C29" s="342"/>
      <c r="D29" s="342">
        <f>B29+C29</f>
        <v>0</v>
      </c>
      <c r="E29" s="342"/>
      <c r="F29" s="342"/>
      <c r="G29" s="342">
        <f>+D29-E29</f>
        <v>0</v>
      </c>
    </row>
    <row r="30" spans="1:7" s="340" customFormat="1" ht="25.5" x14ac:dyDescent="0.2">
      <c r="A30" s="345" t="s">
        <v>328</v>
      </c>
      <c r="B30" s="342"/>
      <c r="C30" s="342"/>
      <c r="D30" s="342">
        <f>B30+C30</f>
        <v>0</v>
      </c>
      <c r="E30" s="342"/>
      <c r="F30" s="342"/>
      <c r="G30" s="342">
        <f>+D30-E30</f>
        <v>0</v>
      </c>
    </row>
    <row r="31" spans="1:7" s="340" customFormat="1" ht="12.75" x14ac:dyDescent="0.2">
      <c r="A31" s="345" t="s">
        <v>317</v>
      </c>
      <c r="B31" s="342"/>
      <c r="C31" s="342"/>
      <c r="D31" s="342"/>
      <c r="E31" s="342"/>
      <c r="F31" s="342"/>
      <c r="G31" s="342"/>
    </row>
    <row r="32" spans="1:7" s="340" customFormat="1" ht="12.75" x14ac:dyDescent="0.2">
      <c r="A32" s="345"/>
      <c r="B32" s="342"/>
      <c r="C32" s="342"/>
      <c r="D32" s="342"/>
      <c r="E32" s="342"/>
      <c r="F32" s="342"/>
      <c r="G32" s="342"/>
    </row>
    <row r="33" spans="1:8" s="340" customFormat="1" ht="12.75" x14ac:dyDescent="0.2">
      <c r="A33" s="344"/>
      <c r="B33" s="342"/>
      <c r="C33" s="342"/>
      <c r="D33" s="342"/>
      <c r="E33" s="342"/>
      <c r="F33" s="342"/>
      <c r="G33" s="342"/>
    </row>
    <row r="34" spans="1:8" s="340" customFormat="1" ht="12.75" x14ac:dyDescent="0.2">
      <c r="A34" s="343" t="s">
        <v>214</v>
      </c>
      <c r="B34" s="342">
        <f>+B9+B22</f>
        <v>623389417.66593027</v>
      </c>
      <c r="C34" s="342">
        <f>+C9+C22</f>
        <v>116461164.83825743</v>
      </c>
      <c r="D34" s="342">
        <f>+D9+D22</f>
        <v>739850582.50418758</v>
      </c>
      <c r="E34" s="342">
        <f>+E9+E22</f>
        <v>298492105.77899992</v>
      </c>
      <c r="F34" s="342">
        <f>+F9+F22</f>
        <v>268228355.48999995</v>
      </c>
      <c r="G34" s="342">
        <f>+G9+G22</f>
        <v>441358476.72518778</v>
      </c>
      <c r="H34" s="341" t="str">
        <f>IF((B34-'ETCA-II-07'!B31)&gt;0.9,"ERROR!!!!! EL MONTO NO COINCIDE CON LO REPORTADO EN EL FORMATO ETCA-II-07 EN EL TOTAL DEL GASTO","")</f>
        <v/>
      </c>
    </row>
    <row r="35" spans="1:8" ht="15.75" thickBot="1" x14ac:dyDescent="0.3">
      <c r="A35" s="339"/>
      <c r="B35" s="338"/>
      <c r="C35" s="338"/>
      <c r="D35" s="338"/>
      <c r="E35" s="338"/>
      <c r="F35" s="338"/>
      <c r="G35" s="338"/>
      <c r="H35" s="106" t="str">
        <f>IF((C34-'ETCA-II-07'!C31)&gt;0.9,"ERROR!!!!! EL MONTO NO COINCIDE CON LO REPORTADO EN EL FORMATO ETCA-II-07 EN EL TOTAL DEL GASTO","")</f>
        <v/>
      </c>
    </row>
    <row r="36" spans="1:8" x14ac:dyDescent="0.25">
      <c r="H36" s="106" t="str">
        <f>IF((D34-'ETCA-II-07'!D31)&gt;0.9,"ERROR!!!!! EL MONTO NO COINCIDE CON LO REPORTADO EN EL FORMATO ETCA-II-07 EN EL TOTAL DEL GASTO","")</f>
        <v/>
      </c>
    </row>
    <row r="37" spans="1:8" x14ac:dyDescent="0.25">
      <c r="B37" s="337"/>
      <c r="C37" s="337"/>
      <c r="D37" s="337"/>
      <c r="E37" s="337"/>
      <c r="F37" s="337"/>
      <c r="G37" s="337"/>
      <c r="H37" s="106" t="str">
        <f>IF((D34-'ETCA-II-07'!D31)&gt;0.9,"ERROR!!!!! EL MONTO NO COINCIDE CON LO REPORTADO EN EL FORMATO ETCA-II-07 EN EL TOTAL DEL GASTO","")</f>
        <v/>
      </c>
    </row>
    <row r="38" spans="1:8" x14ac:dyDescent="0.25">
      <c r="H38" s="106" t="str">
        <f>IF((F34-'ETCA-II-07'!F31)&gt;0.9,"ERROR!!!!! EL MONTO NO COINCIDE CON LO REPORTADO EN EL FORMATO ETCA-II-07 EN EL TOTAL DEL GASTO","")</f>
        <v/>
      </c>
    </row>
    <row r="39" spans="1:8" x14ac:dyDescent="0.25">
      <c r="H39" s="106" t="str">
        <f>IF((G34-'ETCA-II-07'!G31)&gt;0.9,"ERROR!!!!! EL MONTO NO COINCIDE CON LO REPORTADO EN EL FORMATO ETCA-II-07 EN EL TOTAL DEL GASTO","")</f>
        <v/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35433070866141736" bottom="0.35433070866141736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F2923-0ABE-46C4-861F-35EF0069E27B}">
  <sheetPr>
    <tabColor theme="0" tint="-0.14999847407452621"/>
    <pageSetUpPr fitToPage="1"/>
  </sheetPr>
  <dimension ref="A1:H21"/>
  <sheetViews>
    <sheetView view="pageBreakPreview" zoomScaleNormal="100" zoomScaleSheetLayoutView="100" workbookViewId="0">
      <selection activeCell="T27" sqref="T27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6384" width="11.28515625" style="1"/>
  </cols>
  <sheetData>
    <row r="1" spans="1:8" x14ac:dyDescent="0.25">
      <c r="A1" s="105" t="str">
        <f>'[1]ETCA-I-01'!A1:G1</f>
        <v xml:space="preserve">Comision Estatal del Agua  </v>
      </c>
      <c r="B1" s="105"/>
      <c r="C1" s="105"/>
      <c r="D1" s="105"/>
      <c r="E1" s="105"/>
      <c r="F1" s="105"/>
      <c r="G1" s="105"/>
    </row>
    <row r="2" spans="1:8" s="26" customFormat="1" x14ac:dyDescent="0.25">
      <c r="A2" s="105" t="s">
        <v>213</v>
      </c>
      <c r="B2" s="105"/>
      <c r="C2" s="105"/>
      <c r="D2" s="105"/>
      <c r="E2" s="105"/>
      <c r="F2" s="105"/>
      <c r="G2" s="105"/>
    </row>
    <row r="3" spans="1:8" s="26" customFormat="1" x14ac:dyDescent="0.25">
      <c r="A3" s="375" t="s">
        <v>340</v>
      </c>
      <c r="B3" s="375"/>
      <c r="C3" s="375"/>
      <c r="D3" s="375"/>
      <c r="E3" s="375"/>
      <c r="F3" s="375"/>
      <c r="G3" s="375"/>
    </row>
    <row r="4" spans="1:8" s="26" customFormat="1" x14ac:dyDescent="0.25">
      <c r="A4" s="104" t="str">
        <f>'[1]ETCA-I-03'!A3:D3</f>
        <v>Del 01 de Enero al 30 de Junio de 2020</v>
      </c>
      <c r="B4" s="104"/>
      <c r="C4" s="104"/>
      <c r="D4" s="104"/>
      <c r="E4" s="104"/>
      <c r="F4" s="104"/>
      <c r="G4" s="104"/>
    </row>
    <row r="5" spans="1:8" s="26" customFormat="1" ht="17.25" thickBot="1" x14ac:dyDescent="0.3">
      <c r="A5" s="253" t="s">
        <v>341</v>
      </c>
      <c r="B5" s="253"/>
      <c r="C5" s="253"/>
      <c r="D5" s="253"/>
      <c r="E5" s="253"/>
      <c r="F5" s="99"/>
      <c r="G5" s="374"/>
    </row>
    <row r="6" spans="1:8" s="335" customFormat="1" ht="53.25" customHeight="1" x14ac:dyDescent="0.25">
      <c r="A6" s="373" t="s">
        <v>340</v>
      </c>
      <c r="B6" s="372" t="s">
        <v>209</v>
      </c>
      <c r="C6" s="372" t="s">
        <v>109</v>
      </c>
      <c r="D6" s="372" t="s">
        <v>208</v>
      </c>
      <c r="E6" s="372" t="s">
        <v>207</v>
      </c>
      <c r="F6" s="372" t="s">
        <v>206</v>
      </c>
      <c r="G6" s="371" t="s">
        <v>205</v>
      </c>
    </row>
    <row r="7" spans="1:8" s="369" customFormat="1" ht="15.75" customHeight="1" thickBot="1" x14ac:dyDescent="0.3">
      <c r="A7" s="370"/>
      <c r="B7" s="333" t="s">
        <v>26</v>
      </c>
      <c r="C7" s="333" t="s">
        <v>25</v>
      </c>
      <c r="D7" s="333" t="s">
        <v>204</v>
      </c>
      <c r="E7" s="333" t="s">
        <v>23</v>
      </c>
      <c r="F7" s="333" t="s">
        <v>22</v>
      </c>
      <c r="G7" s="332" t="s">
        <v>203</v>
      </c>
    </row>
    <row r="8" spans="1:8" ht="30" customHeight="1" x14ac:dyDescent="0.25">
      <c r="A8" s="368"/>
      <c r="B8" s="367"/>
      <c r="C8" s="367"/>
      <c r="D8" s="367"/>
      <c r="E8" s="367"/>
      <c r="F8" s="367"/>
      <c r="G8" s="366"/>
    </row>
    <row r="9" spans="1:8" ht="30" customHeight="1" x14ac:dyDescent="0.25">
      <c r="A9" s="314" t="s">
        <v>339</v>
      </c>
      <c r="B9" s="238">
        <v>623389417.66593051</v>
      </c>
      <c r="C9" s="238">
        <v>116461164.84</v>
      </c>
      <c r="D9" s="239">
        <f>B9+C9</f>
        <v>739850582.50593054</v>
      </c>
      <c r="E9" s="238">
        <v>298492105.77999997</v>
      </c>
      <c r="F9" s="238">
        <v>268228355.48999998</v>
      </c>
      <c r="G9" s="237">
        <f>D9-E9</f>
        <v>441358476.72593057</v>
      </c>
    </row>
    <row r="10" spans="1:8" ht="30" customHeight="1" x14ac:dyDescent="0.25">
      <c r="A10" s="314" t="s">
        <v>338</v>
      </c>
      <c r="B10" s="238"/>
      <c r="C10" s="238"/>
      <c r="D10" s="239">
        <f>B10+C10</f>
        <v>0</v>
      </c>
      <c r="E10" s="238"/>
      <c r="F10" s="238"/>
      <c r="G10" s="237">
        <f>D10-E10</f>
        <v>0</v>
      </c>
    </row>
    <row r="11" spans="1:8" ht="30" customHeight="1" x14ac:dyDescent="0.25">
      <c r="A11" s="314" t="s">
        <v>337</v>
      </c>
      <c r="B11" s="238"/>
      <c r="C11" s="238"/>
      <c r="D11" s="239">
        <f>B11+C11</f>
        <v>0</v>
      </c>
      <c r="E11" s="238"/>
      <c r="F11" s="238"/>
      <c r="G11" s="237">
        <f>D11-E11</f>
        <v>0</v>
      </c>
    </row>
    <row r="12" spans="1:8" ht="30" customHeight="1" x14ac:dyDescent="0.25">
      <c r="A12" s="314" t="s">
        <v>336</v>
      </c>
      <c r="B12" s="238"/>
      <c r="C12" s="238"/>
      <c r="D12" s="239">
        <f>B12+C12</f>
        <v>0</v>
      </c>
      <c r="E12" s="238"/>
      <c r="F12" s="238"/>
      <c r="G12" s="237">
        <f>D12-E12</f>
        <v>0</v>
      </c>
    </row>
    <row r="13" spans="1:8" ht="30" customHeight="1" thickBot="1" x14ac:dyDescent="0.3">
      <c r="A13" s="365"/>
      <c r="B13" s="235"/>
      <c r="C13" s="235"/>
      <c r="D13" s="235"/>
      <c r="E13" s="235"/>
      <c r="F13" s="235"/>
      <c r="G13" s="233"/>
    </row>
    <row r="14" spans="1:8" s="335" customFormat="1" ht="30" customHeight="1" thickBot="1" x14ac:dyDescent="0.3">
      <c r="A14" s="306" t="s">
        <v>130</v>
      </c>
      <c r="B14" s="364">
        <f>SUM(B9:B12)</f>
        <v>623389417.66593051</v>
      </c>
      <c r="C14" s="364">
        <f>SUM(C9:C12)</f>
        <v>116461164.84</v>
      </c>
      <c r="D14" s="364">
        <f>B14+C14</f>
        <v>739850582.50593054</v>
      </c>
      <c r="E14" s="364">
        <f>SUM(E9:E12)</f>
        <v>298492105.77999997</v>
      </c>
      <c r="F14" s="364">
        <f>SUM(F9:F12)</f>
        <v>268228355.48999998</v>
      </c>
      <c r="G14" s="363">
        <f>D14-E14</f>
        <v>441358476.72593057</v>
      </c>
      <c r="H14" s="106" t="str">
        <f>IF((B14-'ETCA II-04'!B80)&gt;0.9,"ERROR!!!!! EL MONTO NO COINCIDE CON LO REPORTADO EN EL FORMATO ETCA-II-04 EN EL TOTAL APROBADO ANUAL DEL ANALÍTICO DE EGRESOS","")</f>
        <v/>
      </c>
    </row>
    <row r="15" spans="1:8" s="335" customFormat="1" ht="30" customHeight="1" x14ac:dyDescent="0.25">
      <c r="A15" s="302"/>
      <c r="B15" s="228"/>
      <c r="C15" s="228"/>
      <c r="D15" s="228"/>
      <c r="E15" s="228"/>
      <c r="F15" s="228"/>
      <c r="G15" s="228"/>
      <c r="H15" s="106" t="str">
        <f>IF((C14-'ETCA II-04'!C80)&gt;0.9,"ERROR!!!!! EL MONTO NO COINCIDE CON LO REPORTADO EN EL FORMATO ETCA-II-04 EN EL TOTAL AMPLIACIONES/REDUCCIONES ANUAL DEL ANALÍTICO DE EGRESOS","")</f>
        <v/>
      </c>
    </row>
    <row r="16" spans="1:8" s="335" customFormat="1" ht="30" customHeight="1" x14ac:dyDescent="0.25">
      <c r="A16" s="302"/>
      <c r="B16" s="228"/>
      <c r="C16" s="228"/>
      <c r="D16" s="228"/>
      <c r="E16" s="228"/>
      <c r="F16" s="228"/>
      <c r="G16" s="228"/>
      <c r="H16" s="106" t="str">
        <f>IF((D14-'ETCA II-04'!D80)&gt;0.9,"ERROR!!!!! EL MONTO NO COINCIDE CON LO REPORTADO EN EL FORMATO ETCA-II-04 EN EL TOTAL MODIFICADO ANUAL DEL ANALÍTICO DE EGRESOS","")</f>
        <v/>
      </c>
    </row>
    <row r="17" spans="1:8" s="335" customFormat="1" ht="18" customHeight="1" x14ac:dyDescent="0.25">
      <c r="A17" s="302"/>
      <c r="B17" s="228"/>
      <c r="C17" s="228"/>
      <c r="D17" s="228"/>
      <c r="E17" s="228"/>
      <c r="F17" s="228"/>
      <c r="G17" s="228"/>
      <c r="H17" s="106" t="str">
        <f>IF((E14-'ETCA II-04'!E80)&gt;0.9,"ERROR!!!!! EL MONTO NO COINCIDE CON LO REPORTADO EN EL FORMATO ETCA-II-04 EN EL TOTAL DEVENGADO ANUAL DEL ANALÍTICO DE EGRESOS","")</f>
        <v/>
      </c>
    </row>
    <row r="18" spans="1:8" s="335" customFormat="1" ht="18" customHeight="1" x14ac:dyDescent="0.25">
      <c r="A18" s="302"/>
      <c r="B18" s="228"/>
      <c r="C18" s="228"/>
      <c r="D18" s="228"/>
      <c r="E18" s="228"/>
      <c r="F18" s="228"/>
      <c r="G18" s="228"/>
      <c r="H18" s="106" t="str">
        <f>IF((F14-'ETCA II-04'!F80)&gt;0.9,"ERROR!!!!! EL MONTO NO COINCIDE CON LO REPORTADO EN EL FORMATO ETCA-II-04 EN EL TOTAL PAGADO ANUAL DEL ANALÍTICO DE EGRESOS","")</f>
        <v/>
      </c>
    </row>
    <row r="19" spans="1:8" x14ac:dyDescent="0.25">
      <c r="H19" s="106" t="str">
        <f>IF((G14-'ETCA II-04'!G80)&gt;0.9,"ERROR!!!!! EL MONTO NO COINCIDE CON LO REPORTADO EN EL FORMATO ETCA-II-04 EN EL TOTAL SUBEJERCICIO ANUAL DEL ANALÍTICO DE EGRESOS","")</f>
        <v/>
      </c>
    </row>
    <row r="20" spans="1:8" x14ac:dyDescent="0.25">
      <c r="H20" s="106" t="str">
        <f>IF((B20-'ETCA II-04'!B86)&gt;0.9,"ERROR!!!!! EL MONTO NO COINCIDE CON LO REPORTADO EN EL FORMATO ETCA-II-04 EN EL TOTAL APROBADO ANUAL DEL ANALÍTICO DE EGRESOS","")</f>
        <v/>
      </c>
    </row>
    <row r="21" spans="1:8" x14ac:dyDescent="0.25">
      <c r="H21" s="106" t="str">
        <f>IF(G14&lt;&gt;'ETCA II-04'!G80,"ERROR!!!!! EL MONTO NO COINCIDE CON LO REPORTADO EN EL FORMATO ETCA-II-04 EN EL TOTAL SUBEJERCICIO PRESENTADO EN EL ANALÍTICO DE EGRESOS","")</f>
        <v/>
      </c>
    </row>
  </sheetData>
  <sheetProtection formatColumns="0" formatRows="0" insertHyperlinks="0"/>
  <mergeCells count="6">
    <mergeCell ref="A6:A7"/>
    <mergeCell ref="A4:G4"/>
    <mergeCell ref="A1:G1"/>
    <mergeCell ref="A2:G2"/>
    <mergeCell ref="A3:G3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ETCA-II-01</vt:lpstr>
      <vt:lpstr>ETCA-II-02</vt:lpstr>
      <vt:lpstr>ETCA-II-03</vt:lpstr>
      <vt:lpstr>ETCA II-04</vt:lpstr>
      <vt:lpstr>ETCA-II-05</vt:lpstr>
      <vt:lpstr>ETCA-II-06</vt:lpstr>
      <vt:lpstr>ETCA-II-07</vt:lpstr>
      <vt:lpstr>ETCA-II-08</vt:lpstr>
      <vt:lpstr>ETCA-II-09</vt:lpstr>
      <vt:lpstr>ETCA-II-10</vt:lpstr>
      <vt:lpstr>ETCA-II-11</vt:lpstr>
      <vt:lpstr>ETCA-II-12</vt:lpstr>
      <vt:lpstr>ETCA-II-13</vt:lpstr>
      <vt:lpstr>ETCA-II-14</vt:lpstr>
      <vt:lpstr>ETCA-II-15</vt:lpstr>
      <vt:lpstr>ETCA-II-16</vt:lpstr>
      <vt:lpstr>ETCA-II-17</vt:lpstr>
      <vt:lpstr>'ETCA-II-01'!Área_de_impresión</vt:lpstr>
      <vt:lpstr>'ETCA-II-02'!Área_de_impresión</vt:lpstr>
      <vt:lpstr>'ETCA-II-03'!Área_de_impresión</vt:lpstr>
      <vt:lpstr>'ETCA-II-05'!Área_de_impresión</vt:lpstr>
      <vt:lpstr>'ETCA-II-06'!Área_de_impresión</vt:lpstr>
      <vt:lpstr>'ETCA-II-07'!Área_de_impresión</vt:lpstr>
      <vt:lpstr>'ETCA-II-08'!Área_de_impresión</vt:lpstr>
      <vt:lpstr>'ETCA-II-09'!Área_de_impresión</vt:lpstr>
      <vt:lpstr>'ETCA-II-10'!Área_de_impresión</vt:lpstr>
      <vt:lpstr>'ETCA-II-11'!Área_de_impresión</vt:lpstr>
      <vt:lpstr>'ETCA-II-12'!Área_de_impresión</vt:lpstr>
      <vt:lpstr>'ETCA-II-13'!Área_de_impresión</vt:lpstr>
      <vt:lpstr>'ETCA-II-14'!Área_de_impresión</vt:lpstr>
      <vt:lpstr>'ETCA-II-15'!Área_de_impresión</vt:lpstr>
      <vt:lpstr>'ETCA-II-16'!Área_de_impresión</vt:lpstr>
      <vt:lpstr>'ETCA-II-17'!Área_de_impresión</vt:lpstr>
      <vt:lpstr>'ETCA-II-01'!Títulos_a_imprimir</vt:lpstr>
      <vt:lpstr>'ETCA-II-02'!Títulos_a_imprimir</vt:lpstr>
      <vt:lpstr>'ETCA-II-12'!Títulos_a_imprimir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2024-11-08T19:40:40Z</dcterms:created>
  <dcterms:modified xsi:type="dcterms:W3CDTF">2024-11-08T19:41:02Z</dcterms:modified>
</cp:coreProperties>
</file>