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3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eria.lugo\Desktop\Cuenta publica\CEA\2020\3T\"/>
    </mc:Choice>
  </mc:AlternateContent>
  <xr:revisionPtr revIDLastSave="0" documentId="8_{CDA13658-1F40-470B-9B3F-18FB37D2DA58}" xr6:coauthVersionLast="47" xr6:coauthVersionMax="47" xr10:uidLastSave="{00000000-0000-0000-0000-000000000000}"/>
  <bookViews>
    <workbookView xWindow="-120" yWindow="-120" windowWidth="29040" windowHeight="15840" xr2:uid="{CE921E11-6655-4C33-8EE1-C43C54012EEF}"/>
  </bookViews>
  <sheets>
    <sheet name="ETCA-II-01" sheetId="1" r:id="rId1"/>
    <sheet name="ETCA-II-02" sheetId="2" r:id="rId2"/>
    <sheet name="ETCA-II-03" sheetId="3" r:id="rId3"/>
    <sheet name="ETCA II-04" sheetId="4" r:id="rId4"/>
    <sheet name="ETCA-II-05" sheetId="5" r:id="rId5"/>
    <sheet name="ETCA-II-06" sheetId="6" r:id="rId6"/>
    <sheet name="ETCA-II-07" sheetId="7" r:id="rId7"/>
    <sheet name="ETCA-II-08" sheetId="8" r:id="rId8"/>
    <sheet name="ETCA-II-09" sheetId="9" r:id="rId9"/>
    <sheet name="ETCA-II-10" sheetId="10" r:id="rId10"/>
    <sheet name="ETCA-II-11" sheetId="11" r:id="rId11"/>
    <sheet name="ETCA-II-12" sheetId="12" r:id="rId12"/>
    <sheet name="ETCA-II-13 " sheetId="13" r:id="rId13"/>
    <sheet name="ETCA-II-14" sheetId="14" r:id="rId14"/>
    <sheet name="ETCA-II-15" sheetId="15" r:id="rId15"/>
    <sheet name="ETCA-II-16" sheetId="16" r:id="rId16"/>
    <sheet name="ETCA-II-17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xlnm.Print_Area" localSheetId="0">'ETCA-II-01'!$A$1:$H$52</definedName>
    <definedName name="_xlnm.Print_Area" localSheetId="1">'ETCA-II-02'!$A$1:$I$86</definedName>
    <definedName name="_xlnm.Print_Area" localSheetId="2">'ETCA-II-03'!$A$1:$D$34</definedName>
    <definedName name="_xlnm.Print_Area" localSheetId="4">'ETCA-II-05'!$A$1:$H$164</definedName>
    <definedName name="_xlnm.Print_Area" localSheetId="5">'ETCA-II-06'!$A$1:$G$25</definedName>
    <definedName name="_xlnm.Print_Area" localSheetId="6">'ETCA-II-07'!$A$1:$H$36</definedName>
    <definedName name="_xlnm.Print_Area" localSheetId="7">'ETCA-II-08'!$A$1:$G$41</definedName>
    <definedName name="_xlnm.Print_Area" localSheetId="8">'ETCA-II-09'!$A$1:$G$20</definedName>
    <definedName name="_xlnm.Print_Area" localSheetId="9">'ETCA-II-10'!$A$1:$G$26</definedName>
    <definedName name="_xlnm.Print_Area" localSheetId="10">'ETCA-II-11'!$A$1:$G$47</definedName>
    <definedName name="_xlnm.Print_Area" localSheetId="11">'ETCA-II-12'!$A$1:$H$85</definedName>
    <definedName name="_xlnm.Print_Area" localSheetId="12">'ETCA-II-13 '!$A$1:$I$393</definedName>
    <definedName name="_xlnm.Print_Area" localSheetId="13">'ETCA-II-14'!$A$1:$G$38</definedName>
    <definedName name="_xlnm.Print_Area" localSheetId="14">'ETCA-II-15'!$A$1:$C$46</definedName>
    <definedName name="_xlnm.Print_Area" localSheetId="15">'ETCA-II-16'!$A$1:$E$36</definedName>
    <definedName name="_xlnm.Print_Area" localSheetId="16">'ETCA-II-17'!$A$1:$D$37</definedName>
    <definedName name="_xlnm.Database" localSheetId="0">#REF!</definedName>
    <definedName name="_xlnm.Database" localSheetId="2">#REF!</definedName>
    <definedName name="_xlnm.Database" localSheetId="5">#REF!</definedName>
    <definedName name="_xlnm.Database" localSheetId="6">#REF!</definedName>
    <definedName name="_xlnm.Database" localSheetId="12">#REF!</definedName>
    <definedName name="_xlnm.Database" localSheetId="14">#REF!</definedName>
    <definedName name="_xlnm.Database" localSheetId="16">#REF!</definedName>
    <definedName name="_xlnm.Database">#REF!</definedName>
    <definedName name="ppto" localSheetId="12">[4]Hoja2!$B$3:$M$95</definedName>
    <definedName name="ppto">[3]Hoja2!$B$3:$M$95</definedName>
    <definedName name="qw" localSheetId="12">#REF!</definedName>
    <definedName name="qw">#REF!</definedName>
    <definedName name="_xlnm.Print_Titles" localSheetId="0">'ETCA-II-01'!$1:$4</definedName>
    <definedName name="_xlnm.Print_Titles" localSheetId="1">'ETCA-II-02'!$5:$7</definedName>
    <definedName name="_xlnm.Print_Titles" localSheetId="11">'ETCA-II-12'!$6:$7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7" l="1"/>
  <c r="B3" i="17"/>
  <c r="C19" i="17"/>
  <c r="D19" i="17"/>
  <c r="C31" i="17"/>
  <c r="C32" i="17" s="1"/>
  <c r="D31" i="17"/>
  <c r="D32" i="17"/>
  <c r="A1" i="16"/>
  <c r="A3" i="16"/>
  <c r="D8" i="16"/>
  <c r="E8" i="16"/>
  <c r="E9" i="16"/>
  <c r="E18" i="16" s="1"/>
  <c r="E10" i="16"/>
  <c r="E11" i="16"/>
  <c r="E12" i="16"/>
  <c r="E13" i="16"/>
  <c r="E14" i="16"/>
  <c r="E15" i="16"/>
  <c r="E16" i="16"/>
  <c r="E17" i="16"/>
  <c r="C18" i="16"/>
  <c r="D18" i="16"/>
  <c r="E20" i="16"/>
  <c r="E21" i="16"/>
  <c r="E30" i="16" s="1"/>
  <c r="E22" i="16"/>
  <c r="E23" i="16"/>
  <c r="E24" i="16"/>
  <c r="E25" i="16"/>
  <c r="E26" i="16"/>
  <c r="E27" i="16"/>
  <c r="E28" i="16"/>
  <c r="E29" i="16"/>
  <c r="C30" i="16"/>
  <c r="D30" i="16"/>
  <c r="D31" i="16" s="1"/>
  <c r="C31" i="16"/>
  <c r="A1" i="15"/>
  <c r="A3" i="15"/>
  <c r="C8" i="15"/>
  <c r="C32" i="15"/>
  <c r="D34" i="15"/>
  <c r="A1" i="14"/>
  <c r="A4" i="14"/>
  <c r="B8" i="14"/>
  <c r="C8" i="14"/>
  <c r="F8" i="14"/>
  <c r="F31" i="14" s="1"/>
  <c r="D9" i="14"/>
  <c r="D10" i="14"/>
  <c r="G10" i="14"/>
  <c r="D11" i="14"/>
  <c r="G11" i="14"/>
  <c r="D12" i="14"/>
  <c r="G12" i="14" s="1"/>
  <c r="D13" i="14"/>
  <c r="G13" i="14" s="1"/>
  <c r="D14" i="14"/>
  <c r="G14" i="14"/>
  <c r="B15" i="14"/>
  <c r="C15" i="14"/>
  <c r="D15" i="14"/>
  <c r="E15" i="14"/>
  <c r="E8" i="14" s="1"/>
  <c r="F15" i="14"/>
  <c r="D16" i="14"/>
  <c r="G16" i="14"/>
  <c r="G15" i="14" s="1"/>
  <c r="D17" i="14"/>
  <c r="G17" i="14"/>
  <c r="D18" i="14"/>
  <c r="G18" i="14" s="1"/>
  <c r="B20" i="14"/>
  <c r="E20" i="14"/>
  <c r="D21" i="14"/>
  <c r="D22" i="14"/>
  <c r="G22" i="14" s="1"/>
  <c r="D23" i="14"/>
  <c r="G23" i="14"/>
  <c r="D24" i="14"/>
  <c r="G24" i="14"/>
  <c r="D25" i="14"/>
  <c r="G25" i="14" s="1"/>
  <c r="D26" i="14"/>
  <c r="G26" i="14" s="1"/>
  <c r="B27" i="14"/>
  <c r="C27" i="14"/>
  <c r="C20" i="14" s="1"/>
  <c r="E27" i="14"/>
  <c r="F27" i="14"/>
  <c r="F20" i="14" s="1"/>
  <c r="D28" i="14"/>
  <c r="D29" i="14"/>
  <c r="G29" i="14"/>
  <c r="D30" i="14"/>
  <c r="G30" i="14"/>
  <c r="B31" i="14"/>
  <c r="E10" i="13"/>
  <c r="C11" i="13"/>
  <c r="C10" i="13" s="1"/>
  <c r="D11" i="13"/>
  <c r="D10" i="13" s="1"/>
  <c r="E11" i="13"/>
  <c r="E12" i="13"/>
  <c r="E13" i="13"/>
  <c r="H13" i="13" s="1"/>
  <c r="E14" i="13"/>
  <c r="H14" i="13"/>
  <c r="I14" i="13"/>
  <c r="E15" i="13"/>
  <c r="H15" i="13" s="1"/>
  <c r="I15" i="13"/>
  <c r="E16" i="13"/>
  <c r="I16" i="13" s="1"/>
  <c r="H16" i="13"/>
  <c r="E17" i="13"/>
  <c r="I17" i="13" s="1"/>
  <c r="H17" i="13"/>
  <c r="E18" i="13"/>
  <c r="H18" i="13"/>
  <c r="I18" i="13"/>
  <c r="E19" i="13"/>
  <c r="C20" i="13"/>
  <c r="E20" i="13" s="1"/>
  <c r="I20" i="13" s="1"/>
  <c r="C21" i="13"/>
  <c r="E21" i="13" s="1"/>
  <c r="I21" i="13" s="1"/>
  <c r="D21" i="13"/>
  <c r="D20" i="13" s="1"/>
  <c r="H21" i="13"/>
  <c r="E22" i="13"/>
  <c r="H22" i="13"/>
  <c r="I22" i="13"/>
  <c r="C23" i="13"/>
  <c r="C24" i="13"/>
  <c r="D24" i="13"/>
  <c r="E25" i="13"/>
  <c r="I25" i="13" s="1"/>
  <c r="H25" i="13"/>
  <c r="C26" i="13"/>
  <c r="D26" i="13"/>
  <c r="E26" i="13" s="1"/>
  <c r="I26" i="13" s="1"/>
  <c r="E27" i="13"/>
  <c r="I27" i="13" s="1"/>
  <c r="H27" i="13"/>
  <c r="E28" i="13"/>
  <c r="H28" i="13"/>
  <c r="I28" i="13"/>
  <c r="E29" i="13"/>
  <c r="E30" i="13"/>
  <c r="C31" i="13"/>
  <c r="D31" i="13"/>
  <c r="E31" i="13"/>
  <c r="E32" i="13"/>
  <c r="C33" i="13"/>
  <c r="D33" i="13"/>
  <c r="E33" i="13"/>
  <c r="E34" i="13"/>
  <c r="C36" i="13"/>
  <c r="E36" i="13" s="1"/>
  <c r="I36" i="13" s="1"/>
  <c r="D36" i="13"/>
  <c r="E37" i="13"/>
  <c r="E38" i="13"/>
  <c r="C39" i="13"/>
  <c r="E39" i="13" s="1"/>
  <c r="D39" i="13"/>
  <c r="D35" i="13" s="1"/>
  <c r="E40" i="13"/>
  <c r="C41" i="13"/>
  <c r="E41" i="13" s="1"/>
  <c r="D41" i="13"/>
  <c r="E42" i="13"/>
  <c r="E43" i="13"/>
  <c r="H43" i="13" s="1"/>
  <c r="E44" i="13"/>
  <c r="H44" i="13"/>
  <c r="I44" i="13"/>
  <c r="C46" i="13"/>
  <c r="D46" i="13"/>
  <c r="E46" i="13"/>
  <c r="E47" i="13"/>
  <c r="H47" i="13" s="1"/>
  <c r="I47" i="13"/>
  <c r="C48" i="13"/>
  <c r="C45" i="13" s="1"/>
  <c r="D48" i="13"/>
  <c r="E48" i="13"/>
  <c r="E49" i="13"/>
  <c r="H49" i="13" s="1"/>
  <c r="E50" i="13"/>
  <c r="E51" i="13"/>
  <c r="C52" i="13"/>
  <c r="E53" i="13"/>
  <c r="H53" i="13"/>
  <c r="E54" i="13"/>
  <c r="E55" i="13"/>
  <c r="H55" i="13" s="1"/>
  <c r="D56" i="13"/>
  <c r="E57" i="13"/>
  <c r="H57" i="13" s="1"/>
  <c r="E58" i="13"/>
  <c r="H58" i="13"/>
  <c r="I58" i="13"/>
  <c r="E59" i="13"/>
  <c r="H59" i="13" s="1"/>
  <c r="E60" i="13"/>
  <c r="H60" i="13"/>
  <c r="E61" i="13"/>
  <c r="H61" i="13" s="1"/>
  <c r="E62" i="13"/>
  <c r="H62" i="13" s="1"/>
  <c r="E63" i="13"/>
  <c r="H63" i="13" s="1"/>
  <c r="D64" i="13"/>
  <c r="E64" i="13"/>
  <c r="H64" i="13" s="1"/>
  <c r="C65" i="13"/>
  <c r="D65" i="13"/>
  <c r="E65" i="13" s="1"/>
  <c r="D66" i="13"/>
  <c r="E66" i="13"/>
  <c r="C67" i="13"/>
  <c r="E67" i="13" s="1"/>
  <c r="D67" i="13"/>
  <c r="C68" i="13"/>
  <c r="E68" i="13" s="1"/>
  <c r="I68" i="13" s="1"/>
  <c r="D68" i="13"/>
  <c r="H68" i="13"/>
  <c r="E69" i="13"/>
  <c r="E70" i="13"/>
  <c r="E71" i="13"/>
  <c r="H71" i="13" s="1"/>
  <c r="E72" i="13"/>
  <c r="H72" i="13" s="1"/>
  <c r="D74" i="13"/>
  <c r="C75" i="13"/>
  <c r="D75" i="13"/>
  <c r="E75" i="13"/>
  <c r="H75" i="13" s="1"/>
  <c r="E76" i="13"/>
  <c r="H76" i="13"/>
  <c r="I76" i="13"/>
  <c r="C77" i="13"/>
  <c r="D77" i="13"/>
  <c r="E77" i="13"/>
  <c r="H77" i="13" s="1"/>
  <c r="I77" i="13"/>
  <c r="E78" i="13"/>
  <c r="H78" i="13"/>
  <c r="I78" i="13"/>
  <c r="C79" i="13"/>
  <c r="D79" i="13"/>
  <c r="E79" i="13"/>
  <c r="H79" i="13" s="1"/>
  <c r="E80" i="13"/>
  <c r="H80" i="13"/>
  <c r="I80" i="13"/>
  <c r="C81" i="13"/>
  <c r="D81" i="13"/>
  <c r="E81" i="13"/>
  <c r="H81" i="13" s="1"/>
  <c r="E82" i="13"/>
  <c r="H82" i="13"/>
  <c r="I82" i="13"/>
  <c r="C83" i="13"/>
  <c r="D83" i="13"/>
  <c r="E83" i="13"/>
  <c r="E84" i="13"/>
  <c r="H84" i="13"/>
  <c r="I84" i="13"/>
  <c r="C85" i="13"/>
  <c r="D85" i="13"/>
  <c r="E85" i="13"/>
  <c r="H85" i="13" s="1"/>
  <c r="E86" i="13"/>
  <c r="H86" i="13" s="1"/>
  <c r="C87" i="13"/>
  <c r="C74" i="13" s="1"/>
  <c r="D87" i="13"/>
  <c r="E88" i="13"/>
  <c r="I88" i="13" s="1"/>
  <c r="H88" i="13"/>
  <c r="E89" i="13"/>
  <c r="H89" i="13"/>
  <c r="E90" i="13"/>
  <c r="C91" i="13"/>
  <c r="C90" i="13" s="1"/>
  <c r="D91" i="13"/>
  <c r="D90" i="13" s="1"/>
  <c r="E91" i="13"/>
  <c r="E92" i="13"/>
  <c r="H92" i="13" s="1"/>
  <c r="E93" i="13"/>
  <c r="H93" i="13"/>
  <c r="I93" i="13"/>
  <c r="C94" i="13"/>
  <c r="D94" i="13"/>
  <c r="E94" i="13"/>
  <c r="H94" i="13" s="1"/>
  <c r="E95" i="13"/>
  <c r="H95" i="13"/>
  <c r="I95" i="13"/>
  <c r="E96" i="13"/>
  <c r="H96" i="13" s="1"/>
  <c r="C97" i="13"/>
  <c r="C96" i="13" s="1"/>
  <c r="D97" i="13"/>
  <c r="D96" i="13" s="1"/>
  <c r="E97" i="13"/>
  <c r="E98" i="13"/>
  <c r="H98" i="13" s="1"/>
  <c r="I98" i="13"/>
  <c r="C100" i="13"/>
  <c r="E100" i="13" s="1"/>
  <c r="D100" i="13"/>
  <c r="E101" i="13"/>
  <c r="C102" i="13"/>
  <c r="E102" i="13" s="1"/>
  <c r="H102" i="13" s="1"/>
  <c r="E103" i="13"/>
  <c r="H103" i="13"/>
  <c r="C104" i="13"/>
  <c r="E104" i="13" s="1"/>
  <c r="H104" i="13" s="1"/>
  <c r="E105" i="13"/>
  <c r="H105" i="13" s="1"/>
  <c r="C106" i="13"/>
  <c r="E106" i="13" s="1"/>
  <c r="H106" i="13" s="1"/>
  <c r="E107" i="13"/>
  <c r="H107" i="13" s="1"/>
  <c r="C108" i="13"/>
  <c r="D108" i="13"/>
  <c r="E109" i="13"/>
  <c r="I109" i="13" s="1"/>
  <c r="H109" i="13"/>
  <c r="D110" i="13"/>
  <c r="E110" i="13"/>
  <c r="H110" i="13" s="1"/>
  <c r="C111" i="13"/>
  <c r="E111" i="13" s="1"/>
  <c r="H111" i="13" s="1"/>
  <c r="D111" i="13"/>
  <c r="D112" i="13"/>
  <c r="E112" i="13" s="1"/>
  <c r="H112" i="13"/>
  <c r="D113" i="13"/>
  <c r="C114" i="13"/>
  <c r="D114" i="13"/>
  <c r="E114" i="13"/>
  <c r="H114" i="13" s="1"/>
  <c r="E115" i="13"/>
  <c r="H115" i="13" s="1"/>
  <c r="C116" i="13"/>
  <c r="C113" i="13" s="1"/>
  <c r="E116" i="13"/>
  <c r="H116" i="13" s="1"/>
  <c r="E117" i="13"/>
  <c r="H117" i="13"/>
  <c r="C118" i="13"/>
  <c r="D118" i="13"/>
  <c r="D119" i="13"/>
  <c r="E119" i="13"/>
  <c r="H119" i="13"/>
  <c r="I119" i="13"/>
  <c r="C120" i="13"/>
  <c r="E120" i="13" s="1"/>
  <c r="H120" i="13" s="1"/>
  <c r="E121" i="13"/>
  <c r="H121" i="13" s="1"/>
  <c r="C122" i="13"/>
  <c r="D122" i="13"/>
  <c r="E122" i="13" s="1"/>
  <c r="I122" i="13" s="1"/>
  <c r="E123" i="13"/>
  <c r="I123" i="13" s="1"/>
  <c r="H123" i="13"/>
  <c r="D124" i="13"/>
  <c r="C125" i="13"/>
  <c r="D125" i="13"/>
  <c r="D126" i="13"/>
  <c r="E126" i="13"/>
  <c r="E127" i="13"/>
  <c r="D128" i="13"/>
  <c r="C129" i="13"/>
  <c r="E129" i="13" s="1"/>
  <c r="I129" i="13" s="1"/>
  <c r="D129" i="13"/>
  <c r="E130" i="13"/>
  <c r="C131" i="13"/>
  <c r="D131" i="13"/>
  <c r="E132" i="13"/>
  <c r="C134" i="13"/>
  <c r="E134" i="13" s="1"/>
  <c r="I134" i="13" s="1"/>
  <c r="D134" i="13"/>
  <c r="H134" i="13"/>
  <c r="E135" i="13"/>
  <c r="H135" i="13"/>
  <c r="I135" i="13"/>
  <c r="C136" i="13"/>
  <c r="E136" i="13" s="1"/>
  <c r="I136" i="13" s="1"/>
  <c r="D136" i="13"/>
  <c r="E137" i="13"/>
  <c r="H137" i="13"/>
  <c r="I137" i="13"/>
  <c r="C138" i="13"/>
  <c r="E138" i="13" s="1"/>
  <c r="I138" i="13" s="1"/>
  <c r="D138" i="13"/>
  <c r="D133" i="13" s="1"/>
  <c r="H138" i="13"/>
  <c r="E139" i="13"/>
  <c r="H139" i="13"/>
  <c r="I139" i="13"/>
  <c r="C140" i="13"/>
  <c r="E140" i="13" s="1"/>
  <c r="D140" i="13"/>
  <c r="E141" i="13"/>
  <c r="H141" i="13"/>
  <c r="I141" i="13"/>
  <c r="C142" i="13"/>
  <c r="E142" i="13" s="1"/>
  <c r="D142" i="13"/>
  <c r="H142" i="13"/>
  <c r="E143" i="13"/>
  <c r="H143" i="13" s="1"/>
  <c r="C144" i="13"/>
  <c r="D144" i="13"/>
  <c r="E144" i="13"/>
  <c r="E145" i="13"/>
  <c r="C146" i="13"/>
  <c r="D146" i="13"/>
  <c r="E146" i="13"/>
  <c r="E147" i="13"/>
  <c r="E148" i="13"/>
  <c r="H148" i="13" s="1"/>
  <c r="C151" i="13"/>
  <c r="D151" i="13"/>
  <c r="D150" i="13" s="1"/>
  <c r="D152" i="13"/>
  <c r="E152" i="13"/>
  <c r="C153" i="13"/>
  <c r="E153" i="13" s="1"/>
  <c r="I153" i="13" s="1"/>
  <c r="D153" i="13"/>
  <c r="E154" i="13"/>
  <c r="C155" i="13"/>
  <c r="E155" i="13" s="1"/>
  <c r="D155" i="13"/>
  <c r="E156" i="13"/>
  <c r="C157" i="13"/>
  <c r="E157" i="13" s="1"/>
  <c r="I157" i="13" s="1"/>
  <c r="D157" i="13"/>
  <c r="E158" i="13"/>
  <c r="C159" i="13"/>
  <c r="E159" i="13" s="1"/>
  <c r="D159" i="13"/>
  <c r="E160" i="13"/>
  <c r="C161" i="13"/>
  <c r="E161" i="13" s="1"/>
  <c r="H161" i="13" s="1"/>
  <c r="E162" i="13"/>
  <c r="H162" i="13" s="1"/>
  <c r="C163" i="13"/>
  <c r="E163" i="13" s="1"/>
  <c r="I163" i="13" s="1"/>
  <c r="D163" i="13"/>
  <c r="H163" i="13"/>
  <c r="E164" i="13"/>
  <c r="H164" i="13"/>
  <c r="I164" i="13"/>
  <c r="C165" i="13"/>
  <c r="E165" i="13" s="1"/>
  <c r="I165" i="13" s="1"/>
  <c r="D165" i="13"/>
  <c r="E166" i="13"/>
  <c r="H166" i="13"/>
  <c r="I166" i="13"/>
  <c r="C168" i="13"/>
  <c r="D168" i="13"/>
  <c r="E169" i="13"/>
  <c r="I169" i="13" s="1"/>
  <c r="H169" i="13"/>
  <c r="C170" i="13"/>
  <c r="D170" i="13"/>
  <c r="E170" i="13" s="1"/>
  <c r="I170" i="13" s="1"/>
  <c r="H170" i="13"/>
  <c r="E171" i="13"/>
  <c r="I171" i="13" s="1"/>
  <c r="H171" i="13"/>
  <c r="C172" i="13"/>
  <c r="D172" i="13"/>
  <c r="E172" i="13" s="1"/>
  <c r="I172" i="13" s="1"/>
  <c r="H172" i="13"/>
  <c r="E173" i="13"/>
  <c r="I173" i="13" s="1"/>
  <c r="H173" i="13"/>
  <c r="E174" i="13"/>
  <c r="H174" i="13"/>
  <c r="I174" i="13"/>
  <c r="C175" i="13"/>
  <c r="E175" i="13" s="1"/>
  <c r="I175" i="13" s="1"/>
  <c r="D175" i="13"/>
  <c r="H175" i="13"/>
  <c r="E176" i="13"/>
  <c r="H176" i="13"/>
  <c r="I176" i="13"/>
  <c r="C177" i="13"/>
  <c r="E177" i="13" s="1"/>
  <c r="I177" i="13" s="1"/>
  <c r="D177" i="13"/>
  <c r="E178" i="13"/>
  <c r="H178" i="13"/>
  <c r="I178" i="13"/>
  <c r="C179" i="13"/>
  <c r="E179" i="13" s="1"/>
  <c r="I179" i="13" s="1"/>
  <c r="D179" i="13"/>
  <c r="H179" i="13"/>
  <c r="E180" i="13"/>
  <c r="H180" i="13"/>
  <c r="I180" i="13"/>
  <c r="C181" i="13"/>
  <c r="C182" i="13"/>
  <c r="D182" i="13"/>
  <c r="D183" i="13"/>
  <c r="E183" i="13"/>
  <c r="C184" i="13"/>
  <c r="D184" i="13"/>
  <c r="E184" i="13"/>
  <c r="E185" i="13"/>
  <c r="C186" i="13"/>
  <c r="D186" i="13"/>
  <c r="E186" i="13"/>
  <c r="E187" i="13"/>
  <c r="E188" i="13"/>
  <c r="H188" i="13" s="1"/>
  <c r="I188" i="13"/>
  <c r="C189" i="13"/>
  <c r="D189" i="13"/>
  <c r="E189" i="13"/>
  <c r="E190" i="13"/>
  <c r="H190" i="13" s="1"/>
  <c r="C191" i="13"/>
  <c r="D191" i="13"/>
  <c r="E191" i="13"/>
  <c r="E192" i="13"/>
  <c r="H192" i="13" s="1"/>
  <c r="E193" i="13"/>
  <c r="E194" i="13"/>
  <c r="E195" i="13"/>
  <c r="H195" i="13" s="1"/>
  <c r="C196" i="13"/>
  <c r="D196" i="13"/>
  <c r="E196" i="13"/>
  <c r="E197" i="13"/>
  <c r="H197" i="13"/>
  <c r="I197" i="13"/>
  <c r="C198" i="13"/>
  <c r="E198" i="13" s="1"/>
  <c r="I198" i="13" s="1"/>
  <c r="D198" i="13"/>
  <c r="E199" i="13"/>
  <c r="H199" i="13"/>
  <c r="I199" i="13"/>
  <c r="C200" i="13"/>
  <c r="C201" i="13"/>
  <c r="D201" i="13"/>
  <c r="E202" i="13"/>
  <c r="I202" i="13" s="1"/>
  <c r="H202" i="13"/>
  <c r="C203" i="13"/>
  <c r="D203" i="13"/>
  <c r="E203" i="13"/>
  <c r="I203" i="13" s="1"/>
  <c r="H203" i="13"/>
  <c r="E204" i="13"/>
  <c r="I204" i="13" s="1"/>
  <c r="C205" i="13"/>
  <c r="D205" i="13"/>
  <c r="E205" i="13" s="1"/>
  <c r="E206" i="13"/>
  <c r="I206" i="13" s="1"/>
  <c r="H206" i="13"/>
  <c r="C207" i="13"/>
  <c r="D207" i="13"/>
  <c r="E207" i="13"/>
  <c r="I207" i="13" s="1"/>
  <c r="H207" i="13"/>
  <c r="E208" i="13"/>
  <c r="I208" i="13" s="1"/>
  <c r="C210" i="13"/>
  <c r="D210" i="13"/>
  <c r="E211" i="13"/>
  <c r="I211" i="13" s="1"/>
  <c r="C212" i="13"/>
  <c r="D212" i="13"/>
  <c r="D209" i="13" s="1"/>
  <c r="E213" i="13"/>
  <c r="I213" i="13" s="1"/>
  <c r="H213" i="13"/>
  <c r="C214" i="13"/>
  <c r="E214" i="13" s="1"/>
  <c r="H214" i="13" s="1"/>
  <c r="D214" i="13"/>
  <c r="E215" i="13"/>
  <c r="H215" i="13"/>
  <c r="E216" i="13"/>
  <c r="H216" i="13"/>
  <c r="I216" i="13"/>
  <c r="C217" i="13"/>
  <c r="D217" i="13"/>
  <c r="E217" i="13"/>
  <c r="H217" i="13"/>
  <c r="I217" i="13"/>
  <c r="E218" i="13"/>
  <c r="H218" i="13"/>
  <c r="I218" i="13"/>
  <c r="C219" i="13"/>
  <c r="D219" i="13"/>
  <c r="E219" i="13"/>
  <c r="H219" i="13"/>
  <c r="I219" i="13"/>
  <c r="E220" i="13"/>
  <c r="H220" i="13"/>
  <c r="I220" i="13"/>
  <c r="E221" i="13"/>
  <c r="H221" i="13" s="1"/>
  <c r="C222" i="13"/>
  <c r="E222" i="13" s="1"/>
  <c r="H222" i="13" s="1"/>
  <c r="D222" i="13"/>
  <c r="E223" i="13"/>
  <c r="C224" i="13"/>
  <c r="D224" i="13"/>
  <c r="E224" i="13"/>
  <c r="H224" i="13" s="1"/>
  <c r="E225" i="13"/>
  <c r="D226" i="13"/>
  <c r="C227" i="13"/>
  <c r="E227" i="13" s="1"/>
  <c r="I227" i="13" s="1"/>
  <c r="D227" i="13"/>
  <c r="H227" i="13"/>
  <c r="E228" i="13"/>
  <c r="H228" i="13" s="1"/>
  <c r="I228" i="13"/>
  <c r="C229" i="13"/>
  <c r="E229" i="13" s="1"/>
  <c r="H229" i="13" s="1"/>
  <c r="D229" i="13"/>
  <c r="I229" i="13"/>
  <c r="E230" i="13"/>
  <c r="H230" i="13" s="1"/>
  <c r="C231" i="13"/>
  <c r="E231" i="13" s="1"/>
  <c r="I231" i="13" s="1"/>
  <c r="D231" i="13"/>
  <c r="H231" i="13"/>
  <c r="E232" i="13"/>
  <c r="H232" i="13" s="1"/>
  <c r="I232" i="13"/>
  <c r="C233" i="13"/>
  <c r="E233" i="13" s="1"/>
  <c r="H233" i="13" s="1"/>
  <c r="D233" i="13"/>
  <c r="I233" i="13"/>
  <c r="E234" i="13"/>
  <c r="H234" i="13" s="1"/>
  <c r="C236" i="13"/>
  <c r="D236" i="13"/>
  <c r="E236" i="13"/>
  <c r="E237" i="13"/>
  <c r="H237" i="13"/>
  <c r="I237" i="13"/>
  <c r="E238" i="13"/>
  <c r="H238" i="13" s="1"/>
  <c r="C239" i="13"/>
  <c r="D239" i="13"/>
  <c r="E240" i="13"/>
  <c r="I240" i="13" s="1"/>
  <c r="C241" i="13"/>
  <c r="D241" i="13"/>
  <c r="E242" i="13"/>
  <c r="I242" i="13" s="1"/>
  <c r="H242" i="13"/>
  <c r="E243" i="13"/>
  <c r="C244" i="13"/>
  <c r="D244" i="13"/>
  <c r="E244" i="13"/>
  <c r="I244" i="13" s="1"/>
  <c r="E245" i="13"/>
  <c r="H245" i="13"/>
  <c r="I245" i="13"/>
  <c r="C246" i="13"/>
  <c r="D246" i="13"/>
  <c r="E246" i="13"/>
  <c r="H246" i="13"/>
  <c r="I246" i="13"/>
  <c r="E247" i="13"/>
  <c r="H247" i="13"/>
  <c r="I247" i="13"/>
  <c r="C248" i="13"/>
  <c r="D248" i="13"/>
  <c r="E248" i="13"/>
  <c r="H248" i="13"/>
  <c r="I248" i="13"/>
  <c r="E249" i="13"/>
  <c r="H249" i="13"/>
  <c r="I249" i="13"/>
  <c r="C250" i="13"/>
  <c r="C251" i="13"/>
  <c r="D251" i="13"/>
  <c r="D250" i="13" s="1"/>
  <c r="E251" i="13"/>
  <c r="E252" i="13"/>
  <c r="H252" i="13"/>
  <c r="I252" i="13"/>
  <c r="C253" i="13"/>
  <c r="E253" i="13"/>
  <c r="H253" i="13"/>
  <c r="E254" i="13"/>
  <c r="H254" i="13" s="1"/>
  <c r="C255" i="13"/>
  <c r="D255" i="13"/>
  <c r="E255" i="13" s="1"/>
  <c r="E256" i="13"/>
  <c r="C257" i="13"/>
  <c r="E257" i="13"/>
  <c r="H257" i="13" s="1"/>
  <c r="E258" i="13"/>
  <c r="H258" i="13"/>
  <c r="C259" i="13"/>
  <c r="E259" i="13" s="1"/>
  <c r="D259" i="13"/>
  <c r="C260" i="13"/>
  <c r="E260" i="13" s="1"/>
  <c r="I260" i="13" s="1"/>
  <c r="D260" i="13"/>
  <c r="H260" i="13"/>
  <c r="E261" i="13"/>
  <c r="H261" i="13"/>
  <c r="I261" i="13"/>
  <c r="C262" i="13"/>
  <c r="E262" i="13" s="1"/>
  <c r="I262" i="13" s="1"/>
  <c r="D262" i="13"/>
  <c r="E263" i="13"/>
  <c r="H263" i="13"/>
  <c r="I263" i="13"/>
  <c r="C264" i="13"/>
  <c r="E264" i="13" s="1"/>
  <c r="I264" i="13" s="1"/>
  <c r="D264" i="13"/>
  <c r="H264" i="13"/>
  <c r="E265" i="13"/>
  <c r="H265" i="13"/>
  <c r="I265" i="13"/>
  <c r="C266" i="13"/>
  <c r="E266" i="13" s="1"/>
  <c r="I266" i="13" s="1"/>
  <c r="D266" i="13"/>
  <c r="E267" i="13"/>
  <c r="H267" i="13"/>
  <c r="I267" i="13"/>
  <c r="H268" i="13"/>
  <c r="C271" i="13"/>
  <c r="E271" i="13"/>
  <c r="H271" i="13"/>
  <c r="E272" i="13"/>
  <c r="H272" i="13" s="1"/>
  <c r="C273" i="13"/>
  <c r="C270" i="13" s="1"/>
  <c r="E273" i="13"/>
  <c r="H273" i="13" s="1"/>
  <c r="E274" i="13"/>
  <c r="H274" i="13"/>
  <c r="C275" i="13"/>
  <c r="E275" i="13" s="1"/>
  <c r="D275" i="13"/>
  <c r="D269" i="13" s="1"/>
  <c r="C276" i="13"/>
  <c r="E276" i="13" s="1"/>
  <c r="I276" i="13" s="1"/>
  <c r="D276" i="13"/>
  <c r="H276" i="13"/>
  <c r="E277" i="13"/>
  <c r="H277" i="13"/>
  <c r="I277" i="13"/>
  <c r="C278" i="13"/>
  <c r="E278" i="13" s="1"/>
  <c r="H278" i="13" s="1"/>
  <c r="E279" i="13"/>
  <c r="H279" i="13" s="1"/>
  <c r="C281" i="13"/>
  <c r="C280" i="13" s="1"/>
  <c r="E280" i="13" s="1"/>
  <c r="H280" i="13" s="1"/>
  <c r="E282" i="13"/>
  <c r="H282" i="13" s="1"/>
  <c r="C284" i="13"/>
  <c r="C283" i="13" s="1"/>
  <c r="E283" i="13" s="1"/>
  <c r="H283" i="13" s="1"/>
  <c r="E285" i="13"/>
  <c r="H285" i="13" s="1"/>
  <c r="E286" i="13"/>
  <c r="H286" i="13"/>
  <c r="C289" i="13"/>
  <c r="E289" i="13" s="1"/>
  <c r="H289" i="13" s="1"/>
  <c r="D289" i="13"/>
  <c r="D288" i="13" s="1"/>
  <c r="E290" i="13"/>
  <c r="H290" i="13" s="1"/>
  <c r="C291" i="13"/>
  <c r="D291" i="13"/>
  <c r="E291" i="13" s="1"/>
  <c r="H291" i="13" s="1"/>
  <c r="E292" i="13"/>
  <c r="H292" i="13"/>
  <c r="C293" i="13"/>
  <c r="C288" i="13" s="1"/>
  <c r="D293" i="13"/>
  <c r="E294" i="13"/>
  <c r="H294" i="13" s="1"/>
  <c r="C295" i="13"/>
  <c r="D295" i="13"/>
  <c r="E295" i="13" s="1"/>
  <c r="H295" i="13" s="1"/>
  <c r="E296" i="13"/>
  <c r="H296" i="13"/>
  <c r="C298" i="13"/>
  <c r="E298" i="13" s="1"/>
  <c r="H298" i="13" s="1"/>
  <c r="D298" i="13"/>
  <c r="D297" i="13" s="1"/>
  <c r="E299" i="13"/>
  <c r="H299" i="13" s="1"/>
  <c r="C300" i="13"/>
  <c r="D300" i="13"/>
  <c r="E300" i="13" s="1"/>
  <c r="H300" i="13" s="1"/>
  <c r="E301" i="13"/>
  <c r="H301" i="13"/>
  <c r="C303" i="13"/>
  <c r="E303" i="13" s="1"/>
  <c r="H303" i="13" s="1"/>
  <c r="D303" i="13"/>
  <c r="D302" i="13" s="1"/>
  <c r="E304" i="13"/>
  <c r="H304" i="13" s="1"/>
  <c r="D305" i="13"/>
  <c r="C306" i="13"/>
  <c r="E306" i="13" s="1"/>
  <c r="H306" i="13" s="1"/>
  <c r="D306" i="13"/>
  <c r="I306" i="13"/>
  <c r="E307" i="13"/>
  <c r="H307" i="13" s="1"/>
  <c r="C308" i="13"/>
  <c r="E308" i="13" s="1"/>
  <c r="H308" i="13" s="1"/>
  <c r="D308" i="13"/>
  <c r="E309" i="13"/>
  <c r="H309" i="13" s="1"/>
  <c r="C311" i="13"/>
  <c r="C310" i="13" s="1"/>
  <c r="D311" i="13"/>
  <c r="E312" i="13"/>
  <c r="H312" i="13" s="1"/>
  <c r="C313" i="13"/>
  <c r="D313" i="13"/>
  <c r="E313" i="13" s="1"/>
  <c r="H313" i="13" s="1"/>
  <c r="E314" i="13"/>
  <c r="H314" i="13"/>
  <c r="C315" i="13"/>
  <c r="E315" i="13" s="1"/>
  <c r="H315" i="13" s="1"/>
  <c r="D315" i="13"/>
  <c r="E316" i="13"/>
  <c r="H316" i="13" s="1"/>
  <c r="C317" i="13"/>
  <c r="D317" i="13"/>
  <c r="E317" i="13" s="1"/>
  <c r="H317" i="13" s="1"/>
  <c r="E318" i="13"/>
  <c r="H318" i="13"/>
  <c r="C319" i="13"/>
  <c r="E319" i="13" s="1"/>
  <c r="H319" i="13" s="1"/>
  <c r="D319" i="13"/>
  <c r="E320" i="13"/>
  <c r="H320" i="13" s="1"/>
  <c r="C321" i="13"/>
  <c r="D321" i="13"/>
  <c r="E321" i="13" s="1"/>
  <c r="H321" i="13" s="1"/>
  <c r="E322" i="13"/>
  <c r="H322" i="13"/>
  <c r="E323" i="13"/>
  <c r="H323" i="13" s="1"/>
  <c r="D324" i="13"/>
  <c r="C325" i="13"/>
  <c r="C324" i="13" s="1"/>
  <c r="E324" i="13" s="1"/>
  <c r="H324" i="13" s="1"/>
  <c r="D325" i="13"/>
  <c r="E325" i="13" s="1"/>
  <c r="H325" i="13" s="1"/>
  <c r="E326" i="13"/>
  <c r="H326" i="13"/>
  <c r="C327" i="13"/>
  <c r="E327" i="13" s="1"/>
  <c r="H327" i="13" s="1"/>
  <c r="C328" i="13"/>
  <c r="E328" i="13" s="1"/>
  <c r="H328" i="13" s="1"/>
  <c r="D328" i="13"/>
  <c r="D327" i="13" s="1"/>
  <c r="E329" i="13"/>
  <c r="H329" i="13" s="1"/>
  <c r="E330" i="13"/>
  <c r="H330" i="13"/>
  <c r="D333" i="13"/>
  <c r="D332" i="13" s="1"/>
  <c r="D331" i="13" s="1"/>
  <c r="C334" i="13"/>
  <c r="E334" i="13" s="1"/>
  <c r="H334" i="13" s="1"/>
  <c r="D334" i="13"/>
  <c r="E335" i="13"/>
  <c r="H335" i="13" s="1"/>
  <c r="E336" i="13"/>
  <c r="H336" i="13"/>
  <c r="E337" i="13"/>
  <c r="H337" i="13" s="1"/>
  <c r="E338" i="13"/>
  <c r="H338" i="13"/>
  <c r="C339" i="13"/>
  <c r="E339" i="13" s="1"/>
  <c r="D339" i="13"/>
  <c r="E340" i="13"/>
  <c r="H340" i="13" s="1"/>
  <c r="E341" i="13"/>
  <c r="H341" i="13"/>
  <c r="E342" i="13"/>
  <c r="H342" i="13" s="1"/>
  <c r="E343" i="13"/>
  <c r="H343" i="13"/>
  <c r="I343" i="13"/>
  <c r="E344" i="13"/>
  <c r="H344" i="13"/>
  <c r="E345" i="13"/>
  <c r="H345" i="13" s="1"/>
  <c r="E346" i="13"/>
  <c r="H346" i="13"/>
  <c r="E347" i="13"/>
  <c r="H347" i="13" s="1"/>
  <c r="E348" i="13"/>
  <c r="H348" i="13" s="1"/>
  <c r="C349" i="13"/>
  <c r="C348" i="13" s="1"/>
  <c r="D349" i="13"/>
  <c r="D348" i="13" s="1"/>
  <c r="E349" i="13"/>
  <c r="H349" i="13" s="1"/>
  <c r="E350" i="13"/>
  <c r="H350" i="13"/>
  <c r="E351" i="13"/>
  <c r="H351" i="13" s="1"/>
  <c r="E352" i="13"/>
  <c r="H352" i="13"/>
  <c r="C353" i="13"/>
  <c r="E353" i="13" s="1"/>
  <c r="H353" i="13" s="1"/>
  <c r="C354" i="13"/>
  <c r="E354" i="13" s="1"/>
  <c r="C355" i="13"/>
  <c r="D355" i="13"/>
  <c r="D354" i="13" s="1"/>
  <c r="D353" i="13" s="1"/>
  <c r="E355" i="13"/>
  <c r="H355" i="13" s="1"/>
  <c r="E356" i="13"/>
  <c r="H356" i="13"/>
  <c r="E357" i="13"/>
  <c r="H357" i="13" s="1"/>
  <c r="E358" i="13"/>
  <c r="H358" i="13"/>
  <c r="E359" i="13"/>
  <c r="H359" i="13" s="1"/>
  <c r="C360" i="13"/>
  <c r="D360" i="13"/>
  <c r="E360" i="13"/>
  <c r="H360" i="13" s="1"/>
  <c r="E361" i="13"/>
  <c r="H361" i="13"/>
  <c r="E362" i="13"/>
  <c r="H362" i="13" s="1"/>
  <c r="E363" i="13"/>
  <c r="H363" i="13" s="1"/>
  <c r="E364" i="13"/>
  <c r="H364" i="13"/>
  <c r="E365" i="13"/>
  <c r="H365" i="13" s="1"/>
  <c r="E366" i="13"/>
  <c r="H366" i="13" s="1"/>
  <c r="E367" i="13"/>
  <c r="H367" i="13"/>
  <c r="C368" i="13"/>
  <c r="C369" i="13"/>
  <c r="C370" i="13"/>
  <c r="D370" i="13"/>
  <c r="D369" i="13" s="1"/>
  <c r="D368" i="13" s="1"/>
  <c r="E370" i="13"/>
  <c r="H370" i="13" s="1"/>
  <c r="E371" i="13"/>
  <c r="H371" i="13"/>
  <c r="I371" i="13"/>
  <c r="E372" i="13"/>
  <c r="H372" i="13"/>
  <c r="C374" i="13"/>
  <c r="C375" i="13"/>
  <c r="D375" i="13"/>
  <c r="D374" i="13" s="1"/>
  <c r="E375" i="13"/>
  <c r="E376" i="13"/>
  <c r="H376" i="13"/>
  <c r="E377" i="13"/>
  <c r="H377" i="13" s="1"/>
  <c r="C378" i="13"/>
  <c r="D378" i="13"/>
  <c r="C379" i="13"/>
  <c r="E379" i="13" s="1"/>
  <c r="I379" i="13" s="1"/>
  <c r="D379" i="13"/>
  <c r="H379" i="13"/>
  <c r="E380" i="13"/>
  <c r="H380" i="13"/>
  <c r="E381" i="13"/>
  <c r="H381" i="13" s="1"/>
  <c r="C383" i="13"/>
  <c r="D384" i="13"/>
  <c r="E384" i="13" s="1"/>
  <c r="H384" i="13" s="1"/>
  <c r="E385" i="13"/>
  <c r="H385" i="13" s="1"/>
  <c r="E386" i="13"/>
  <c r="H386" i="13"/>
  <c r="F387" i="13"/>
  <c r="G387" i="13"/>
  <c r="A1" i="12"/>
  <c r="A4" i="12"/>
  <c r="C10" i="12"/>
  <c r="D10" i="12"/>
  <c r="D9" i="12" s="1"/>
  <c r="F10" i="12"/>
  <c r="G10" i="12"/>
  <c r="E11" i="12"/>
  <c r="H11" i="12" s="1"/>
  <c r="E12" i="12"/>
  <c r="H12" i="12"/>
  <c r="E13" i="12"/>
  <c r="E10" i="12" s="1"/>
  <c r="E14" i="12"/>
  <c r="H14" i="12"/>
  <c r="E15" i="12"/>
  <c r="H15" i="12" s="1"/>
  <c r="E16" i="12"/>
  <c r="H16" i="12"/>
  <c r="E17" i="12"/>
  <c r="H17" i="12" s="1"/>
  <c r="E18" i="12"/>
  <c r="H18" i="12"/>
  <c r="C20" i="12"/>
  <c r="D20" i="12"/>
  <c r="F20" i="12"/>
  <c r="G20" i="12"/>
  <c r="G9" i="12" s="1"/>
  <c r="G82" i="12" s="1"/>
  <c r="I86" i="12" s="1"/>
  <c r="E21" i="12"/>
  <c r="H21" i="12"/>
  <c r="E22" i="12"/>
  <c r="H22" i="12" s="1"/>
  <c r="E23" i="12"/>
  <c r="H23" i="12"/>
  <c r="E24" i="12"/>
  <c r="H24" i="12" s="1"/>
  <c r="E25" i="12"/>
  <c r="H25" i="12"/>
  <c r="E26" i="12"/>
  <c r="H26" i="12" s="1"/>
  <c r="E27" i="12"/>
  <c r="H27" i="12"/>
  <c r="C29" i="12"/>
  <c r="D29" i="12"/>
  <c r="F29" i="12"/>
  <c r="F9" i="12" s="1"/>
  <c r="F82" i="12" s="1"/>
  <c r="G29" i="12"/>
  <c r="E30" i="12"/>
  <c r="H30" i="12"/>
  <c r="E31" i="12"/>
  <c r="H31" i="12" s="1"/>
  <c r="E32" i="12"/>
  <c r="H32" i="12"/>
  <c r="E33" i="12"/>
  <c r="H33" i="12" s="1"/>
  <c r="E34" i="12"/>
  <c r="H34" i="12"/>
  <c r="E35" i="12"/>
  <c r="H35" i="12" s="1"/>
  <c r="E36" i="12"/>
  <c r="H36" i="12"/>
  <c r="E37" i="12"/>
  <c r="H37" i="12" s="1"/>
  <c r="E38" i="12"/>
  <c r="H38" i="12"/>
  <c r="C40" i="12"/>
  <c r="D40" i="12"/>
  <c r="F40" i="12"/>
  <c r="G40" i="12"/>
  <c r="E41" i="12"/>
  <c r="E40" i="12" s="1"/>
  <c r="H41" i="12"/>
  <c r="E42" i="12"/>
  <c r="H42" i="12" s="1"/>
  <c r="E43" i="12"/>
  <c r="H43" i="12"/>
  <c r="E44" i="12"/>
  <c r="H44" i="12" s="1"/>
  <c r="D46" i="12"/>
  <c r="C47" i="12"/>
  <c r="C46" i="12" s="1"/>
  <c r="D47" i="12"/>
  <c r="F47" i="12"/>
  <c r="F46" i="12" s="1"/>
  <c r="G47" i="12"/>
  <c r="G46" i="12" s="1"/>
  <c r="E48" i="12"/>
  <c r="H48" i="12"/>
  <c r="E49" i="12"/>
  <c r="H49" i="12" s="1"/>
  <c r="E50" i="12"/>
  <c r="H50" i="12"/>
  <c r="E51" i="12"/>
  <c r="H51" i="12" s="1"/>
  <c r="E52" i="12"/>
  <c r="H52" i="12"/>
  <c r="E53" i="12"/>
  <c r="H53" i="12" s="1"/>
  <c r="E54" i="12"/>
  <c r="H54" i="12"/>
  <c r="E55" i="12"/>
  <c r="H55" i="12" s="1"/>
  <c r="C57" i="12"/>
  <c r="D57" i="12"/>
  <c r="F57" i="12"/>
  <c r="G57" i="12"/>
  <c r="E58" i="12"/>
  <c r="E59" i="12"/>
  <c r="H59" i="12"/>
  <c r="E60" i="12"/>
  <c r="H60" i="12" s="1"/>
  <c r="E61" i="12"/>
  <c r="H61" i="12"/>
  <c r="E62" i="12"/>
  <c r="H62" i="12" s="1"/>
  <c r="E63" i="12"/>
  <c r="H63" i="12"/>
  <c r="E64" i="12"/>
  <c r="H64" i="12" s="1"/>
  <c r="C65" i="12"/>
  <c r="D65" i="12"/>
  <c r="F65" i="12"/>
  <c r="G65" i="12"/>
  <c r="E66" i="12"/>
  <c r="H66" i="12" s="1"/>
  <c r="H67" i="12"/>
  <c r="E68" i="12"/>
  <c r="H68" i="12" s="1"/>
  <c r="E69" i="12"/>
  <c r="H69" i="12"/>
  <c r="E70" i="12"/>
  <c r="H70" i="12" s="1"/>
  <c r="E71" i="12"/>
  <c r="H71" i="12"/>
  <c r="E72" i="12"/>
  <c r="H72" i="12"/>
  <c r="E73" i="12"/>
  <c r="H73" i="12"/>
  <c r="E74" i="12"/>
  <c r="H74" i="12" s="1"/>
  <c r="C76" i="12"/>
  <c r="D76" i="12"/>
  <c r="F76" i="12"/>
  <c r="G76" i="12"/>
  <c r="E77" i="12"/>
  <c r="H77" i="12" s="1"/>
  <c r="E78" i="12"/>
  <c r="H78" i="12"/>
  <c r="E79" i="12"/>
  <c r="H79" i="12" s="1"/>
  <c r="E80" i="12"/>
  <c r="H80" i="12"/>
  <c r="A1" i="11"/>
  <c r="A4" i="11"/>
  <c r="B9" i="11"/>
  <c r="C9" i="11"/>
  <c r="E9" i="11"/>
  <c r="F9" i="11"/>
  <c r="D10" i="11"/>
  <c r="G10" i="11"/>
  <c r="D11" i="11"/>
  <c r="G11" i="11" s="1"/>
  <c r="D12" i="11"/>
  <c r="G12" i="11"/>
  <c r="D13" i="11"/>
  <c r="G13" i="11" s="1"/>
  <c r="D14" i="11"/>
  <c r="G14" i="11"/>
  <c r="D15" i="11"/>
  <c r="G15" i="11" s="1"/>
  <c r="D16" i="11"/>
  <c r="G16" i="11"/>
  <c r="D17" i="11"/>
  <c r="G17" i="11" s="1"/>
  <c r="D18" i="11"/>
  <c r="G18" i="11"/>
  <c r="B19" i="11"/>
  <c r="D19" i="11" s="1"/>
  <c r="G19" i="11" s="1"/>
  <c r="C19" i="11"/>
  <c r="E19" i="11"/>
  <c r="F19" i="11"/>
  <c r="F44" i="11" s="1"/>
  <c r="D20" i="11"/>
  <c r="G20" i="11"/>
  <c r="D21" i="11"/>
  <c r="G21" i="11" s="1"/>
  <c r="D22" i="11"/>
  <c r="G22" i="11"/>
  <c r="D23" i="11"/>
  <c r="G23" i="11" s="1"/>
  <c r="D24" i="11"/>
  <c r="G24" i="11"/>
  <c r="D25" i="11"/>
  <c r="G25" i="11" s="1"/>
  <c r="D26" i="11"/>
  <c r="G26" i="11"/>
  <c r="D27" i="11"/>
  <c r="G27" i="11"/>
  <c r="B28" i="11"/>
  <c r="C28" i="11"/>
  <c r="D28" i="11"/>
  <c r="E28" i="11"/>
  <c r="F28" i="11"/>
  <c r="G28" i="11"/>
  <c r="D29" i="11"/>
  <c r="G29" i="11" s="1"/>
  <c r="D30" i="11"/>
  <c r="G30" i="11"/>
  <c r="D31" i="11"/>
  <c r="G31" i="11" s="1"/>
  <c r="D32" i="11"/>
  <c r="G32" i="11"/>
  <c r="D33" i="11"/>
  <c r="G33" i="11" s="1"/>
  <c r="D34" i="11"/>
  <c r="G34" i="11"/>
  <c r="D35" i="11"/>
  <c r="G35" i="11" s="1"/>
  <c r="D36" i="11"/>
  <c r="G36" i="11"/>
  <c r="D37" i="11"/>
  <c r="G37" i="11" s="1"/>
  <c r="D38" i="11"/>
  <c r="G38" i="11"/>
  <c r="B39" i="11"/>
  <c r="D39" i="11" s="1"/>
  <c r="C39" i="11"/>
  <c r="E39" i="11"/>
  <c r="F39" i="11"/>
  <c r="D40" i="11"/>
  <c r="G40" i="11"/>
  <c r="D41" i="11"/>
  <c r="G41" i="11" s="1"/>
  <c r="D42" i="11"/>
  <c r="G42" i="11"/>
  <c r="D43" i="11"/>
  <c r="G43" i="11" s="1"/>
  <c r="C44" i="11"/>
  <c r="A1" i="10"/>
  <c r="A4" i="10"/>
  <c r="D9" i="10"/>
  <c r="G9" i="10" s="1"/>
  <c r="D10" i="10"/>
  <c r="G10" i="10"/>
  <c r="D11" i="10"/>
  <c r="G11" i="10"/>
  <c r="D12" i="10"/>
  <c r="G12" i="10"/>
  <c r="D13" i="10"/>
  <c r="G13" i="10" s="1"/>
  <c r="D14" i="10"/>
  <c r="G14" i="10"/>
  <c r="D15" i="10"/>
  <c r="G15" i="10"/>
  <c r="D16" i="10"/>
  <c r="G16" i="10"/>
  <c r="D17" i="10"/>
  <c r="G17" i="10" s="1"/>
  <c r="D18" i="10"/>
  <c r="G18" i="10"/>
  <c r="D19" i="10"/>
  <c r="G19" i="10"/>
  <c r="D20" i="10"/>
  <c r="G20" i="10"/>
  <c r="D21" i="10"/>
  <c r="G21" i="10" s="1"/>
  <c r="B22" i="10"/>
  <c r="C22" i="10"/>
  <c r="D22" i="10"/>
  <c r="E22" i="10"/>
  <c r="F22" i="10"/>
  <c r="A1" i="9"/>
  <c r="A4" i="9"/>
  <c r="D9" i="9"/>
  <c r="G9" i="9"/>
  <c r="D10" i="9"/>
  <c r="G10" i="9" s="1"/>
  <c r="D11" i="9"/>
  <c r="G11" i="9" s="1"/>
  <c r="D12" i="9"/>
  <c r="G12" i="9"/>
  <c r="B14" i="9"/>
  <c r="C14" i="9"/>
  <c r="H15" i="9" s="1"/>
  <c r="E14" i="9"/>
  <c r="F14" i="9"/>
  <c r="H20" i="9"/>
  <c r="A1" i="8"/>
  <c r="A4" i="8"/>
  <c r="B9" i="8"/>
  <c r="B32" i="8" s="1"/>
  <c r="H32" i="8" s="1"/>
  <c r="D10" i="8"/>
  <c r="G10" i="8"/>
  <c r="D11" i="8"/>
  <c r="G11" i="8"/>
  <c r="D12" i="8"/>
  <c r="E12" i="8"/>
  <c r="E9" i="8" s="1"/>
  <c r="E32" i="8" s="1"/>
  <c r="F12" i="8"/>
  <c r="F9" i="8" s="1"/>
  <c r="F32" i="8" s="1"/>
  <c r="H35" i="8" s="1"/>
  <c r="C13" i="8"/>
  <c r="C9" i="8" s="1"/>
  <c r="C32" i="8" s="1"/>
  <c r="H33" i="8" s="1"/>
  <c r="D13" i="8"/>
  <c r="G13" i="8" s="1"/>
  <c r="E13" i="8"/>
  <c r="F13" i="8"/>
  <c r="D14" i="8"/>
  <c r="G14" i="8" s="1"/>
  <c r="D15" i="8"/>
  <c r="G15" i="8"/>
  <c r="D16" i="8"/>
  <c r="G16" i="8" s="1"/>
  <c r="D17" i="8"/>
  <c r="G17" i="8" s="1"/>
  <c r="D18" i="8"/>
  <c r="G18" i="8" s="1"/>
  <c r="B21" i="8"/>
  <c r="C21" i="8"/>
  <c r="E21" i="8"/>
  <c r="F21" i="8"/>
  <c r="D22" i="8"/>
  <c r="G22" i="8" s="1"/>
  <c r="D23" i="8"/>
  <c r="G23" i="8"/>
  <c r="D24" i="8"/>
  <c r="G24" i="8" s="1"/>
  <c r="D25" i="8"/>
  <c r="G25" i="8" s="1"/>
  <c r="D26" i="8"/>
  <c r="G26" i="8" s="1"/>
  <c r="D27" i="8"/>
  <c r="G27" i="8"/>
  <c r="D28" i="8"/>
  <c r="G28" i="8" s="1"/>
  <c r="D29" i="8"/>
  <c r="G29" i="8" s="1"/>
  <c r="G30" i="8"/>
  <c r="A1" i="7"/>
  <c r="A4" i="7"/>
  <c r="D8" i="7"/>
  <c r="G8" i="7" s="1"/>
  <c r="J8" i="7"/>
  <c r="L8" i="7" s="1"/>
  <c r="C9" i="7"/>
  <c r="D9" i="7"/>
  <c r="E9" i="7"/>
  <c r="G9" i="7" s="1"/>
  <c r="F9" i="7"/>
  <c r="J9" i="7"/>
  <c r="L9" i="7"/>
  <c r="D10" i="7"/>
  <c r="E10" i="7"/>
  <c r="F10" i="7"/>
  <c r="G10" i="7"/>
  <c r="J10" i="7"/>
  <c r="L10" i="7"/>
  <c r="D11" i="7"/>
  <c r="E11" i="7"/>
  <c r="G11" i="7" s="1"/>
  <c r="F11" i="7"/>
  <c r="J11" i="7"/>
  <c r="L11" i="7"/>
  <c r="U11" i="7"/>
  <c r="D12" i="7"/>
  <c r="G12" i="7" s="1"/>
  <c r="J12" i="7"/>
  <c r="L12" i="7" s="1"/>
  <c r="D13" i="7"/>
  <c r="G13" i="7" s="1"/>
  <c r="J13" i="7"/>
  <c r="L13" i="7" s="1"/>
  <c r="Q13" i="7"/>
  <c r="R13" i="7"/>
  <c r="D14" i="7"/>
  <c r="G14" i="7" s="1"/>
  <c r="J14" i="7"/>
  <c r="L14" i="7" s="1"/>
  <c r="D15" i="7"/>
  <c r="G15" i="7" s="1"/>
  <c r="J15" i="7"/>
  <c r="L15" i="7" s="1"/>
  <c r="D16" i="7"/>
  <c r="G16" i="7" s="1"/>
  <c r="D17" i="7"/>
  <c r="G17" i="7"/>
  <c r="S17" i="7"/>
  <c r="D18" i="7"/>
  <c r="G18" i="7"/>
  <c r="D19" i="7"/>
  <c r="G19" i="7"/>
  <c r="D20" i="7"/>
  <c r="G20" i="7"/>
  <c r="D21" i="7"/>
  <c r="G21" i="7"/>
  <c r="D22" i="7"/>
  <c r="G22" i="7"/>
  <c r="I22" i="7"/>
  <c r="D23" i="7"/>
  <c r="G23" i="7"/>
  <c r="D24" i="7"/>
  <c r="G24" i="7"/>
  <c r="D25" i="7"/>
  <c r="G25" i="7"/>
  <c r="D26" i="7"/>
  <c r="G26" i="7"/>
  <c r="D27" i="7"/>
  <c r="G27" i="7"/>
  <c r="D28" i="7"/>
  <c r="G28" i="7"/>
  <c r="D29" i="7"/>
  <c r="G29" i="7"/>
  <c r="D30" i="7"/>
  <c r="G30" i="7"/>
  <c r="B31" i="7"/>
  <c r="C31" i="7"/>
  <c r="H32" i="7" s="1"/>
  <c r="F31" i="7"/>
  <c r="H35" i="7" s="1"/>
  <c r="A1" i="6"/>
  <c r="A4" i="6"/>
  <c r="D8" i="6"/>
  <c r="G8" i="6" s="1"/>
  <c r="D9" i="6"/>
  <c r="G9" i="6" s="1"/>
  <c r="D10" i="6"/>
  <c r="G10" i="6"/>
  <c r="D11" i="6"/>
  <c r="G11" i="6" s="1"/>
  <c r="D12" i="6"/>
  <c r="G12" i="6" s="1"/>
  <c r="B14" i="6"/>
  <c r="H14" i="6" s="1"/>
  <c r="C14" i="6"/>
  <c r="H15" i="6" s="1"/>
  <c r="E14" i="6"/>
  <c r="F14" i="6"/>
  <c r="H28" i="6" s="1"/>
  <c r="A1" i="5"/>
  <c r="C10" i="5"/>
  <c r="C9" i="5" s="1"/>
  <c r="D10" i="5"/>
  <c r="D9" i="5" s="1"/>
  <c r="F10" i="5"/>
  <c r="F9" i="5" s="1"/>
  <c r="F158" i="5" s="1"/>
  <c r="I158" i="5" s="1"/>
  <c r="G10" i="5"/>
  <c r="G9" i="5" s="1"/>
  <c r="E11" i="5"/>
  <c r="H11" i="5" s="1"/>
  <c r="E12" i="5"/>
  <c r="H12" i="5" s="1"/>
  <c r="E13" i="5"/>
  <c r="H13" i="5"/>
  <c r="E14" i="5"/>
  <c r="H14" i="5" s="1"/>
  <c r="E15" i="5"/>
  <c r="H15" i="5" s="1"/>
  <c r="E16" i="5"/>
  <c r="H16" i="5" s="1"/>
  <c r="E17" i="5"/>
  <c r="H17" i="5"/>
  <c r="C18" i="5"/>
  <c r="D18" i="5"/>
  <c r="F18" i="5"/>
  <c r="G18" i="5"/>
  <c r="E19" i="5"/>
  <c r="H19" i="5"/>
  <c r="E20" i="5"/>
  <c r="H20" i="5" s="1"/>
  <c r="E21" i="5"/>
  <c r="H21" i="5" s="1"/>
  <c r="E22" i="5"/>
  <c r="H22" i="5" s="1"/>
  <c r="E23" i="5"/>
  <c r="H23" i="5"/>
  <c r="E24" i="5"/>
  <c r="H24" i="5" s="1"/>
  <c r="E25" i="5"/>
  <c r="H25" i="5" s="1"/>
  <c r="E26" i="5"/>
  <c r="H26" i="5" s="1"/>
  <c r="E27" i="5"/>
  <c r="H27" i="5"/>
  <c r="C28" i="5"/>
  <c r="D28" i="5"/>
  <c r="F28" i="5"/>
  <c r="G28" i="5"/>
  <c r="E29" i="5"/>
  <c r="H29" i="5"/>
  <c r="E30" i="5"/>
  <c r="H30" i="5" s="1"/>
  <c r="E31" i="5"/>
  <c r="H31" i="5" s="1"/>
  <c r="E32" i="5"/>
  <c r="H32" i="5" s="1"/>
  <c r="E33" i="5"/>
  <c r="H33" i="5"/>
  <c r="E34" i="5"/>
  <c r="H34" i="5" s="1"/>
  <c r="E35" i="5"/>
  <c r="H35" i="5" s="1"/>
  <c r="E36" i="5"/>
  <c r="H36" i="5" s="1"/>
  <c r="E37" i="5"/>
  <c r="H37" i="5"/>
  <c r="C38" i="5"/>
  <c r="D38" i="5"/>
  <c r="F38" i="5"/>
  <c r="G38" i="5"/>
  <c r="E39" i="5"/>
  <c r="H39" i="5"/>
  <c r="E40" i="5"/>
  <c r="H40" i="5" s="1"/>
  <c r="E41" i="5"/>
  <c r="H41" i="5" s="1"/>
  <c r="E42" i="5"/>
  <c r="H42" i="5" s="1"/>
  <c r="E43" i="5"/>
  <c r="H43" i="5"/>
  <c r="E44" i="5"/>
  <c r="H44" i="5" s="1"/>
  <c r="E45" i="5"/>
  <c r="H45" i="5" s="1"/>
  <c r="E46" i="5"/>
  <c r="H46" i="5" s="1"/>
  <c r="E47" i="5"/>
  <c r="H47" i="5"/>
  <c r="C48" i="5"/>
  <c r="D48" i="5"/>
  <c r="F48" i="5"/>
  <c r="G48" i="5"/>
  <c r="E49" i="5"/>
  <c r="H49" i="5"/>
  <c r="E50" i="5"/>
  <c r="H50" i="5" s="1"/>
  <c r="E51" i="5"/>
  <c r="H51" i="5" s="1"/>
  <c r="E52" i="5"/>
  <c r="H52" i="5" s="1"/>
  <c r="E53" i="5"/>
  <c r="H53" i="5"/>
  <c r="E54" i="5"/>
  <c r="H54" i="5" s="1"/>
  <c r="E55" i="5"/>
  <c r="H55" i="5" s="1"/>
  <c r="E56" i="5"/>
  <c r="H56" i="5" s="1"/>
  <c r="E57" i="5"/>
  <c r="H57" i="5"/>
  <c r="C58" i="5"/>
  <c r="D58" i="5"/>
  <c r="F58" i="5"/>
  <c r="G58" i="5"/>
  <c r="E59" i="5"/>
  <c r="H59" i="5"/>
  <c r="E60" i="5"/>
  <c r="H60" i="5" s="1"/>
  <c r="H58" i="5" s="1"/>
  <c r="E61" i="5"/>
  <c r="H61" i="5" s="1"/>
  <c r="C62" i="5"/>
  <c r="D62" i="5"/>
  <c r="F62" i="5"/>
  <c r="G62" i="5"/>
  <c r="E63" i="5"/>
  <c r="H63" i="5" s="1"/>
  <c r="E64" i="5"/>
  <c r="H64" i="5" s="1"/>
  <c r="E65" i="5"/>
  <c r="H65" i="5"/>
  <c r="E66" i="5"/>
  <c r="H66" i="5" s="1"/>
  <c r="E67" i="5"/>
  <c r="H67" i="5" s="1"/>
  <c r="E68" i="5"/>
  <c r="H68" i="5" s="1"/>
  <c r="E69" i="5"/>
  <c r="H69" i="5"/>
  <c r="E70" i="5"/>
  <c r="H70" i="5" s="1"/>
  <c r="C71" i="5"/>
  <c r="D71" i="5"/>
  <c r="F71" i="5"/>
  <c r="G71" i="5"/>
  <c r="E72" i="5"/>
  <c r="H72" i="5" s="1"/>
  <c r="E73" i="5"/>
  <c r="H73" i="5" s="1"/>
  <c r="E74" i="5"/>
  <c r="H74" i="5" s="1"/>
  <c r="C75" i="5"/>
  <c r="D75" i="5"/>
  <c r="F75" i="5"/>
  <c r="G75" i="5"/>
  <c r="E76" i="5"/>
  <c r="H76" i="5" s="1"/>
  <c r="E77" i="5"/>
  <c r="H77" i="5"/>
  <c r="E78" i="5"/>
  <c r="H78" i="5" s="1"/>
  <c r="E79" i="5"/>
  <c r="H79" i="5" s="1"/>
  <c r="E80" i="5"/>
  <c r="H80" i="5" s="1"/>
  <c r="E81" i="5"/>
  <c r="H81" i="5"/>
  <c r="E82" i="5"/>
  <c r="H82" i="5" s="1"/>
  <c r="C84" i="5"/>
  <c r="C83" i="5" s="1"/>
  <c r="D84" i="5"/>
  <c r="F84" i="5"/>
  <c r="G84" i="5"/>
  <c r="G83" i="5" s="1"/>
  <c r="E85" i="5"/>
  <c r="H85" i="5"/>
  <c r="E86" i="5"/>
  <c r="H86" i="5" s="1"/>
  <c r="E87" i="5"/>
  <c r="H87" i="5" s="1"/>
  <c r="E88" i="5"/>
  <c r="H88" i="5" s="1"/>
  <c r="E89" i="5"/>
  <c r="H89" i="5"/>
  <c r="E90" i="5"/>
  <c r="H90" i="5" s="1"/>
  <c r="E91" i="5"/>
  <c r="H91" i="5" s="1"/>
  <c r="C92" i="5"/>
  <c r="D92" i="5"/>
  <c r="D83" i="5" s="1"/>
  <c r="F92" i="5"/>
  <c r="G92" i="5"/>
  <c r="E93" i="5"/>
  <c r="H93" i="5" s="1"/>
  <c r="E94" i="5"/>
  <c r="H94" i="5" s="1"/>
  <c r="E95" i="5"/>
  <c r="H95" i="5"/>
  <c r="E96" i="5"/>
  <c r="H96" i="5" s="1"/>
  <c r="E97" i="5"/>
  <c r="H97" i="5" s="1"/>
  <c r="E98" i="5"/>
  <c r="H98" i="5" s="1"/>
  <c r="E99" i="5"/>
  <c r="H99" i="5"/>
  <c r="E100" i="5"/>
  <c r="H100" i="5" s="1"/>
  <c r="E101" i="5"/>
  <c r="H101" i="5" s="1"/>
  <c r="C102" i="5"/>
  <c r="D102" i="5"/>
  <c r="F102" i="5"/>
  <c r="G102" i="5"/>
  <c r="E103" i="5"/>
  <c r="H103" i="5" s="1"/>
  <c r="E104" i="5"/>
  <c r="H104" i="5" s="1"/>
  <c r="E105" i="5"/>
  <c r="H105" i="5"/>
  <c r="E106" i="5"/>
  <c r="H106" i="5" s="1"/>
  <c r="E107" i="5"/>
  <c r="H107" i="5" s="1"/>
  <c r="E108" i="5"/>
  <c r="H108" i="5" s="1"/>
  <c r="E109" i="5"/>
  <c r="H109" i="5"/>
  <c r="E110" i="5"/>
  <c r="H110" i="5" s="1"/>
  <c r="E111" i="5"/>
  <c r="H111" i="5" s="1"/>
  <c r="C112" i="5"/>
  <c r="D112" i="5"/>
  <c r="F112" i="5"/>
  <c r="G112" i="5"/>
  <c r="E113" i="5"/>
  <c r="H113" i="5" s="1"/>
  <c r="E114" i="5"/>
  <c r="H114" i="5" s="1"/>
  <c r="E115" i="5"/>
  <c r="H115" i="5"/>
  <c r="E116" i="5"/>
  <c r="H116" i="5" s="1"/>
  <c r="E117" i="5"/>
  <c r="H117" i="5" s="1"/>
  <c r="E118" i="5"/>
  <c r="H118" i="5" s="1"/>
  <c r="E119" i="5"/>
  <c r="H119" i="5"/>
  <c r="E120" i="5"/>
  <c r="H120" i="5" s="1"/>
  <c r="E121" i="5"/>
  <c r="H121" i="5" s="1"/>
  <c r="C122" i="5"/>
  <c r="D122" i="5"/>
  <c r="F122" i="5"/>
  <c r="G122" i="5"/>
  <c r="E123" i="5"/>
  <c r="H123" i="5" s="1"/>
  <c r="E124" i="5"/>
  <c r="H124" i="5" s="1"/>
  <c r="E125" i="5"/>
  <c r="H125" i="5"/>
  <c r="E126" i="5"/>
  <c r="H126" i="5" s="1"/>
  <c r="E127" i="5"/>
  <c r="H127" i="5" s="1"/>
  <c r="E128" i="5"/>
  <c r="H128" i="5" s="1"/>
  <c r="E129" i="5"/>
  <c r="H129" i="5"/>
  <c r="E130" i="5"/>
  <c r="H130" i="5" s="1"/>
  <c r="E131" i="5"/>
  <c r="H131" i="5" s="1"/>
  <c r="C132" i="5"/>
  <c r="D132" i="5"/>
  <c r="F132" i="5"/>
  <c r="G132" i="5"/>
  <c r="E133" i="5"/>
  <c r="H133" i="5" s="1"/>
  <c r="E134" i="5"/>
  <c r="H134" i="5" s="1"/>
  <c r="E135" i="5"/>
  <c r="H135" i="5"/>
  <c r="C136" i="5"/>
  <c r="D136" i="5"/>
  <c r="F136" i="5"/>
  <c r="G136" i="5"/>
  <c r="E137" i="5"/>
  <c r="H137" i="5"/>
  <c r="E138" i="5"/>
  <c r="H138" i="5" s="1"/>
  <c r="E139" i="5"/>
  <c r="H139" i="5" s="1"/>
  <c r="E140" i="5"/>
  <c r="H140" i="5" s="1"/>
  <c r="E141" i="5"/>
  <c r="H141" i="5"/>
  <c r="E142" i="5"/>
  <c r="H142" i="5" s="1"/>
  <c r="E143" i="5"/>
  <c r="H143" i="5" s="1"/>
  <c r="E144" i="5"/>
  <c r="H144" i="5" s="1"/>
  <c r="C145" i="5"/>
  <c r="D145" i="5"/>
  <c r="E145" i="5"/>
  <c r="F145" i="5"/>
  <c r="G145" i="5"/>
  <c r="E146" i="5"/>
  <c r="H146" i="5" s="1"/>
  <c r="H145" i="5" s="1"/>
  <c r="E147" i="5"/>
  <c r="H147" i="5"/>
  <c r="E148" i="5"/>
  <c r="H148" i="5" s="1"/>
  <c r="C149" i="5"/>
  <c r="D149" i="5"/>
  <c r="F149" i="5"/>
  <c r="F83" i="5" s="1"/>
  <c r="G149" i="5"/>
  <c r="E150" i="5"/>
  <c r="H150" i="5" s="1"/>
  <c r="H149" i="5" s="1"/>
  <c r="E151" i="5"/>
  <c r="H151" i="5" s="1"/>
  <c r="E152" i="5"/>
  <c r="H152" i="5" s="1"/>
  <c r="E153" i="5"/>
  <c r="H153" i="5"/>
  <c r="E154" i="5"/>
  <c r="H154" i="5" s="1"/>
  <c r="E155" i="5"/>
  <c r="H155" i="5"/>
  <c r="E156" i="5"/>
  <c r="H156" i="5"/>
  <c r="E157" i="5"/>
  <c r="A1" i="4"/>
  <c r="A4" i="4"/>
  <c r="B8" i="4"/>
  <c r="D8" i="4" s="1"/>
  <c r="G8" i="4" s="1"/>
  <c r="C8" i="4"/>
  <c r="E8" i="4"/>
  <c r="F8" i="4"/>
  <c r="D9" i="4"/>
  <c r="G9" i="4"/>
  <c r="D10" i="4"/>
  <c r="G10" i="4" s="1"/>
  <c r="D11" i="4"/>
  <c r="G11" i="4"/>
  <c r="D12" i="4"/>
  <c r="G12" i="4"/>
  <c r="D13" i="4"/>
  <c r="G13" i="4"/>
  <c r="D14" i="4"/>
  <c r="G14" i="4" s="1"/>
  <c r="D15" i="4"/>
  <c r="G15" i="4"/>
  <c r="B16" i="4"/>
  <c r="C16" i="4"/>
  <c r="D16" i="4" s="1"/>
  <c r="G16" i="4" s="1"/>
  <c r="E16" i="4"/>
  <c r="F16" i="4"/>
  <c r="D17" i="4"/>
  <c r="G17" i="4"/>
  <c r="D18" i="4"/>
  <c r="G18" i="4"/>
  <c r="D19" i="4"/>
  <c r="G19" i="4"/>
  <c r="D20" i="4"/>
  <c r="G20" i="4" s="1"/>
  <c r="D21" i="4"/>
  <c r="G21" i="4"/>
  <c r="D22" i="4"/>
  <c r="G22" i="4"/>
  <c r="D23" i="4"/>
  <c r="G23" i="4"/>
  <c r="D24" i="4"/>
  <c r="G24" i="4" s="1"/>
  <c r="D25" i="4"/>
  <c r="G25" i="4"/>
  <c r="B26" i="4"/>
  <c r="C26" i="4"/>
  <c r="D26" i="4" s="1"/>
  <c r="G26" i="4" s="1"/>
  <c r="E26" i="4"/>
  <c r="F26" i="4"/>
  <c r="D27" i="4"/>
  <c r="G27" i="4"/>
  <c r="D28" i="4"/>
  <c r="G28" i="4"/>
  <c r="D29" i="4"/>
  <c r="G29" i="4"/>
  <c r="D30" i="4"/>
  <c r="G30" i="4" s="1"/>
  <c r="D31" i="4"/>
  <c r="G31" i="4"/>
  <c r="D32" i="4"/>
  <c r="G32" i="4"/>
  <c r="D33" i="4"/>
  <c r="G33" i="4"/>
  <c r="D34" i="4"/>
  <c r="G34" i="4" s="1"/>
  <c r="D35" i="4"/>
  <c r="G35" i="4"/>
  <c r="B36" i="4"/>
  <c r="C36" i="4"/>
  <c r="D36" i="4" s="1"/>
  <c r="G36" i="4" s="1"/>
  <c r="E36" i="4"/>
  <c r="F36" i="4"/>
  <c r="D37" i="4"/>
  <c r="G37" i="4"/>
  <c r="D38" i="4"/>
  <c r="G38" i="4"/>
  <c r="D39" i="4"/>
  <c r="G39" i="4"/>
  <c r="D40" i="4"/>
  <c r="G40" i="4" s="1"/>
  <c r="D41" i="4"/>
  <c r="G41" i="4"/>
  <c r="D42" i="4"/>
  <c r="G42" i="4"/>
  <c r="D43" i="4"/>
  <c r="G43" i="4"/>
  <c r="D44" i="4"/>
  <c r="G44" i="4" s="1"/>
  <c r="D45" i="4"/>
  <c r="G45" i="4"/>
  <c r="B46" i="4"/>
  <c r="C46" i="4"/>
  <c r="D46" i="4" s="1"/>
  <c r="G46" i="4" s="1"/>
  <c r="E46" i="4"/>
  <c r="F46" i="4"/>
  <c r="D47" i="4"/>
  <c r="G47" i="4"/>
  <c r="D48" i="4"/>
  <c r="G48" i="4"/>
  <c r="D49" i="4"/>
  <c r="G49" i="4"/>
  <c r="D50" i="4"/>
  <c r="G50" i="4" s="1"/>
  <c r="D51" i="4"/>
  <c r="G51" i="4"/>
  <c r="D52" i="4"/>
  <c r="G52" i="4"/>
  <c r="D53" i="4"/>
  <c r="G53" i="4"/>
  <c r="D54" i="4"/>
  <c r="G54" i="4" s="1"/>
  <c r="D55" i="4"/>
  <c r="G55" i="4"/>
  <c r="B56" i="4"/>
  <c r="C56" i="4"/>
  <c r="D56" i="4" s="1"/>
  <c r="G56" i="4" s="1"/>
  <c r="E56" i="4"/>
  <c r="F56" i="4"/>
  <c r="D57" i="4"/>
  <c r="G57" i="4"/>
  <c r="D58" i="4"/>
  <c r="G58" i="4"/>
  <c r="D59" i="4"/>
  <c r="G59" i="4"/>
  <c r="B60" i="4"/>
  <c r="D60" i="4" s="1"/>
  <c r="G60" i="4" s="1"/>
  <c r="C60" i="4"/>
  <c r="E60" i="4"/>
  <c r="F60" i="4"/>
  <c r="D61" i="4"/>
  <c r="G61" i="4"/>
  <c r="D62" i="4"/>
  <c r="G62" i="4" s="1"/>
  <c r="D63" i="4"/>
  <c r="G63" i="4"/>
  <c r="D64" i="4"/>
  <c r="G64" i="4"/>
  <c r="D65" i="4"/>
  <c r="G65" i="4"/>
  <c r="D66" i="4"/>
  <c r="G66" i="4" s="1"/>
  <c r="D67" i="4"/>
  <c r="G67" i="4"/>
  <c r="B68" i="4"/>
  <c r="C68" i="4"/>
  <c r="D68" i="4" s="1"/>
  <c r="G68" i="4" s="1"/>
  <c r="E68" i="4"/>
  <c r="F68" i="4"/>
  <c r="D69" i="4"/>
  <c r="G69" i="4"/>
  <c r="D70" i="4"/>
  <c r="G70" i="4"/>
  <c r="D71" i="4"/>
  <c r="G71" i="4"/>
  <c r="B72" i="4"/>
  <c r="B80" i="4" s="1"/>
  <c r="C72" i="4"/>
  <c r="E72" i="4"/>
  <c r="E80" i="4" s="1"/>
  <c r="F72" i="4"/>
  <c r="D73" i="4"/>
  <c r="G73" i="4"/>
  <c r="D74" i="4"/>
  <c r="G74" i="4" s="1"/>
  <c r="D75" i="4"/>
  <c r="G75" i="4"/>
  <c r="D76" i="4"/>
  <c r="G76" i="4"/>
  <c r="D77" i="4"/>
  <c r="G77" i="4"/>
  <c r="D78" i="4"/>
  <c r="G78" i="4" s="1"/>
  <c r="D79" i="4"/>
  <c r="G79" i="4"/>
  <c r="C80" i="4"/>
  <c r="H23" i="10" s="1"/>
  <c r="F80" i="4"/>
  <c r="H26" i="10" s="1"/>
  <c r="A1" i="3"/>
  <c r="A3" i="3"/>
  <c r="D8" i="3"/>
  <c r="E9" i="3"/>
  <c r="E11" i="3"/>
  <c r="E12" i="3"/>
  <c r="D17" i="3"/>
  <c r="A1" i="2"/>
  <c r="A3" i="2"/>
  <c r="A4" i="5" s="1"/>
  <c r="F10" i="2"/>
  <c r="I10" i="2"/>
  <c r="F11" i="2"/>
  <c r="I11" i="2"/>
  <c r="F12" i="2"/>
  <c r="I12" i="2"/>
  <c r="F13" i="2"/>
  <c r="I13" i="2"/>
  <c r="F14" i="2"/>
  <c r="I14" i="2"/>
  <c r="F15" i="2"/>
  <c r="I15" i="2"/>
  <c r="F16" i="2"/>
  <c r="I16" i="2"/>
  <c r="D17" i="2"/>
  <c r="D43" i="2" s="1"/>
  <c r="E17" i="2"/>
  <c r="G17" i="2"/>
  <c r="H17" i="2"/>
  <c r="F19" i="2"/>
  <c r="F17" i="2" s="1"/>
  <c r="I19" i="2"/>
  <c r="F20" i="2"/>
  <c r="I20" i="2"/>
  <c r="I17" i="2" s="1"/>
  <c r="F21" i="2"/>
  <c r="I21" i="2"/>
  <c r="F22" i="2"/>
  <c r="I22" i="2"/>
  <c r="F23" i="2"/>
  <c r="I23" i="2"/>
  <c r="F24" i="2"/>
  <c r="I24" i="2"/>
  <c r="F25" i="2"/>
  <c r="I25" i="2"/>
  <c r="F26" i="2"/>
  <c r="I26" i="2"/>
  <c r="F27" i="2"/>
  <c r="I27" i="2"/>
  <c r="F28" i="2"/>
  <c r="I28" i="2"/>
  <c r="F29" i="2"/>
  <c r="I29" i="2"/>
  <c r="D30" i="2"/>
  <c r="E30" i="2"/>
  <c r="F30" i="2"/>
  <c r="G30" i="2"/>
  <c r="H30" i="2"/>
  <c r="H43" i="2" s="1"/>
  <c r="I31" i="2"/>
  <c r="I30" i="2" s="1"/>
  <c r="F32" i="2"/>
  <c r="I32" i="2"/>
  <c r="F33" i="2"/>
  <c r="I33" i="2"/>
  <c r="F34" i="2"/>
  <c r="I34" i="2"/>
  <c r="F35" i="2"/>
  <c r="I35" i="2"/>
  <c r="F36" i="2"/>
  <c r="I36" i="2"/>
  <c r="D37" i="2"/>
  <c r="E37" i="2"/>
  <c r="E43" i="2" s="1"/>
  <c r="E74" i="2" s="1"/>
  <c r="G37" i="2"/>
  <c r="H37" i="2"/>
  <c r="I37" i="2"/>
  <c r="F38" i="2"/>
  <c r="F37" i="2" s="1"/>
  <c r="I38" i="2"/>
  <c r="D39" i="2"/>
  <c r="E39" i="2"/>
  <c r="G39" i="2"/>
  <c r="H39" i="2"/>
  <c r="F40" i="2"/>
  <c r="F39" i="2" s="1"/>
  <c r="I40" i="2"/>
  <c r="F41" i="2"/>
  <c r="I41" i="2"/>
  <c r="I39" i="2" s="1"/>
  <c r="G43" i="2"/>
  <c r="G74" i="2" s="1"/>
  <c r="D49" i="2"/>
  <c r="D69" i="2" s="1"/>
  <c r="E49" i="2"/>
  <c r="G49" i="2"/>
  <c r="H49" i="2"/>
  <c r="H69" i="2" s="1"/>
  <c r="F50" i="2"/>
  <c r="I50" i="2"/>
  <c r="F51" i="2"/>
  <c r="F49" i="2" s="1"/>
  <c r="F69" i="2" s="1"/>
  <c r="I51" i="2"/>
  <c r="F52" i="2"/>
  <c r="I52" i="2"/>
  <c r="F53" i="2"/>
  <c r="I53" i="2"/>
  <c r="I49" i="2" s="1"/>
  <c r="I69" i="2" s="1"/>
  <c r="F54" i="2"/>
  <c r="I54" i="2"/>
  <c r="F55" i="2"/>
  <c r="I55" i="2"/>
  <c r="F56" i="2"/>
  <c r="I56" i="2"/>
  <c r="F57" i="2"/>
  <c r="I57" i="2"/>
  <c r="D58" i="2"/>
  <c r="E58" i="2"/>
  <c r="F58" i="2"/>
  <c r="G58" i="2"/>
  <c r="H58" i="2"/>
  <c r="F59" i="2"/>
  <c r="I59" i="2"/>
  <c r="I58" i="2" s="1"/>
  <c r="I60" i="2"/>
  <c r="I61" i="2"/>
  <c r="I62" i="2"/>
  <c r="D63" i="2"/>
  <c r="E63" i="2"/>
  <c r="G63" i="2"/>
  <c r="H63" i="2"/>
  <c r="F64" i="2"/>
  <c r="F63" i="2" s="1"/>
  <c r="I64" i="2"/>
  <c r="I63" i="2" s="1"/>
  <c r="F65" i="2"/>
  <c r="I65" i="2"/>
  <c r="E66" i="2"/>
  <c r="F66" i="2"/>
  <c r="G66" i="2"/>
  <c r="I66" i="2"/>
  <c r="F67" i="2"/>
  <c r="I67" i="2"/>
  <c r="E69" i="2"/>
  <c r="G69" i="2"/>
  <c r="D71" i="2"/>
  <c r="E71" i="2"/>
  <c r="F71" i="2"/>
  <c r="G71" i="2"/>
  <c r="H71" i="2"/>
  <c r="I71" i="2"/>
  <c r="I72" i="2"/>
  <c r="F77" i="2"/>
  <c r="F79" i="2" s="1"/>
  <c r="I77" i="2"/>
  <c r="F78" i="2"/>
  <c r="I78" i="2"/>
  <c r="D79" i="2"/>
  <c r="E79" i="2"/>
  <c r="G79" i="2"/>
  <c r="H79" i="2"/>
  <c r="I79" i="2"/>
  <c r="A1" i="1"/>
  <c r="A3" i="1"/>
  <c r="E9" i="1"/>
  <c r="E19" i="1" s="1"/>
  <c r="H9" i="1"/>
  <c r="E10" i="1"/>
  <c r="H10" i="1"/>
  <c r="E11" i="1"/>
  <c r="H11" i="1"/>
  <c r="E12" i="1"/>
  <c r="H12" i="1"/>
  <c r="E13" i="1"/>
  <c r="H13" i="1"/>
  <c r="E14" i="1"/>
  <c r="H14" i="1"/>
  <c r="E15" i="1"/>
  <c r="H15" i="1"/>
  <c r="E16" i="1"/>
  <c r="H16" i="1"/>
  <c r="E17" i="1"/>
  <c r="H17" i="1"/>
  <c r="E18" i="1"/>
  <c r="H18" i="1"/>
  <c r="C19" i="1"/>
  <c r="D19" i="1"/>
  <c r="F19" i="1"/>
  <c r="D5" i="3" s="1"/>
  <c r="G19" i="1"/>
  <c r="H19" i="1" s="1"/>
  <c r="C25" i="1"/>
  <c r="D25" i="1"/>
  <c r="D44" i="1" s="1"/>
  <c r="F25" i="1"/>
  <c r="G25" i="1"/>
  <c r="E26" i="1"/>
  <c r="E25" i="1" s="1"/>
  <c r="E44" i="1" s="1"/>
  <c r="H26" i="1"/>
  <c r="E28" i="1"/>
  <c r="H28" i="1"/>
  <c r="H25" i="1" s="1"/>
  <c r="E29" i="1"/>
  <c r="H29" i="1"/>
  <c r="E30" i="1"/>
  <c r="H30" i="1"/>
  <c r="E31" i="1"/>
  <c r="H31" i="1"/>
  <c r="E32" i="1"/>
  <c r="H32" i="1"/>
  <c r="E33" i="1"/>
  <c r="H33" i="1"/>
  <c r="C35" i="1"/>
  <c r="C44" i="1" s="1"/>
  <c r="D35" i="1"/>
  <c r="F35" i="1"/>
  <c r="G35" i="1"/>
  <c r="E36" i="1"/>
  <c r="H36" i="1"/>
  <c r="E37" i="1"/>
  <c r="H37" i="1"/>
  <c r="E38" i="1"/>
  <c r="E35" i="1" s="1"/>
  <c r="H38" i="1"/>
  <c r="E39" i="1"/>
  <c r="H39" i="1"/>
  <c r="H35" i="1" s="1"/>
  <c r="C41" i="1"/>
  <c r="D41" i="1"/>
  <c r="F41" i="1"/>
  <c r="G41" i="1"/>
  <c r="E42" i="1"/>
  <c r="E41" i="1" s="1"/>
  <c r="H42" i="1"/>
  <c r="H41" i="1" s="1"/>
  <c r="F44" i="1"/>
  <c r="G44" i="1"/>
  <c r="H62" i="5" l="1"/>
  <c r="D158" i="5"/>
  <c r="I155" i="5" s="1"/>
  <c r="J86" i="2"/>
  <c r="J80" i="2"/>
  <c r="I43" i="2"/>
  <c r="I74" i="2" s="1"/>
  <c r="H92" i="5"/>
  <c r="C158" i="5"/>
  <c r="I154" i="5" s="1"/>
  <c r="H31" i="7"/>
  <c r="H65" i="12"/>
  <c r="F43" i="2"/>
  <c r="F74" i="2" s="1"/>
  <c r="H102" i="5"/>
  <c r="H71" i="5"/>
  <c r="H44" i="1"/>
  <c r="H136" i="5"/>
  <c r="G21" i="8"/>
  <c r="C5" i="15"/>
  <c r="H17" i="9"/>
  <c r="H17" i="6"/>
  <c r="E5" i="3"/>
  <c r="D22" i="3"/>
  <c r="E22" i="3" s="1"/>
  <c r="D74" i="2"/>
  <c r="H122" i="5"/>
  <c r="H84" i="5"/>
  <c r="H83" i="5" s="1"/>
  <c r="J82" i="2"/>
  <c r="J88" i="2"/>
  <c r="H112" i="5"/>
  <c r="H75" i="5"/>
  <c r="H45" i="1"/>
  <c r="H22" i="10"/>
  <c r="D80" i="4"/>
  <c r="G80" i="4" s="1"/>
  <c r="H132" i="5"/>
  <c r="H10" i="5"/>
  <c r="H74" i="2"/>
  <c r="I46" i="2"/>
  <c r="H48" i="5"/>
  <c r="H38" i="5"/>
  <c r="H28" i="5"/>
  <c r="H18" i="5"/>
  <c r="G158" i="5"/>
  <c r="I159" i="5" s="1"/>
  <c r="I85" i="12"/>
  <c r="D21" i="8"/>
  <c r="E310" i="13"/>
  <c r="E270" i="13"/>
  <c r="H270" i="13" s="1"/>
  <c r="C269" i="13"/>
  <c r="E269" i="13" s="1"/>
  <c r="H11" i="13"/>
  <c r="I11" i="13"/>
  <c r="D72" i="4"/>
  <c r="G72" i="4" s="1"/>
  <c r="H25" i="6"/>
  <c r="E31" i="7"/>
  <c r="H34" i="7" s="1"/>
  <c r="H25" i="10"/>
  <c r="H47" i="11"/>
  <c r="D82" i="12"/>
  <c r="I83" i="12" s="1"/>
  <c r="E369" i="13"/>
  <c r="H354" i="13"/>
  <c r="I354" i="13"/>
  <c r="I243" i="13"/>
  <c r="H243" i="13"/>
  <c r="I222" i="13"/>
  <c r="E131" i="13"/>
  <c r="C128" i="13"/>
  <c r="E128" i="13" s="1"/>
  <c r="H90" i="13"/>
  <c r="I90" i="13"/>
  <c r="H19" i="13"/>
  <c r="I19" i="13"/>
  <c r="E75" i="5"/>
  <c r="H259" i="13"/>
  <c r="I259" i="13"/>
  <c r="I196" i="13"/>
  <c r="H196" i="13"/>
  <c r="H38" i="13"/>
  <c r="I38" i="13"/>
  <c r="H20" i="1"/>
  <c r="E132" i="5"/>
  <c r="E122" i="5"/>
  <c r="E112" i="5"/>
  <c r="E102" i="5"/>
  <c r="E92" i="5"/>
  <c r="E62" i="5"/>
  <c r="E10" i="5"/>
  <c r="H18" i="6"/>
  <c r="D14" i="6"/>
  <c r="D31" i="7"/>
  <c r="G12" i="8"/>
  <c r="G9" i="8" s="1"/>
  <c r="G32" i="8" s="1"/>
  <c r="H14" i="9"/>
  <c r="D14" i="9"/>
  <c r="G22" i="10"/>
  <c r="E65" i="12"/>
  <c r="C9" i="12"/>
  <c r="C82" i="12" s="1"/>
  <c r="I82" i="12" s="1"/>
  <c r="E368" i="13"/>
  <c r="I353" i="13"/>
  <c r="D287" i="13"/>
  <c r="H266" i="13"/>
  <c r="E250" i="13"/>
  <c r="H198" i="13"/>
  <c r="H42" i="13"/>
  <c r="I42" i="13"/>
  <c r="H76" i="12"/>
  <c r="H40" i="12"/>
  <c r="I384" i="13"/>
  <c r="H375" i="13"/>
  <c r="I375" i="13"/>
  <c r="H339" i="13"/>
  <c r="I339" i="13"/>
  <c r="E288" i="13"/>
  <c r="H288" i="13" s="1"/>
  <c r="I205" i="13"/>
  <c r="H205" i="13"/>
  <c r="E71" i="5"/>
  <c r="D9" i="8"/>
  <c r="D32" i="8" s="1"/>
  <c r="H34" i="8" s="1"/>
  <c r="H45" i="11"/>
  <c r="E44" i="11"/>
  <c r="H46" i="11" s="1"/>
  <c r="H20" i="12"/>
  <c r="D373" i="13"/>
  <c r="H275" i="13"/>
  <c r="I275" i="13"/>
  <c r="D200" i="13"/>
  <c r="E201" i="13"/>
  <c r="I155" i="13"/>
  <c r="H155" i="13"/>
  <c r="H100" i="13"/>
  <c r="I100" i="13"/>
  <c r="H67" i="13"/>
  <c r="I67" i="13"/>
  <c r="H41" i="13"/>
  <c r="I41" i="13"/>
  <c r="C31" i="14"/>
  <c r="E31" i="16"/>
  <c r="E149" i="5"/>
  <c r="H29" i="12"/>
  <c r="H256" i="13"/>
  <c r="I256" i="13"/>
  <c r="I140" i="13"/>
  <c r="H140" i="13"/>
  <c r="H33" i="13"/>
  <c r="I33" i="13"/>
  <c r="H29" i="13"/>
  <c r="I29" i="13"/>
  <c r="E136" i="5"/>
  <c r="E84" i="5"/>
  <c r="E58" i="5"/>
  <c r="E48" i="5"/>
  <c r="E38" i="5"/>
  <c r="E28" i="5"/>
  <c r="E18" i="5"/>
  <c r="G39" i="11"/>
  <c r="D9" i="11"/>
  <c r="G9" i="11" s="1"/>
  <c r="B44" i="11"/>
  <c r="E76" i="12"/>
  <c r="H58" i="12"/>
  <c r="H57" i="12" s="1"/>
  <c r="E57" i="12"/>
  <c r="H47" i="12"/>
  <c r="E29" i="12"/>
  <c r="E9" i="12" s="1"/>
  <c r="E82" i="12" s="1"/>
  <c r="E374" i="13"/>
  <c r="H262" i="13"/>
  <c r="H255" i="13"/>
  <c r="I255" i="13"/>
  <c r="I236" i="13"/>
  <c r="H236" i="13"/>
  <c r="E200" i="13"/>
  <c r="I159" i="13"/>
  <c r="H159" i="13"/>
  <c r="H146" i="13"/>
  <c r="I146" i="13"/>
  <c r="H127" i="13"/>
  <c r="I127" i="13"/>
  <c r="H18" i="9"/>
  <c r="E378" i="13"/>
  <c r="E311" i="13"/>
  <c r="D310" i="13"/>
  <c r="H251" i="13"/>
  <c r="I251" i="13"/>
  <c r="H191" i="13"/>
  <c r="I191" i="13"/>
  <c r="H83" i="13"/>
  <c r="I83" i="13"/>
  <c r="I65" i="13"/>
  <c r="H65" i="13"/>
  <c r="H54" i="13"/>
  <c r="I54" i="13"/>
  <c r="H39" i="13"/>
  <c r="I39" i="13"/>
  <c r="E47" i="12"/>
  <c r="E46" i="12" s="1"/>
  <c r="E20" i="12"/>
  <c r="C382" i="13"/>
  <c r="E382" i="13" s="1"/>
  <c r="I377" i="13"/>
  <c r="C333" i="13"/>
  <c r="C305" i="13"/>
  <c r="E305" i="13" s="1"/>
  <c r="D235" i="13"/>
  <c r="C226" i="13"/>
  <c r="E226" i="13" s="1"/>
  <c r="E212" i="13"/>
  <c r="H158" i="13"/>
  <c r="I158" i="13"/>
  <c r="H154" i="13"/>
  <c r="I154" i="13"/>
  <c r="E151" i="13"/>
  <c r="H130" i="13"/>
  <c r="I130" i="13"/>
  <c r="H126" i="13"/>
  <c r="I126" i="13"/>
  <c r="E113" i="13"/>
  <c r="H48" i="13"/>
  <c r="I48" i="13"/>
  <c r="H37" i="13"/>
  <c r="I37" i="13"/>
  <c r="G21" i="14"/>
  <c r="G20" i="14" s="1"/>
  <c r="I381" i="13"/>
  <c r="I370" i="13"/>
  <c r="I363" i="13"/>
  <c r="I360" i="13"/>
  <c r="I312" i="13"/>
  <c r="E284" i="13"/>
  <c r="H284" i="13" s="1"/>
  <c r="E281" i="13"/>
  <c r="H281" i="13" s="1"/>
  <c r="E239" i="13"/>
  <c r="I230" i="13"/>
  <c r="H225" i="13"/>
  <c r="I225" i="13"/>
  <c r="I214" i="13"/>
  <c r="H211" i="13"/>
  <c r="H208" i="13"/>
  <c r="H187" i="13"/>
  <c r="I187" i="13"/>
  <c r="H183" i="13"/>
  <c r="I183" i="13"/>
  <c r="H177" i="13"/>
  <c r="H165" i="13"/>
  <c r="H157" i="13"/>
  <c r="H153" i="13"/>
  <c r="H136" i="13"/>
  <c r="H129" i="13"/>
  <c r="H122" i="13"/>
  <c r="E108" i="13"/>
  <c r="D99" i="13"/>
  <c r="D73" i="13" s="1"/>
  <c r="I92" i="13"/>
  <c r="H36" i="13"/>
  <c r="E31" i="14"/>
  <c r="D383" i="13"/>
  <c r="D382" i="13" s="1"/>
  <c r="C302" i="13"/>
  <c r="E302" i="13" s="1"/>
  <c r="H302" i="13" s="1"/>
  <c r="C297" i="13"/>
  <c r="E297" i="13" s="1"/>
  <c r="H297" i="13" s="1"/>
  <c r="H244" i="13"/>
  <c r="I224" i="13"/>
  <c r="I190" i="13"/>
  <c r="H186" i="13"/>
  <c r="I186" i="13"/>
  <c r="E168" i="13"/>
  <c r="D167" i="13"/>
  <c r="D149" i="13" s="1"/>
  <c r="H145" i="13"/>
  <c r="I145" i="13"/>
  <c r="H97" i="13"/>
  <c r="I97" i="13"/>
  <c r="I94" i="13"/>
  <c r="I75" i="13"/>
  <c r="H32" i="13"/>
  <c r="I32" i="13"/>
  <c r="H10" i="13"/>
  <c r="I10" i="13"/>
  <c r="H144" i="13"/>
  <c r="I144" i="13"/>
  <c r="C133" i="13"/>
  <c r="E133" i="13" s="1"/>
  <c r="H101" i="13"/>
  <c r="I101" i="13"/>
  <c r="H91" i="13"/>
  <c r="I91" i="13"/>
  <c r="H40" i="13"/>
  <c r="I40" i="13"/>
  <c r="H31" i="13"/>
  <c r="I31" i="13"/>
  <c r="E24" i="13"/>
  <c r="D23" i="13"/>
  <c r="I365" i="13"/>
  <c r="I362" i="13"/>
  <c r="I307" i="13"/>
  <c r="E293" i="13"/>
  <c r="H293" i="13" s="1"/>
  <c r="E241" i="13"/>
  <c r="C235" i="13"/>
  <c r="E235" i="13" s="1"/>
  <c r="H194" i="13"/>
  <c r="I194" i="13"/>
  <c r="H189" i="13"/>
  <c r="I189" i="13"/>
  <c r="E182" i="13"/>
  <c r="D181" i="13"/>
  <c r="E181" i="13" s="1"/>
  <c r="H160" i="13"/>
  <c r="I160" i="13"/>
  <c r="H156" i="13"/>
  <c r="I156" i="13"/>
  <c r="H152" i="13"/>
  <c r="I152" i="13"/>
  <c r="H132" i="13"/>
  <c r="I132" i="13"/>
  <c r="E125" i="13"/>
  <c r="E118" i="13"/>
  <c r="I79" i="13"/>
  <c r="H70" i="13"/>
  <c r="I70" i="13"/>
  <c r="H66" i="13"/>
  <c r="I66" i="13"/>
  <c r="I13" i="13"/>
  <c r="G28" i="14"/>
  <c r="G27" i="14" s="1"/>
  <c r="D27" i="14"/>
  <c r="D20" i="14" s="1"/>
  <c r="H13" i="12"/>
  <c r="H10" i="12" s="1"/>
  <c r="H9" i="12" s="1"/>
  <c r="H240" i="13"/>
  <c r="I234" i="13"/>
  <c r="E210" i="13"/>
  <c r="C209" i="13"/>
  <c r="E209" i="13" s="1"/>
  <c r="H204" i="13"/>
  <c r="H193" i="13"/>
  <c r="I193" i="13"/>
  <c r="H185" i="13"/>
  <c r="I185" i="13"/>
  <c r="C167" i="13"/>
  <c r="E167" i="13" s="1"/>
  <c r="I96" i="13"/>
  <c r="I81" i="13"/>
  <c r="H69" i="13"/>
  <c r="I69" i="13"/>
  <c r="E56" i="13"/>
  <c r="H56" i="13" s="1"/>
  <c r="D52" i="13"/>
  <c r="E52" i="13" s="1"/>
  <c r="H46" i="13"/>
  <c r="I46" i="13"/>
  <c r="I43" i="13"/>
  <c r="C35" i="13"/>
  <c r="E35" i="13" s="1"/>
  <c r="H26" i="13"/>
  <c r="H20" i="13"/>
  <c r="G9" i="14"/>
  <c r="G8" i="14" s="1"/>
  <c r="D8" i="14"/>
  <c r="H223" i="13"/>
  <c r="I223" i="13"/>
  <c r="H184" i="13"/>
  <c r="I184" i="13"/>
  <c r="H147" i="13"/>
  <c r="I147" i="13"/>
  <c r="C99" i="13"/>
  <c r="E74" i="13"/>
  <c r="H50" i="13"/>
  <c r="I50" i="13"/>
  <c r="H34" i="13"/>
  <c r="I34" i="13"/>
  <c r="H30" i="13"/>
  <c r="I30" i="13"/>
  <c r="E23" i="13"/>
  <c r="H12" i="13"/>
  <c r="I12" i="13"/>
  <c r="C150" i="13"/>
  <c r="C124" i="13"/>
  <c r="E124" i="13" s="1"/>
  <c r="E87" i="13"/>
  <c r="I181" i="13" l="1"/>
  <c r="H181" i="13"/>
  <c r="H378" i="13"/>
  <c r="I378" i="13"/>
  <c r="E99" i="13"/>
  <c r="G31" i="14"/>
  <c r="H118" i="13"/>
  <c r="I118" i="13"/>
  <c r="H235" i="13"/>
  <c r="I235" i="13"/>
  <c r="I133" i="13"/>
  <c r="H133" i="13"/>
  <c r="C9" i="13"/>
  <c r="H226" i="13"/>
  <c r="I226" i="13"/>
  <c r="H46" i="12"/>
  <c r="C287" i="13"/>
  <c r="E287" i="13" s="1"/>
  <c r="H128" i="13"/>
  <c r="I128" i="13"/>
  <c r="H52" i="13"/>
  <c r="I52" i="13"/>
  <c r="H212" i="13"/>
  <c r="I212" i="13"/>
  <c r="I200" i="13"/>
  <c r="H200" i="13"/>
  <c r="G14" i="9"/>
  <c r="H16" i="9"/>
  <c r="I369" i="13"/>
  <c r="H369" i="13"/>
  <c r="H87" i="13"/>
  <c r="I87" i="13"/>
  <c r="H125" i="13"/>
  <c r="I125" i="13"/>
  <c r="H241" i="13"/>
  <c r="I241" i="13"/>
  <c r="H368" i="13"/>
  <c r="I368" i="13"/>
  <c r="I131" i="13"/>
  <c r="H131" i="13"/>
  <c r="H269" i="13"/>
  <c r="I269" i="13"/>
  <c r="J85" i="2"/>
  <c r="J79" i="2"/>
  <c r="J90" i="2"/>
  <c r="J84" i="2"/>
  <c r="I124" i="13"/>
  <c r="H124" i="13"/>
  <c r="H151" i="13"/>
  <c r="I151" i="13"/>
  <c r="H305" i="13"/>
  <c r="I305" i="13"/>
  <c r="G31" i="7"/>
  <c r="H36" i="7" s="1"/>
  <c r="H33" i="7"/>
  <c r="H74" i="13"/>
  <c r="I74" i="13"/>
  <c r="D45" i="13"/>
  <c r="I201" i="13"/>
  <c r="H201" i="13"/>
  <c r="H310" i="13"/>
  <c r="I310" i="13"/>
  <c r="D31" i="14"/>
  <c r="I209" i="13"/>
  <c r="H209" i="13"/>
  <c r="I182" i="13"/>
  <c r="H182" i="13"/>
  <c r="E333" i="13"/>
  <c r="C332" i="13"/>
  <c r="G14" i="6"/>
  <c r="H29" i="6" s="1"/>
  <c r="H26" i="6"/>
  <c r="H16" i="6"/>
  <c r="H210" i="13"/>
  <c r="I210" i="13"/>
  <c r="I108" i="13"/>
  <c r="H108" i="13"/>
  <c r="H44" i="11"/>
  <c r="D44" i="11"/>
  <c r="G44" i="11" s="1"/>
  <c r="H48" i="11" s="1"/>
  <c r="E83" i="5"/>
  <c r="J83" i="2"/>
  <c r="J89" i="2"/>
  <c r="J87" i="2"/>
  <c r="J81" i="2"/>
  <c r="H82" i="12"/>
  <c r="I87" i="12" s="1"/>
  <c r="E150" i="13"/>
  <c r="C149" i="13"/>
  <c r="E149" i="13" s="1"/>
  <c r="I167" i="13"/>
  <c r="H167" i="13"/>
  <c r="E9" i="5"/>
  <c r="E158" i="5" s="1"/>
  <c r="I156" i="5" s="1"/>
  <c r="H9" i="5"/>
  <c r="H158" i="5" s="1"/>
  <c r="I157" i="5" s="1"/>
  <c r="I24" i="13"/>
  <c r="H24" i="13"/>
  <c r="H35" i="13"/>
  <c r="I35" i="13"/>
  <c r="H113" i="13"/>
  <c r="I113" i="13"/>
  <c r="H382" i="13"/>
  <c r="I382" i="13"/>
  <c r="H311" i="13"/>
  <c r="I311" i="13"/>
  <c r="H374" i="13"/>
  <c r="I374" i="13"/>
  <c r="H250" i="13"/>
  <c r="I250" i="13"/>
  <c r="H24" i="10"/>
  <c r="I23" i="13"/>
  <c r="H23" i="13"/>
  <c r="C73" i="13"/>
  <c r="E73" i="13" s="1"/>
  <c r="I168" i="13"/>
  <c r="H168" i="13"/>
  <c r="H239" i="13"/>
  <c r="I239" i="13"/>
  <c r="C373" i="13"/>
  <c r="E383" i="13"/>
  <c r="H27" i="10"/>
  <c r="H27" i="6"/>
  <c r="D5" i="15"/>
  <c r="C41" i="15"/>
  <c r="D42" i="15" s="1"/>
  <c r="H99" i="13" l="1"/>
  <c r="I99" i="13"/>
  <c r="I149" i="13"/>
  <c r="H149" i="13"/>
  <c r="I150" i="13"/>
  <c r="H150" i="13"/>
  <c r="E332" i="13"/>
  <c r="C331" i="13"/>
  <c r="E331" i="13" s="1"/>
  <c r="C387" i="13"/>
  <c r="E373" i="13"/>
  <c r="H333" i="13"/>
  <c r="I333" i="13"/>
  <c r="H287" i="13"/>
  <c r="I287" i="13"/>
  <c r="H36" i="8"/>
  <c r="H73" i="13"/>
  <c r="I73" i="13"/>
  <c r="H19" i="9"/>
  <c r="H21" i="9"/>
  <c r="H383" i="13"/>
  <c r="I383" i="13"/>
  <c r="E45" i="13"/>
  <c r="D9" i="13"/>
  <c r="D387" i="13" s="1"/>
  <c r="H45" i="13" l="1"/>
  <c r="I45" i="13"/>
  <c r="E387" i="13"/>
  <c r="H373" i="13"/>
  <c r="I373" i="13"/>
  <c r="H332" i="13"/>
  <c r="I332" i="13"/>
  <c r="I331" i="13"/>
  <c r="H331" i="13"/>
  <c r="E9" i="13"/>
  <c r="H387" i="13" l="1"/>
  <c r="H9" i="13"/>
  <c r="I9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G20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Evaluación:
</t>
        </r>
        <r>
          <rPr>
            <sz val="9"/>
            <color indexed="81"/>
            <rFont val="Tahoma"/>
            <family val="2"/>
          </rPr>
          <t xml:space="preserve">Total Ingreso Recaudado Anual - Total Ingreso Estimado Anual
</t>
        </r>
      </text>
    </comment>
    <comment ref="G45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Evaluación:
Total Ingreso Recaudado Anual - Total Ingreso Estimado Anual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D5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EVALUACIÓN:
VERIFICA QUE COINCIDAN LAS CANTIDADES  DE TOTAL DE INGRESOS CON LO REPORTADO EN EL FORMATO ETCA-II-01 EN EL TOTAL DE LA COLUMNA DE TOTAL DE INGRESOS DEVENGADO ANUAL (4)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EVALUACIÓN:
VERIFICA QUE COINCIDAN LAS CANTIDADES  DE TOTAL DE INGRESOS CON LO REPORTADO EN EL FORMATO ETCA-I-03 EN EL MISMO RUBRO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C5" authorId="0" shapeId="0" xr:uid="{00000000-0006-0000-1B00-000001000000}">
      <text>
        <r>
          <rPr>
            <b/>
            <sz val="9"/>
            <color indexed="81"/>
            <rFont val="Tahoma"/>
            <family val="2"/>
          </rPr>
          <t>EVALUACIÓN:
VERIFICA QUE COINCIDAN LAS CANTIDADES  DE TOTAL DE EGRESOS CON LO REPORTADO EN EL FORMATO ETCA-II-04 EN EL TOTAL DE LA COLUMNA DE EGRESOS DEVENGADO ANUAL.</t>
        </r>
      </text>
    </comment>
    <comment ref="C41" authorId="0" shapeId="0" xr:uid="{00000000-0006-0000-1B00-000002000000}">
      <text>
        <r>
          <rPr>
            <b/>
            <sz val="9"/>
            <color indexed="81"/>
            <rFont val="Tahoma"/>
            <family val="2"/>
          </rPr>
          <t>EVALUACIÓN:
VERIFICA QUE COINCIDAN LAS CANTIDADES  DEL TOTAL GASTO CONTABLE CON LO REPORTADO EN EL FORMATO ETCA-I-03 EN EL TOTAL DE GASTOS Y OTRAS PÉRDIDAS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<sst xmlns="http://schemas.openxmlformats.org/spreadsheetml/2006/main" count="1169" uniqueCount="769">
  <si>
    <t>El importe reflejado siempre debe ser mayor a cero. Nunca en rojo.</t>
  </si>
  <si>
    <t>Los Ingresos Excedentes  se presentan para efectos de cumplimiento de la Ley de Ingresos del Estado y Ley de Contabilidad Gubernamental.</t>
  </si>
  <si>
    <r>
      <rPr>
        <b/>
        <vertAlign val="superscript"/>
        <sz val="9"/>
        <color theme="0" tint="-0.34998626667073579"/>
        <rFont val="Arial Narrow"/>
        <family val="2"/>
      </rPr>
      <t>3</t>
    </r>
    <r>
      <rPr>
        <sz val="9"/>
        <color theme="0" tint="-0.34998626667073579"/>
        <rFont val="Arial Narrow"/>
        <family val="2"/>
      </rPr>
      <t xml:space="preserve"> Se refiere a los ingresos propios obtenidos por los Poderes Legislativo y Judicial, los Organos Autónomos y las entidades de la administracion pública paraestataly paramunicipal, por sus actividades diversas no inherentes a su operación que general recursos y que no sean ingresos por venta de bienes o prestación de servicios, tales como donativos en efectivo, entre otros.</t>
    </r>
  </si>
  <si>
    <r>
      <rPr>
        <b/>
        <vertAlign val="superscript"/>
        <sz val="9"/>
        <color theme="0" tint="-0.34998626667073579"/>
        <rFont val="Arial Narrow"/>
        <family val="2"/>
      </rPr>
      <t>2</t>
    </r>
    <r>
      <rPr>
        <vertAlign val="superscript"/>
        <sz val="9"/>
        <color theme="0" tint="-0.34998626667073579"/>
        <rFont val="Arial Narrow"/>
        <family val="2"/>
      </rPr>
      <t xml:space="preserve"> </t>
    </r>
    <r>
      <rPr>
        <sz val="9"/>
        <color theme="0" tint="-0.34998626667073579"/>
        <rFont val="Arial Narrow"/>
        <family val="2"/>
      </rPr>
      <t>Incluye donativos en efectivo del Poder Ejecutivo, entre otros aprovechamientos.</t>
    </r>
  </si>
  <si>
    <r>
      <rPr>
        <b/>
        <vertAlign val="superscript"/>
        <sz val="9"/>
        <color theme="0" tint="-0.34998626667073579"/>
        <rFont val="Arial Narrow"/>
        <family val="2"/>
      </rPr>
      <t>1</t>
    </r>
    <r>
      <rPr>
        <b/>
        <sz val="9"/>
        <color theme="0" tint="-0.34998626667073579"/>
        <rFont val="Arial Narrow"/>
        <family val="2"/>
      </rPr>
      <t xml:space="preserve"> </t>
    </r>
    <r>
      <rPr>
        <sz val="9"/>
        <color theme="0" tint="-0.34998626667073579"/>
        <rFont val="Arial Narrow"/>
        <family val="2"/>
      </rPr>
      <t>Incluye interesesque generan las cuentas bancarias de los entes públicos en productos.</t>
    </r>
  </si>
  <si>
    <t xml:space="preserve">Ingresos Excedentes </t>
  </si>
  <si>
    <t>Total</t>
  </si>
  <si>
    <t>Ingresos Derivados de Financiamientos</t>
  </si>
  <si>
    <t>Ingresos  derivados de Financiamiento</t>
  </si>
  <si>
    <t xml:space="preserve">Transferencias, Asignaciones, Subsidios y Subvenciones, y Pensiones y Jubilaciones </t>
  </si>
  <si>
    <r>
      <t>Ingresos por ventas de Bienes, Prestación de Servicios y Otros Ingresos</t>
    </r>
    <r>
      <rPr>
        <vertAlign val="superscript"/>
        <sz val="10"/>
        <color theme="1"/>
        <rFont val="Arial Narrow"/>
        <family val="2"/>
      </rPr>
      <t>3</t>
    </r>
  </si>
  <si>
    <r>
      <t>Productos</t>
    </r>
    <r>
      <rPr>
        <vertAlign val="superscript"/>
        <sz val="10"/>
        <color theme="1"/>
        <rFont val="Arial Narrow"/>
        <family val="2"/>
      </rPr>
      <t>1</t>
    </r>
  </si>
  <si>
    <t>Cuotas y Aportaciones de Seguridad Social</t>
  </si>
  <si>
    <t>Ingresos De los Entes Públicos de los Poderes Legislativo y Judicial, de los Órganos Autonomos y del Sector Paraestatal o Paramunicipal, asi como de las Empresas Productivas del Estado</t>
  </si>
  <si>
    <t xml:space="preserve">Participaciones, Aportaciones, Convenios, Incentivos Derivados de la Colaboracción Fiscal y Fondos Distintos de Aportaciones </t>
  </si>
  <si>
    <t>Capital</t>
  </si>
  <si>
    <r>
      <t>Aprovechamientos</t>
    </r>
    <r>
      <rPr>
        <vertAlign val="superscript"/>
        <sz val="10"/>
        <color theme="1"/>
        <rFont val="Arial Narrow"/>
        <family val="2"/>
      </rPr>
      <t>2</t>
    </r>
  </si>
  <si>
    <t>Derechos</t>
  </si>
  <si>
    <t>Contribuciones de Mejoras</t>
  </si>
  <si>
    <t xml:space="preserve">Impuestos </t>
  </si>
  <si>
    <t xml:space="preserve">Ingresos del Poder Ejecutivo Federal o Estatal y de los Municipios </t>
  </si>
  <si>
    <t>(6= 5 - 1 )</t>
  </si>
  <si>
    <t>(5)</t>
  </si>
  <si>
    <t>(4)</t>
  </si>
  <si>
    <t>(3= 1 +2)</t>
  </si>
  <si>
    <t>(2)</t>
  </si>
  <si>
    <t>(1)</t>
  </si>
  <si>
    <t>Diferencia</t>
  </si>
  <si>
    <t xml:space="preserve">Recaudado </t>
  </si>
  <si>
    <t xml:space="preserve">Devengado </t>
  </si>
  <si>
    <t>Modificado</t>
  </si>
  <si>
    <t>Ampliaciones y Reducciones           (+ ó -)</t>
  </si>
  <si>
    <t>Estimado</t>
  </si>
  <si>
    <t>Ingreso</t>
  </si>
  <si>
    <t>Estado Analitico de Ingresos Por Fuente de Financiamiento</t>
  </si>
  <si>
    <t>Ingresos por Ventas de Bienes, Prestacion de Servicios y Otros Ingresos</t>
  </si>
  <si>
    <t>Aprovechamientos</t>
  </si>
  <si>
    <t>Productos</t>
  </si>
  <si>
    <t>Impuestos</t>
  </si>
  <si>
    <t>Rubros de  Ingresos</t>
  </si>
  <si>
    <t>Estado Analítico de Ingresos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</si>
  <si>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</si>
  <si>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</si>
  <si>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</si>
  <si>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 xml:space="preserve"> 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</si>
  <si>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</si>
  <si>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</si>
  <si>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</si>
  <si>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</si>
  <si>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</si>
  <si>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</si>
  <si>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Asignaciones,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</si>
  <si>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</si>
  <si>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</si>
  <si>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</si>
  <si>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</si>
  <si>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</si>
  <si>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</si>
  <si>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</si>
  <si>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</si>
  <si>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</si>
  <si>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</si>
  <si>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</si>
  <si>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</si>
  <si>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</si>
  <si>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</si>
  <si>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</si>
  <si>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</si>
  <si>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</si>
  <si>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</si>
  <si>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</si>
  <si>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</si>
  <si>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 xml:space="preserve">I. Total de Ingresos de Libre Disposición                                                 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</si>
  <si>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</si>
  <si>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</si>
  <si>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</si>
  <si>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</si>
  <si>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</si>
  <si>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</si>
  <si>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</si>
  <si>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</si>
  <si>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</si>
  <si>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</si>
  <si>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</si>
  <si>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</si>
  <si>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</si>
  <si>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</si>
  <si>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</si>
  <si>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</si>
  <si>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</si>
  <si>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</si>
  <si>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</si>
  <si>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</si>
  <si>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</si>
  <si>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</si>
  <si>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</si>
  <si>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</si>
  <si>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</si>
  <si>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Prestación de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</si>
  <si>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</si>
  <si>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</si>
  <si>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</si>
  <si>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</si>
  <si>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</si>
  <si>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</si>
  <si>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</si>
  <si>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</si>
  <si>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Recaudado</t>
  </si>
  <si>
    <t>Devengado</t>
  </si>
  <si>
    <t>Ampliaciones/ (Reducciones)</t>
  </si>
  <si>
    <t>Estimado (d)</t>
  </si>
  <si>
    <t>Concepto</t>
  </si>
  <si>
    <t>Diferencia (e)</t>
  </si>
  <si>
    <t>Estado Analítico de Ingresos Detallado – LDF</t>
  </si>
  <si>
    <r>
      <rPr>
        <b/>
        <sz val="9"/>
        <color theme="0" tint="-0.34998626667073579"/>
        <rFont val="Arial Narrow"/>
        <family val="2"/>
      </rPr>
      <t>2</t>
    </r>
    <r>
      <rPr>
        <sz val="9"/>
        <color theme="0" tint="-0.34998626667073579"/>
        <rFont val="Arial Narrow"/>
        <family val="2"/>
      </rPr>
      <t>. Los Ingresos Financieros y otros ingresos se regularizarán presupuestariamente de acuerdo a la legislacion aplicable</t>
    </r>
  </si>
  <si>
    <r>
      <rPr>
        <b/>
        <sz val="9"/>
        <color theme="0" tint="-0.34998626667073579"/>
        <rFont val="Arial Narrow"/>
        <family val="2"/>
      </rPr>
      <t>1</t>
    </r>
    <r>
      <rPr>
        <sz val="9"/>
        <color theme="0" tint="-0.34998626667073579"/>
        <rFont val="Arial Narrow"/>
        <family val="2"/>
      </rPr>
      <t>. Se deberán incluir los Ingresos Contables No Presupuestarios que no se regularizaron presupuestariamente durante el ejercicio</t>
    </r>
  </si>
  <si>
    <t>4. Total de Ingresos Contables  (4=  1  +  2  -  3 )</t>
  </si>
  <si>
    <t>Otros Ingresos Presupuestarios No Contables</t>
  </si>
  <si>
    <t xml:space="preserve">Aprovechamientos Patrimoniales </t>
  </si>
  <si>
    <t>3.Menos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</si>
  <si>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</si>
  <si>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</si>
  <si>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</si>
  <si>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</si>
  <si>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</si>
  <si>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Finanacieros</t>
  </si>
  <si>
    <t>2.Mas Ingresos contables No Presupuestarios</t>
  </si>
  <si>
    <t>1. Total de Ingresos Presupuestarios</t>
  </si>
  <si>
    <t xml:space="preserve">                                                            </t>
  </si>
  <si>
    <t>Conciliacion entre los Ingresos Presupuestarios y Contables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</si>
  <si>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</si>
  <si>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</si>
  <si>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</si>
  <si>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</si>
  <si>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</si>
  <si>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</si>
  <si>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</si>
  <si>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</si>
  <si>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</si>
  <si>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</si>
  <si>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</si>
  <si>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</si>
  <si>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</si>
  <si>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</si>
  <si>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</si>
  <si>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</si>
  <si>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</si>
  <si>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</si>
  <si>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</si>
  <si>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</si>
  <si>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</si>
  <si>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</si>
  <si>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</si>
  <si>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</si>
  <si>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</si>
  <si>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</si>
  <si>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</si>
  <si>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</si>
  <si>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</si>
  <si>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</si>
  <si>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</si>
  <si>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</si>
  <si>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</si>
  <si>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</si>
  <si>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</si>
  <si>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</si>
  <si>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</si>
  <si>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</si>
  <si>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</si>
  <si>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</si>
  <si>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</si>
  <si>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</si>
  <si>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</si>
  <si>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</si>
  <si>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</si>
  <si>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</si>
  <si>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</si>
  <si>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</si>
  <si>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</si>
  <si>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</si>
  <si>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</si>
  <si>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</si>
  <si>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</si>
  <si>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</si>
  <si>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</si>
  <si>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</si>
  <si>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</si>
  <si>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</si>
  <si>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</si>
  <si>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</si>
  <si>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</si>
  <si>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</si>
  <si>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</si>
  <si>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</si>
  <si>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</si>
  <si>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</si>
  <si>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</si>
  <si>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</si>
  <si>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</si>
  <si>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</si>
  <si>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</si>
  <si>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</si>
  <si>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</si>
  <si>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( 6 = 3 - 4 )</t>
  </si>
  <si>
    <t>(3=1+2)</t>
  </si>
  <si>
    <t>Subejercicio</t>
  </si>
  <si>
    <t>Egresos Pagado     Acumulado</t>
  </si>
  <si>
    <t>Egresos Devengado Acumulado</t>
  </si>
  <si>
    <t>Egresos Modificado   Anual</t>
  </si>
  <si>
    <t>Egresos Aprobado   Anual</t>
  </si>
  <si>
    <t>Ejercicio del Presupuesto por
Capítulo del Gasto</t>
  </si>
  <si>
    <t xml:space="preserve">                                                                                                                                                     </t>
  </si>
  <si>
    <t>Clasificación por Objeto del Gasto (Capítulo y Concepto)</t>
  </si>
  <si>
    <t>Estado Analítico del Ejercicio Presupuesto de Egresos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</si>
  <si>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</si>
  <si>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</si>
  <si>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</si>
  <si>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</si>
  <si>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</si>
  <si>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</si>
  <si>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</si>
  <si>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</si>
  <si>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</si>
  <si>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</si>
  <si>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</si>
  <si>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</si>
  <si>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</si>
  <si>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</si>
  <si>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</si>
  <si>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</si>
  <si>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</si>
  <si>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</si>
  <si>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</si>
  <si>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</si>
  <si>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</si>
  <si>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</si>
  <si>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</si>
  <si>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</si>
  <si>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</si>
  <si>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</si>
  <si>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</si>
  <si>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</si>
  <si>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</si>
  <si>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</si>
  <si>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</si>
  <si>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</si>
  <si>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</si>
  <si>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</si>
  <si>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</si>
  <si>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</si>
  <si>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</si>
  <si>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</si>
  <si>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</si>
  <si>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</si>
  <si>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</si>
  <si>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</si>
  <si>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</si>
  <si>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</si>
  <si>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</si>
  <si>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</si>
  <si>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</si>
  <si>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</si>
  <si>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</si>
  <si>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</si>
  <si>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</si>
  <si>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</si>
  <si>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</si>
  <si>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</si>
  <si>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</si>
  <si>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</si>
  <si>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</si>
  <si>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</si>
  <si>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</si>
  <si>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</si>
  <si>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</si>
  <si>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</si>
  <si>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</si>
  <si>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</si>
  <si>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</si>
  <si>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</si>
  <si>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</si>
  <si>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</si>
  <si>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</si>
  <si>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</si>
  <si>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</si>
  <si>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</si>
  <si>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</si>
  <si>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</si>
  <si>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</si>
  <si>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</si>
  <si>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Pagado </t>
  </si>
  <si>
    <t xml:space="preserve">Modificado </t>
  </si>
  <si>
    <t xml:space="preserve">Ampliaciones/ (Reducciones) </t>
  </si>
  <si>
    <t>Aprobado (d)</t>
  </si>
  <si>
    <t>Subejercicio (e)</t>
  </si>
  <si>
    <t>Egresos</t>
  </si>
  <si>
    <t>Concepto (c)</t>
  </si>
  <si>
    <t>(PESOS)</t>
  </si>
  <si>
    <t xml:space="preserve">Clasificación por Objeto del Gasto (Capítulo y Concepto) </t>
  </si>
  <si>
    <t>Estado Analítico del Ejercicio del Presupuesto de Egresos Detallado - LDF</t>
  </si>
  <si>
    <t>Punto Adicionado DOF 30-09-2015</t>
  </si>
  <si>
    <t>Son los gastos destinados a cubrir las participaciones para las entidades federativas y/o los municipios.</t>
  </si>
  <si>
    <t xml:space="preserve">5. Participaciones </t>
  </si>
  <si>
    <t>Son los gastos destinados para el pago a pensionistas y jubilados o a sus familiares, que cubren los gobiernos Federal, Estatal y Municipal, o bien el Instituto de Seguridad Social correspondiente.</t>
  </si>
  <si>
    <t>4. Pensiones y Jubilaciones</t>
  </si>
  <si>
    <t>Comprende la amortización de la deuda adquirida y disminución de pasivos con el sector privado, público y externo.</t>
  </si>
  <si>
    <t>3. Amortización de la deuda y disminución de pasivos</t>
  </si>
  <si>
    <t>Son los gastos destinados a la inversión de capital y las transferencias a los otros componentes institucionales del sistema económico que se efectúan para financiar gastos de éstos con tal propósito.</t>
  </si>
  <si>
    <t>2. Gasto de Capital</t>
  </si>
  <si>
    <t>Son los gastos de consumo y/o de operación, el arrendamiento de la propiedad y las transferencias otorgadas a los otros componentes institucionales del sistema económico para financiar gastos de esas características.</t>
  </si>
  <si>
    <t>1. Gasto Corriente</t>
  </si>
  <si>
    <t>A continuación se conceptualizan las siguientes categorías:</t>
  </si>
  <si>
    <t>Amortización del la Deuda y Disminución de Pasivos</t>
  </si>
  <si>
    <t>Gasto de Capital</t>
  </si>
  <si>
    <t>Gasto Corriente</t>
  </si>
  <si>
    <t xml:space="preserve">                                                                                                                                </t>
  </si>
  <si>
    <t>Clasificación Económica (por Tipo de Gasto)</t>
  </si>
  <si>
    <t>org</t>
  </si>
  <si>
    <t>ORGANISMOS OPERADORES</t>
  </si>
  <si>
    <t>ORGANO INTERNO DE CONTROL</t>
  </si>
  <si>
    <t>COSTOS, CONCURSOS Y CONTRATOS</t>
  </si>
  <si>
    <t>UNIDAD JURIDICA</t>
  </si>
  <si>
    <t>DIRECCION GENERAL DE INFRAESTRUCTURA HIDROAGRICOLA</t>
  </si>
  <si>
    <t>DIRECCION GENERAL DE INFRAESTRUCTURA HIDRAULICA URBANA</t>
  </si>
  <si>
    <t>DIRECCION GENERAL DE FORTALECIMIENTO INSTITUCIONAL</t>
  </si>
  <si>
    <t>DIRECCION GENERAL DE ADMINISTRACION Y FINANZAS</t>
  </si>
  <si>
    <t>VOCALIA EJECUTIVA</t>
  </si>
  <si>
    <t>%</t>
  </si>
  <si>
    <t>totdev</t>
  </si>
  <si>
    <t>dev</t>
  </si>
  <si>
    <t>Clasificación Administrativa (Por Unidad Administrativa)</t>
  </si>
  <si>
    <t xml:space="preserve">                                                                                                                                                         </t>
  </si>
  <si>
    <t>ORGANO DE CONTRO Y DESARROLLO ADMINISTRATIVO</t>
  </si>
  <si>
    <t>DIRECCION JURIDICA</t>
  </si>
  <si>
    <t>(II=A+B+C+D+E+F+G+H)</t>
  </si>
  <si>
    <t>II. Gasto Etiquetado</t>
  </si>
  <si>
    <t>(I=A+B+C+D+E+F+G+H)</t>
  </si>
  <si>
    <t>I. Gasto No Etiquetado</t>
  </si>
  <si>
    <t>Pagado</t>
  </si>
  <si>
    <t>Clasificación Administrativa</t>
  </si>
  <si>
    <t>Órganos Autónomos</t>
  </si>
  <si>
    <t>Poder Judicial</t>
  </si>
  <si>
    <t>Poder Legislativo</t>
  </si>
  <si>
    <t>Poder Ejecutivo</t>
  </si>
  <si>
    <t>Clasificación Administrativa (Por Poderes)</t>
  </si>
  <si>
    <t xml:space="preserve">                                                                                                                                     </t>
  </si>
  <si>
    <t>Fideicomisos Financieros Públicos con Participación Estatal Mayoritaria</t>
  </si>
  <si>
    <t>Entidades Paraestatales Empresariales Financieras No Monetarias con Participación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</si>
  <si>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</si>
  <si>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</si>
  <si>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</si>
  <si>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</si>
  <si>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</si>
  <si>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 xml:space="preserve">                                                                                                                                      </t>
  </si>
  <si>
    <t>Clasificación Administrativa (Por Tipo de Organismos o Entidad Paraestatal)</t>
  </si>
  <si>
    <t>Adeudos de ejercicios Fiscales Anteriores</t>
  </si>
  <si>
    <t>Saneamiento del Sistema Financiero</t>
  </si>
  <si>
    <t>Transferencias, Participaciones y Aportaciones entre Diferentes Niveles y Órdenes de gobierno</t>
  </si>
  <si>
    <t>Transacdciones de la Deuda Pública / Costo financiero de la Deuda</t>
  </si>
  <si>
    <t>Otras No Clasificadas en funciones anteriores</t>
  </si>
  <si>
    <t>Otras Industrias y Otros Asuntos Económicos</t>
  </si>
  <si>
    <t>Ciencia, Tencología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</si>
  <si>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</si>
  <si>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</si>
  <si>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</si>
  <si>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</si>
  <si>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</si>
  <si>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</si>
  <si>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</si>
  <si>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</si>
  <si>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</si>
  <si>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</si>
  <si>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</si>
  <si>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</si>
  <si>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</si>
  <si>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Viviendas y Servicios a la Comunidad</t>
  </si>
  <si>
    <t>Protección Ambiental</t>
  </si>
  <si>
    <t>Desarrollo Social</t>
  </si>
  <si>
    <t>Asuntos de Orden Público y Seguridad Interior</t>
  </si>
  <si>
    <t>Seguridad Nacional</t>
  </si>
  <si>
    <t>Asuntos Financieros y Hacendarios</t>
  </si>
  <si>
    <t>Relaciones Exteriores</t>
  </si>
  <si>
    <t>Coordinación de la Politica de Gobierno</t>
  </si>
  <si>
    <t>Justicia</t>
  </si>
  <si>
    <t>Legislación</t>
  </si>
  <si>
    <t>Gobierno</t>
  </si>
  <si>
    <t>Clasificación Funcional (Finalidad y Función)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</si>
  <si>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</si>
  <si>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</si>
  <si>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</si>
  <si>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</si>
  <si>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</si>
  <si>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</si>
  <si>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</si>
  <si>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</si>
  <si>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</si>
  <si>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</si>
  <si>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</si>
  <si>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</si>
  <si>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</si>
  <si>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</si>
  <si>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</si>
  <si>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</si>
  <si>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</si>
  <si>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</si>
  <si>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</si>
  <si>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</si>
  <si>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</si>
  <si>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</si>
  <si>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</si>
  <si>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</si>
  <si>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</si>
  <si>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</si>
  <si>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</si>
  <si>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</si>
  <si>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</si>
  <si>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</si>
  <si>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</si>
  <si>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</si>
  <si>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</si>
  <si>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</si>
  <si>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DIRECTOR GENERAL DE ADMINISTRACION Y FINANZAS</t>
  </si>
  <si>
    <t xml:space="preserve">       DIRECTOR ADMINISTRATIVO</t>
  </si>
  <si>
    <t xml:space="preserve">           C.P. MARIO ALBERTO MERINO DIAZ</t>
  </si>
  <si>
    <t>C.P. LEONOR AMPARO LANDAVAZO GUTIERREZ</t>
  </si>
  <si>
    <t>Adefas Inversion Estatal (cotas y gerencias)</t>
  </si>
  <si>
    <t>Adefas Inversion Estatal</t>
  </si>
  <si>
    <t>Adefas  Operación</t>
  </si>
  <si>
    <t xml:space="preserve">Adefas  </t>
  </si>
  <si>
    <t>Adeudo de ejercicios fiscales anteriores (ADEFAS)</t>
  </si>
  <si>
    <t>Pago de Intereses Corto Plazo</t>
  </si>
  <si>
    <t>Pago de Intereses a largo Plazo</t>
  </si>
  <si>
    <t>Intereses de la deuda interna con instiruciones de credito</t>
  </si>
  <si>
    <t>Intereses de la deuda publica</t>
  </si>
  <si>
    <t>Amortizacion de Capital Corto Plazo</t>
  </si>
  <si>
    <t>Amortizacion de Capital Largo Plazo</t>
  </si>
  <si>
    <t>Amortizacion de la deuda interna con instituciones de credito</t>
  </si>
  <si>
    <t>Amortizacion de la deuda publica</t>
  </si>
  <si>
    <t>Deuda Publica</t>
  </si>
  <si>
    <t>Otras erogaciones Especiales</t>
  </si>
  <si>
    <t>Provisiones para contingencias y otras erogaciones especiales</t>
  </si>
  <si>
    <t>Inversiones Financieras y Otras proviciones</t>
  </si>
  <si>
    <t>Supervision y control de calidad</t>
  </si>
  <si>
    <t>Indirectos para obras en division de terrenos y construccion de obras de urbanizacion</t>
  </si>
  <si>
    <t>Fiscalizacion y seguimiento</t>
  </si>
  <si>
    <t>Infraestructura y equipamiento en materia de alcantarillado</t>
  </si>
  <si>
    <t>Infraestructura y equipamiento en materia de agua potable</t>
  </si>
  <si>
    <t>Estudios y proyectos</t>
  </si>
  <si>
    <t>Division de terrenos y construccion de obras de urbanizacion</t>
  </si>
  <si>
    <t>Indirectos para obras de construccion para el abastecimiento de agua, petroleo, gas, electricidad y telecomunicaciones</t>
  </si>
  <si>
    <t>Apoyo y fort. A sist. De oper. De distrito de riego</t>
  </si>
  <si>
    <t>Fortalecimiento a organismos operadores de sistemas de agua potable</t>
  </si>
  <si>
    <t>Construccion de obras para el abastecimiento de agua, petroleo, gas, electricidad y telecomunicaciones</t>
  </si>
  <si>
    <t>0bra pública en bienes de dominio publico</t>
  </si>
  <si>
    <t>FEDERAL</t>
  </si>
  <si>
    <t>Estudios y Proyectos</t>
  </si>
  <si>
    <t>Conservacion y Mantenimiento</t>
  </si>
  <si>
    <t>Obra publica en bienes propios</t>
  </si>
  <si>
    <t xml:space="preserve">Fonden </t>
  </si>
  <si>
    <t>Estudios y Proyectos para sistemas de abastecimiento de agua potable.</t>
  </si>
  <si>
    <t>ESTATAL</t>
  </si>
  <si>
    <t>Software</t>
  </si>
  <si>
    <t>Activos intangibles</t>
  </si>
  <si>
    <t>Terrenos</t>
  </si>
  <si>
    <t>Otros bienes muebles</t>
  </si>
  <si>
    <t>Otos equipos</t>
  </si>
  <si>
    <t>Otros equipos</t>
  </si>
  <si>
    <t>Herramientas</t>
  </si>
  <si>
    <t>Herramientas y máquinas-herramienta</t>
  </si>
  <si>
    <t>Maquinaria y equipo electrico y electronico</t>
  </si>
  <si>
    <t>Equipo de Generacion Electrica, aparatos y accesoris electrios</t>
  </si>
  <si>
    <t>Equipo de Comunicación y Telecomunicacion</t>
  </si>
  <si>
    <t>Sistemas de aire acondicionado, calefaccion y de refrigeracion industrial y comercial</t>
  </si>
  <si>
    <t>Maquinaria y equipo industrial</t>
  </si>
  <si>
    <t>Maquinaria, otros equipos y herramientas</t>
  </si>
  <si>
    <t>Otros Equipos de Transporte</t>
  </si>
  <si>
    <t>Automoviles y camiones</t>
  </si>
  <si>
    <t>Vehiculos y equipo de transporte</t>
  </si>
  <si>
    <t>Instrumental medico y de laboratorio</t>
  </si>
  <si>
    <t>Equipo e instrumental medico y de laboratorio</t>
  </si>
  <si>
    <t>Camaras fotograficas y de video</t>
  </si>
  <si>
    <t>Equipos y aparatos audiovisuales</t>
  </si>
  <si>
    <t>Mobiliario y equipo educacional y recreativo</t>
  </si>
  <si>
    <t>Equipo de administracion</t>
  </si>
  <si>
    <t>Otros mobiliarios y equipos de administracion</t>
  </si>
  <si>
    <t>Bienes informáticos</t>
  </si>
  <si>
    <t>Equipo de cómputo y de tecnologías de la información</t>
  </si>
  <si>
    <t>Muebles, Excepto de Oficina y Estantería</t>
  </si>
  <si>
    <t>Mobiliario</t>
  </si>
  <si>
    <t>Muebles de oficina y estantería</t>
  </si>
  <si>
    <t>Mobiliario y equipo de administración</t>
  </si>
  <si>
    <t>Bienes muebles, inmuebles e intangibles</t>
  </si>
  <si>
    <t>Donativos a Instituciones sin fines de lucro</t>
  </si>
  <si>
    <t xml:space="preserve">Donativos  </t>
  </si>
  <si>
    <t>Fomento deportivo</t>
  </si>
  <si>
    <t>Becas y otras ayudas para prograas de capacitacion</t>
  </si>
  <si>
    <t>Ayudas sociales</t>
  </si>
  <si>
    <t>Subsidios a la prestación de servicios públicos</t>
  </si>
  <si>
    <t>Transferencias otorgadas a entidades federativas y municipios</t>
  </si>
  <si>
    <t>Transferencis al resto del sector publico</t>
  </si>
  <si>
    <t>Transferencias para gastos de operación</t>
  </si>
  <si>
    <t>Transferencias internas otorgadasa entidades paraestatales no empresariales y no financieras</t>
  </si>
  <si>
    <t>Transferencias, asigaciones, subsidios y otras ayudas</t>
  </si>
  <si>
    <t>Asigacion presupuestria al poder ejecutivo</t>
  </si>
  <si>
    <t>Transferecias internas yasignaciones al sector publico</t>
  </si>
  <si>
    <t>Transferencias, asignaciones, subsidios y otras ayudas</t>
  </si>
  <si>
    <t>Impuesto sobre nomina</t>
  </si>
  <si>
    <t>Impuesto sobre nominas y otros que se deriven de una relación laboral</t>
  </si>
  <si>
    <t>Otros gastos por responsabilidades</t>
  </si>
  <si>
    <t>Otros gastso por responsabilidades</t>
  </si>
  <si>
    <t>Penas, multas, accesorios y actualizaciones</t>
  </si>
  <si>
    <t>Impuestos y derechos</t>
  </si>
  <si>
    <t>Otros servicios generales</t>
  </si>
  <si>
    <t>Gtso de atencion y promocion</t>
  </si>
  <si>
    <t>Gastos de Representacion</t>
  </si>
  <si>
    <t>Congresos y convenciones</t>
  </si>
  <si>
    <t>Gasto de Orden Social y Cultural</t>
  </si>
  <si>
    <t>Gastos de ceremonial</t>
  </si>
  <si>
    <t>Servicios oficiales</t>
  </si>
  <si>
    <t>Cuotas</t>
  </si>
  <si>
    <t>Otros servicios de traslado y hospedaje</t>
  </si>
  <si>
    <t>Servicios integrales de traslado y viáticos</t>
  </si>
  <si>
    <t>Viáticos en el extranjero</t>
  </si>
  <si>
    <t>Gastos de camino</t>
  </si>
  <si>
    <t>Viáticos en el país</t>
  </si>
  <si>
    <t>Pasajes terrestres</t>
  </si>
  <si>
    <t>Pasajes aéreos internacionales</t>
  </si>
  <si>
    <t>Pasajes aéreos nacionales</t>
  </si>
  <si>
    <t>Pasajes aéreos</t>
  </si>
  <si>
    <t>Servicios de traslado y viáticos</t>
  </si>
  <si>
    <t>Otros servicios de información</t>
  </si>
  <si>
    <t>SERVICIOS DE LA INDUSTRIA FILMICA, DEL SONIDO Y DE</t>
  </si>
  <si>
    <t>Servicio  de Revelado de Fotografías</t>
  </si>
  <si>
    <t>Difusión por Radio, Televisión y otros medios de mensajes sobre Programas y actividades Gubernamentales</t>
  </si>
  <si>
    <t>Servicios de comunicación social y publicidad</t>
  </si>
  <si>
    <t>Servicios de jardinería y fumigación</t>
  </si>
  <si>
    <t>Servicios de limpieza y manejo de desechos</t>
  </si>
  <si>
    <t>Mantenimiento y conservación de heraamientas, maquinas herramientas, instrumentos, utiles y equipo</t>
  </si>
  <si>
    <t>Mantenimiento y conservación de maquinaria y equipo</t>
  </si>
  <si>
    <t>Instalación, reparación y mantenimiento de maquinaria, otros equipos y herramientas</t>
  </si>
  <si>
    <t>Mantenimiento y Conservación de Equipo de Transporte</t>
  </si>
  <si>
    <t>Reparación y mantenimiento de equipo de transporte</t>
  </si>
  <si>
    <t>Mantenimiento y conservación de bienes informáticos</t>
  </si>
  <si>
    <t>Instalaciones</t>
  </si>
  <si>
    <t>Instalación, reparación y mantenimiento de equipo de computo y tecnología de información</t>
  </si>
  <si>
    <t>Mantenimiento y conservación de mobiliario y equipo</t>
  </si>
  <si>
    <t>Instalación, reparación y mantenimiento de mobiliario y equipo de administración, educacional y recreativo</t>
  </si>
  <si>
    <t>Mantenimiento y conservación de inmuebles</t>
  </si>
  <si>
    <t>Conservación y mantenimiento menor de inmuebles</t>
  </si>
  <si>
    <t>Servicios de instalacion, reparacion, mantenimiento y conservacion</t>
  </si>
  <si>
    <t>Fletes y maniobras</t>
  </si>
  <si>
    <t>Seguros de responsabilidad patrimonial y fianzas</t>
  </si>
  <si>
    <t>Servicio de Recaudación, Traslado y Custodia de valores</t>
  </si>
  <si>
    <t>Servicios financieros y bancarios</t>
  </si>
  <si>
    <t>Servicios financieros, bancarios y comerciales</t>
  </si>
  <si>
    <t>Servicios profesionales, cientificos y tecnicos integrales</t>
  </si>
  <si>
    <t>Servicios Profesionales, científicos y técnicos integrales</t>
  </si>
  <si>
    <t>Servicios de vigilancia</t>
  </si>
  <si>
    <t>Servicio de fotocopiado en las instalaciones de las dependencias y entidades</t>
  </si>
  <si>
    <t>Licitaciones, convenios y convocatorias</t>
  </si>
  <si>
    <t>Impresiones y publicaciones oficiales</t>
  </si>
  <si>
    <t>Apoyos a Comisarios Públicos</t>
  </si>
  <si>
    <t>Servicios de apoyo administrativo, traducción, fotocopiado e impresión</t>
  </si>
  <si>
    <t>Servicios de capacitación</t>
  </si>
  <si>
    <t>servicios de Consultorias</t>
  </si>
  <si>
    <t>Servicios de Informática</t>
  </si>
  <si>
    <t>Servicios de consultoria administrativa, procesos, tecnica y en tecnologias de la informacion</t>
  </si>
  <si>
    <t>Servicios de Diseño, Arquitectura, Ingeniería y Actividades Relacionadas</t>
  </si>
  <si>
    <t>Servicios legales, de contabilidad, auditorias y relacionados</t>
  </si>
  <si>
    <t>Servicios profesionales, científicos, técnicos y otros servicios</t>
  </si>
  <si>
    <t>Otros Arrendamientos</t>
  </si>
  <si>
    <t>Arrendamiento maquinaria, otros equipos y herramientas</t>
  </si>
  <si>
    <t>Arrendamiento de Equipo de Transporte</t>
  </si>
  <si>
    <t>Arrendamiento de Equipo y Bienes Informaticos</t>
  </si>
  <si>
    <t>Arrendamiento de Muebles, Maquinaria y Equipo</t>
  </si>
  <si>
    <t>Arrendamiento de mobiliario y equipo de administración, educacional y recreativo</t>
  </si>
  <si>
    <t>Arrendamiento de Edificios</t>
  </si>
  <si>
    <t>Arrendamiento de Terrenos</t>
  </si>
  <si>
    <t>Servicio de arrendamiento</t>
  </si>
  <si>
    <t>Servicio postal</t>
  </si>
  <si>
    <t>Servicios postales y telegráficos</t>
  </si>
  <si>
    <t>Servicios de acceso a internet, redes y procesamiento de información</t>
  </si>
  <si>
    <t>Servicio de Telecomunicaciones y Satelites</t>
  </si>
  <si>
    <t>Telefonía celular</t>
  </si>
  <si>
    <t>Telefonía tradicional</t>
  </si>
  <si>
    <t>Agua Potable</t>
  </si>
  <si>
    <t>Agua</t>
  </si>
  <si>
    <t>Gas</t>
  </si>
  <si>
    <t>Energía eléctrica</t>
  </si>
  <si>
    <t>Servicios básicos</t>
  </si>
  <si>
    <t>Servicios generales</t>
  </si>
  <si>
    <t>Refacciones y Accesorios Menores de Maquinaria Y Otros Equipos</t>
  </si>
  <si>
    <t>Refacciones y accesorios menores de equipo de trasporte</t>
  </si>
  <si>
    <t>REFACC Y ACCES MENORES EQ E INST MEDICO Y DE LABOR</t>
  </si>
  <si>
    <t>Refacciones y accesorios menores de equipo e instrumental médico y de laboratorio</t>
  </si>
  <si>
    <t>Refacciones y accesorios menores de equipo de computo y tecnologías de la información</t>
  </si>
  <si>
    <t>Refacciones y accesorios menores de mobiliario y equipo de administracion, educaconal y recrwativo</t>
  </si>
  <si>
    <t>Refacciones y accesorios menores de mobiliario y equipo de administracion, educaconal y recreativo</t>
  </si>
  <si>
    <t>Refacciones y Accesorios Menores de Edificios</t>
  </si>
  <si>
    <t>Herramientas menores</t>
  </si>
  <si>
    <t>Herramientas, refacciones y accesorios menores</t>
  </si>
  <si>
    <t>Prendas de seguridad y protección personal</t>
  </si>
  <si>
    <t>Vestuario y uniformes</t>
  </si>
  <si>
    <t>Vestuario, blancos, prendas de protección y artículos deportivos</t>
  </si>
  <si>
    <t>Lubricantes y aditivos</t>
  </si>
  <si>
    <t>Combustibles</t>
  </si>
  <si>
    <t>Combustibles, lubricantes y aditivos</t>
  </si>
  <si>
    <t>Otros Productos Quimicos</t>
  </si>
  <si>
    <t>Materiales, accesorios y suministro de laboratorios</t>
  </si>
  <si>
    <t>Medicinas y productos farmacéuticos</t>
  </si>
  <si>
    <t>Fertilizantes, Pesticidas y otros Agroquímicos</t>
  </si>
  <si>
    <t>Productos quimicos basicos</t>
  </si>
  <si>
    <t>Productos químicos, farmacéuticos y de laboratorio</t>
  </si>
  <si>
    <t>Otros materiales y artículos de construcción y reparación</t>
  </si>
  <si>
    <t>Materiales y complementarios</t>
  </si>
  <si>
    <t>Material eléctrico y electrónico</t>
  </si>
  <si>
    <t>Vidrio y productos de vidrio</t>
  </si>
  <si>
    <t>Madera y productos de madera</t>
  </si>
  <si>
    <t>Yeso, cal y productos de yeso</t>
  </si>
  <si>
    <t>Cal, yeso y productos de yeso</t>
  </si>
  <si>
    <t>Cemento y productos de concreto</t>
  </si>
  <si>
    <t>Materiales y artículos de construcción y de reparación</t>
  </si>
  <si>
    <t>Otros productos adquiridos como Materia prima</t>
  </si>
  <si>
    <t>Materias primas y materiales de producción y comercializacion</t>
  </si>
  <si>
    <t>Utensilios para el servicio de alimentación</t>
  </si>
  <si>
    <t>Adquisición de agua potable</t>
  </si>
  <si>
    <t>Productos alimenticios para el personal en las instalaciones</t>
  </si>
  <si>
    <t>Productos alimenticios para personas</t>
  </si>
  <si>
    <t>Alimentos y utensilios</t>
  </si>
  <si>
    <t>Emision de Licencias de Conducir</t>
  </si>
  <si>
    <t>Placas, engomados, calcomanías y hologramas</t>
  </si>
  <si>
    <t>Materiales para el registro e identificación de bienes y personas</t>
  </si>
  <si>
    <t>Materiales educativos</t>
  </si>
  <si>
    <t>Materiales y utiles de enseñanza</t>
  </si>
  <si>
    <t>Material de limpieza</t>
  </si>
  <si>
    <t>Material para información</t>
  </si>
  <si>
    <t xml:space="preserve"> Material impreso e información digital</t>
  </si>
  <si>
    <t>Materiales y útiles para el procesamiento de equipos y bienes informáticos</t>
  </si>
  <si>
    <t>Materiales, útiles y equipos menores de tecnologías de la información y comunicación</t>
  </si>
  <si>
    <t>Materiales y útiles de impresión y reproducción</t>
  </si>
  <si>
    <t>Materiales, útiles y equipos menores de oficina</t>
  </si>
  <si>
    <t>Materiales de administración, Emision de documentos y articulos oficiales</t>
  </si>
  <si>
    <t>Materiales y suministros</t>
  </si>
  <si>
    <t>COMPENSACION POR TITULACION A NIVEL LICENCIATURA</t>
  </si>
  <si>
    <t>Bono por Puntualidad</t>
  </si>
  <si>
    <t xml:space="preserve">Estimulos al personal   </t>
  </si>
  <si>
    <t>Estimulos</t>
  </si>
  <si>
    <t>Pago de Estimulos a Servidores Publicos</t>
  </si>
  <si>
    <t>Otras prestaciones</t>
  </si>
  <si>
    <t>Otras prestaciones sociales y económicas</t>
  </si>
  <si>
    <t>BONO DE PRODUCTIVIDAD</t>
  </si>
  <si>
    <t>BONO DELEGACION SINDICAL</t>
  </si>
  <si>
    <t>APOYO MATERIA CONSTRUCCION</t>
  </si>
  <si>
    <t>BONO DEL DIA DEL PADRE</t>
  </si>
  <si>
    <t>BONO POR ANIVERSARIO SINDICAL</t>
  </si>
  <si>
    <t>COMPENSACION EN APOYO A LA DISCAPACIDAD</t>
  </si>
  <si>
    <t>Ayuda para Servicio de Transporte</t>
  </si>
  <si>
    <t>AYUDA PARA DESARROLLO Y CAPACITACION</t>
  </si>
  <si>
    <t>APOYO PARA UTILES ESCOLARES</t>
  </si>
  <si>
    <t>AYUDA PARA GUARDERIA A MADRES TRABAJADORAS</t>
  </si>
  <si>
    <t>Bono para despensa</t>
  </si>
  <si>
    <t>DIAS ECONOMICOS Y DE DESCANSO OBLICATORIOS NO DISF</t>
  </si>
  <si>
    <t>Prestaciones contractuales</t>
  </si>
  <si>
    <t>Sentencias laborales</t>
  </si>
  <si>
    <t>Pago de Liquidaciones</t>
  </si>
  <si>
    <t>Indemnizaciones al personal</t>
  </si>
  <si>
    <t>Indemnizaciones</t>
  </si>
  <si>
    <t>Aportaciones al Fondo de Ahorro de los Trabajadores</t>
  </si>
  <si>
    <t>Cuotas para el Fondo de Ahorro y Fondo de Trabajo</t>
  </si>
  <si>
    <t>Seguro por defuncion familiar</t>
  </si>
  <si>
    <t>Otras aportaciones de seguros colectivos</t>
  </si>
  <si>
    <t>Seguro por Retiro Estatal</t>
  </si>
  <si>
    <t>Aportaciones para seguros</t>
  </si>
  <si>
    <t>Pagas por defunción, pensiones y jubilaciones</t>
  </si>
  <si>
    <t>Aportaciones al sistema para el retiro</t>
  </si>
  <si>
    <t>Aportaciones por servicio medico del isssteson</t>
  </si>
  <si>
    <t>Otras prestaciones de seguridad social</t>
  </si>
  <si>
    <t>Aportaciones de seguridad social</t>
  </si>
  <si>
    <t>Estimulos al personal de confianza</t>
  </si>
  <si>
    <t>Compensaciones</t>
  </si>
  <si>
    <t>Remuneraciones por Horas Extraordinarias</t>
  </si>
  <si>
    <t>Horas Extraordinarias</t>
  </si>
  <si>
    <t>Compensación por bono navideño</t>
  </si>
  <si>
    <t>Compensación por ajuste de calendario</t>
  </si>
  <si>
    <t>Aguinaldo o gratificacion de fin de año</t>
  </si>
  <si>
    <t>Prima vacacional y dominical</t>
  </si>
  <si>
    <t>Primas de vacaciones, dominical y gratificación de fin de año</t>
  </si>
  <si>
    <t>Primas por años de servicios efectivos prestados</t>
  </si>
  <si>
    <t>Remuneraciones adicionales y especiales</t>
  </si>
  <si>
    <t xml:space="preserve">Honorarios  </t>
  </si>
  <si>
    <t>Honorarios asimilables a salarios</t>
  </si>
  <si>
    <t>Remuneraciones al personal de carácter transitorio</t>
  </si>
  <si>
    <t>Ayuda para energía electrica</t>
  </si>
  <si>
    <t>Ayuda para despensa</t>
  </si>
  <si>
    <t>Ayuda para habitación</t>
  </si>
  <si>
    <t>Riesgo laboral</t>
  </si>
  <si>
    <t>Remuneraciones por sustitucion de personal</t>
  </si>
  <si>
    <t>Remuneraciones Diversas</t>
  </si>
  <si>
    <t>Sueldo Diferencial por Zona</t>
  </si>
  <si>
    <t>Sueldos</t>
  </si>
  <si>
    <t>Sueldo base al personal permanente</t>
  </si>
  <si>
    <t>Remuneraciones al personal de carácter permanente</t>
  </si>
  <si>
    <t>Servicios personales</t>
  </si>
  <si>
    <t>AVANCE ANUAL (7=4/3)</t>
  </si>
  <si>
    <t>SUBEJERCIDO     (6=3-4)</t>
  </si>
  <si>
    <t>EGRESOS PAGADO ACUMULADO             ( 5 )</t>
  </si>
  <si>
    <t>EGRESOS DEVENGADO ACUMULADO                            ( 4 )</t>
  </si>
  <si>
    <t>EGRESOS MODIFICADO ANUAL    ( 3 )</t>
  </si>
  <si>
    <t>AMPLIACIONES/(REDUCCIONES)     ( 2 )</t>
  </si>
  <si>
    <t>EGRESOS APROBADOS        ( 1 )</t>
  </si>
  <si>
    <t>EJERCICIO DEL PRESUPUESTO POR                                    PARTIDA / DESCRIPCION</t>
  </si>
  <si>
    <t>CVE. PARTIDA PRESUPUESTAL</t>
  </si>
  <si>
    <t>Del 01 al 30 de Septiembre del 2020</t>
  </si>
  <si>
    <t>Comision Estatal del Agua</t>
  </si>
  <si>
    <t>Por Partida del Gasto</t>
  </si>
  <si>
    <t>Sistema Estatal de Evaluacion</t>
  </si>
  <si>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</si>
  <si>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</si>
  <si>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</si>
  <si>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</si>
  <si>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</si>
  <si>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</si>
  <si>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</si>
  <si>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</si>
  <si>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</si>
  <si>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</si>
  <si>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</si>
  <si>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</si>
  <si>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</si>
  <si>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(Clasificación de Servicios Personales por Categoría)</t>
  </si>
  <si>
    <t>Estado Analítico del Ejercicio de Presupuesto de Egresos- Detallado – LDF</t>
  </si>
  <si>
    <t>4. Total de Gasto Contable  (4=  1  -  2  +  3 )</t>
  </si>
  <si>
    <t>Otros Gastos Contables No Presupuestales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</si>
  <si>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</si>
  <si>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</si>
  <si>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</si>
  <si>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</si>
  <si>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</si>
  <si>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Estimaciones, Depreciaciones, Deterioros, Obsolescencia y Amortizaciones</t>
  </si>
  <si>
    <t>3. Más Gastos Contables No Presupuestarios</t>
  </si>
  <si>
    <t>Otros Egresos Presupuestales No Contables</t>
  </si>
  <si>
    <t>Adeudos de Ejercicios Fiscales Anteriores (ADEFAS)</t>
  </si>
  <si>
    <t>Armonización de la Deuda Pública</t>
  </si>
  <si>
    <t>Arctivos Biológicos</t>
  </si>
  <si>
    <t xml:space="preserve">Materiales y Suministros </t>
  </si>
  <si>
    <t xml:space="preserve">Materias Primas y Materiales de Producción y Comercializacíon </t>
  </si>
  <si>
    <t xml:space="preserve">2. Menos Egresos Presupuestarios No Contables </t>
  </si>
  <si>
    <t>1. Total de Egresos Presupuestarios</t>
  </si>
  <si>
    <t>Conciliacion entre los Egresos Presupuestarios y los Gastos Contables</t>
  </si>
  <si>
    <t>"Bajo protesta de decir verdad declaramos que los Estados Financieros y sus Notas, son razonablemente correctos y son responsabilidad del emisor"</t>
  </si>
  <si>
    <t>TOTAL</t>
  </si>
  <si>
    <t>Total Otros Instrumentos de Deuda</t>
  </si>
  <si>
    <t>Otros Instrumentos de Deuda</t>
  </si>
  <si>
    <t>Total Créditos Bancarios</t>
  </si>
  <si>
    <t>BANCO BAJIO</t>
  </si>
  <si>
    <t>Créditos Bancarios</t>
  </si>
  <si>
    <t>C=A-B</t>
  </si>
  <si>
    <t>B</t>
  </si>
  <si>
    <t>A</t>
  </si>
  <si>
    <t>Endeudamiento Neto</t>
  </si>
  <si>
    <t>Amortización</t>
  </si>
  <si>
    <t>Contratacion / Colocación</t>
  </si>
  <si>
    <t>Identificacion del crédito o Instrumento</t>
  </si>
  <si>
    <t xml:space="preserve">                                                  (pesos)</t>
  </si>
  <si>
    <t>Total Intereses Otros Instrumentos de Deuda</t>
  </si>
  <si>
    <t>Total de Interéses Créditos Bancarios</t>
  </si>
  <si>
    <t>DEUDA PUBLICA</t>
  </si>
  <si>
    <t xml:space="preserve">                                                                                          </t>
  </si>
  <si>
    <t>Intereses de la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</si>
</sst>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_(* #,##0_);_(* \(#,##0\);_(* &quot;-&quot;??_);_(@_)"/>
    <numFmt numFmtId="167" formatCode="0.00_ ;\-0.00\ 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2"/>
      <color theme="1"/>
      <name val="Arial Narrow"/>
      <family val="2"/>
    </font>
    <font>
      <b/>
      <sz val="9"/>
      <color theme="1"/>
      <name val="Arial Narrow"/>
      <family val="2"/>
    </font>
    <font>
      <sz val="6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0" tint="-0.34998626667073579"/>
      <name val="Arial Narrow"/>
      <family val="2"/>
    </font>
    <font>
      <sz val="9"/>
      <color theme="0" tint="-0.34998626667073579"/>
      <name val="Arial Narrow"/>
      <family val="2"/>
    </font>
    <font>
      <b/>
      <vertAlign val="superscript"/>
      <sz val="9"/>
      <color theme="0" tint="-0.34998626667073579"/>
      <name val="Arial Narrow"/>
      <family val="2"/>
    </font>
    <font>
      <b/>
      <sz val="10"/>
      <color theme="0" tint="-0.34998626667073579"/>
      <name val="Arial Narrow"/>
      <family val="2"/>
    </font>
    <font>
      <vertAlign val="superscript"/>
      <sz val="9"/>
      <color theme="0" tint="-0.34998626667073579"/>
      <name val="Arial Narrow"/>
      <family val="2"/>
    </font>
    <font>
      <b/>
      <sz val="9"/>
      <color theme="0" tint="-0.34998626667073579"/>
      <name val="Arial Narrow"/>
      <family val="2"/>
    </font>
    <font>
      <b/>
      <sz val="8"/>
      <color theme="1"/>
      <name val="Arial Narrow"/>
      <family val="2"/>
    </font>
    <font>
      <b/>
      <i/>
      <sz val="10"/>
      <color theme="1"/>
      <name val="Arial Narrow"/>
      <family val="2"/>
    </font>
    <font>
      <vertAlign val="superscript"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.5"/>
      <color theme="1"/>
      <name val="Arial Narrow"/>
      <family val="2"/>
    </font>
    <font>
      <sz val="6"/>
      <color theme="1"/>
      <name val="Arial"/>
      <family val="2"/>
    </font>
    <font>
      <b/>
      <sz val="7.5"/>
      <color theme="1"/>
      <name val="Arial Narrow"/>
      <family val="2"/>
    </font>
    <font>
      <b/>
      <sz val="6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sz val="12"/>
      <color theme="0"/>
      <name val="Arial Narrow"/>
      <family val="2"/>
    </font>
    <font>
      <sz val="6.5"/>
      <color theme="1"/>
      <name val="Arial Narrow"/>
      <family val="2"/>
    </font>
    <font>
      <b/>
      <sz val="6.5"/>
      <color theme="1"/>
      <name val="Arial Narrow"/>
      <family val="2"/>
    </font>
    <font>
      <b/>
      <sz val="9"/>
      <color theme="0"/>
      <name val="Arial Narrow"/>
      <family val="2"/>
    </font>
    <font>
      <b/>
      <i/>
      <sz val="9"/>
      <color theme="3" tint="0.39997558519241921"/>
      <name val="Arial Narrow"/>
      <family val="2"/>
    </font>
    <font>
      <b/>
      <i/>
      <sz val="9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0070C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8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top"/>
      <protection locked="0"/>
    </xf>
    <xf numFmtId="4" fontId="9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 applyProtection="1">
      <alignment horizontal="right" vertical="center" wrapText="1"/>
      <protection locked="0"/>
    </xf>
    <xf numFmtId="4" fontId="10" fillId="0" borderId="0" xfId="0" applyNumberFormat="1" applyFont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4" fontId="13" fillId="0" borderId="0" xfId="0" applyNumberFormat="1" applyFont="1" applyAlignment="1" applyProtection="1">
      <alignment vertical="center"/>
      <protection locked="0"/>
    </xf>
    <xf numFmtId="4" fontId="13" fillId="0" borderId="0" xfId="0" applyNumberFormat="1" applyFont="1" applyAlignment="1" applyProtection="1">
      <alignment horizontal="right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4" fontId="9" fillId="0" borderId="1" xfId="0" applyNumberFormat="1" applyFont="1" applyBorder="1" applyAlignment="1" applyProtection="1">
      <alignment vertical="center"/>
      <protection locked="0"/>
    </xf>
    <xf numFmtId="4" fontId="9" fillId="0" borderId="2" xfId="0" applyNumberFormat="1" applyFont="1" applyBorder="1" applyAlignment="1" applyProtection="1">
      <alignment vertical="center"/>
      <protection locked="0"/>
    </xf>
    <xf numFmtId="4" fontId="8" fillId="0" borderId="3" xfId="0" applyNumberFormat="1" applyFont="1" applyBorder="1" applyAlignment="1" applyProtection="1">
      <alignment horizontal="right" vertical="center" wrapText="1"/>
      <protection locked="0"/>
    </xf>
    <xf numFmtId="4" fontId="10" fillId="0" borderId="4" xfId="0" applyNumberFormat="1" applyFont="1" applyBorder="1" applyAlignment="1" applyProtection="1">
      <alignment horizontal="right" vertical="center" wrapText="1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3" fontId="11" fillId="0" borderId="5" xfId="0" applyNumberFormat="1" applyFont="1" applyBorder="1" applyAlignment="1">
      <alignment horizontal="right" vertical="center" wrapText="1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3" fontId="4" fillId="0" borderId="6" xfId="0" applyNumberFormat="1" applyFont="1" applyBorder="1" applyAlignment="1" applyProtection="1">
      <alignment horizontal="right" vertical="center"/>
      <protection locked="0"/>
    </xf>
    <xf numFmtId="3" fontId="4" fillId="0" borderId="5" xfId="0" applyNumberFormat="1" applyFont="1" applyBorder="1" applyAlignment="1" applyProtection="1">
      <alignment horizontal="right" vertical="center"/>
      <protection locked="0"/>
    </xf>
    <xf numFmtId="3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3" fontId="4" fillId="0" borderId="8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 applyProtection="1">
      <alignment horizontal="right" vertical="center"/>
      <protection locked="0"/>
    </xf>
    <xf numFmtId="3" fontId="4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 applyProtection="1">
      <alignment horizontal="justify" vertical="center" wrapText="1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3" fontId="19" fillId="0" borderId="9" xfId="0" applyNumberFormat="1" applyFont="1" applyBorder="1" applyAlignment="1">
      <alignment horizontal="right" vertical="center"/>
    </xf>
    <xf numFmtId="0" fontId="11" fillId="0" borderId="9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justify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 indent="1"/>
      <protection locked="0"/>
    </xf>
    <xf numFmtId="0" fontId="4" fillId="0" borderId="10" xfId="0" applyFont="1" applyBorder="1" applyAlignment="1" applyProtection="1">
      <alignment horizontal="left" vertical="center" wrapText="1" indent="1"/>
      <protection locked="0"/>
    </xf>
    <xf numFmtId="3" fontId="4" fillId="0" borderId="8" xfId="0" applyNumberFormat="1" applyFont="1" applyBorder="1" applyAlignment="1" applyProtection="1">
      <alignment horizontal="right"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3" fontId="4" fillId="0" borderId="9" xfId="0" applyNumberFormat="1" applyFont="1" applyBorder="1" applyAlignment="1" applyProtection="1">
      <alignment horizontal="right" vertical="center" wrapText="1"/>
      <protection locked="0"/>
    </xf>
    <xf numFmtId="0" fontId="4" fillId="0" borderId="9" xfId="0" applyFont="1" applyBorder="1" applyAlignment="1" applyProtection="1">
      <alignment horizontal="left" vertical="center" indent="1"/>
      <protection locked="0"/>
    </xf>
    <xf numFmtId="0" fontId="4" fillId="0" borderId="10" xfId="0" applyFont="1" applyBorder="1" applyAlignment="1" applyProtection="1">
      <alignment horizontal="left" vertical="center" inden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9" fontId="11" fillId="0" borderId="6" xfId="0" applyNumberFormat="1" applyFont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justify"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horizontal="justify" vertical="center" wrapText="1"/>
      <protection locked="0"/>
    </xf>
    <xf numFmtId="0" fontId="3" fillId="0" borderId="0" xfId="0" applyFont="1" applyAlignment="1">
      <alignment vertical="center"/>
    </xf>
    <xf numFmtId="3" fontId="11" fillId="0" borderId="6" xfId="0" applyNumberFormat="1" applyFont="1" applyBorder="1" applyAlignment="1">
      <alignment horizontal="right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17" xfId="0" applyFont="1" applyBorder="1" applyAlignment="1" applyProtection="1">
      <alignment horizontal="justify" vertical="center" wrapText="1"/>
      <protection locked="0"/>
    </xf>
    <xf numFmtId="0" fontId="4" fillId="0" borderId="7" xfId="0" applyFont="1" applyBorder="1" applyAlignment="1" applyProtection="1">
      <alignment horizontal="justify" vertical="center" wrapText="1"/>
      <protection locked="0"/>
    </xf>
    <xf numFmtId="3" fontId="4" fillId="0" borderId="8" xfId="0" applyNumberFormat="1" applyFont="1" applyBorder="1" applyAlignment="1">
      <alignment horizontal="right" vertical="center" wrapText="1"/>
    </xf>
    <xf numFmtId="0" fontId="4" fillId="0" borderId="0" xfId="0" applyFont="1" applyAlignment="1" applyProtection="1">
      <alignment horizontal="justify" vertical="center" wrapText="1"/>
      <protection locked="0"/>
    </xf>
    <xf numFmtId="0" fontId="4" fillId="0" borderId="10" xfId="0" applyFont="1" applyBorder="1" applyAlignment="1" applyProtection="1">
      <alignment horizontal="justify" vertical="center" wrapText="1"/>
      <protection locked="0"/>
    </xf>
    <xf numFmtId="3" fontId="4" fillId="0" borderId="8" xfId="0" applyNumberFormat="1" applyFont="1" applyBorder="1" applyAlignment="1" applyProtection="1">
      <alignment horizontal="right" vertical="center"/>
      <protection locked="0"/>
    </xf>
    <xf numFmtId="4" fontId="11" fillId="0" borderId="8" xfId="0" applyNumberFormat="1" applyFont="1" applyBorder="1" applyAlignment="1">
      <alignment horizontal="right" vertical="center" wrapText="1"/>
    </xf>
    <xf numFmtId="4" fontId="11" fillId="0" borderId="8" xfId="0" applyNumberFormat="1" applyFont="1" applyBorder="1" applyAlignment="1" applyProtection="1">
      <alignment horizontal="right" vertical="center" wrapText="1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right" vertical="top"/>
      <protection locked="0"/>
    </xf>
    <xf numFmtId="0" fontId="21" fillId="0" borderId="17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43" fontId="25" fillId="0" borderId="5" xfId="0" applyNumberFormat="1" applyFont="1" applyBorder="1" applyAlignment="1">
      <alignment horizontal="right" vertical="center"/>
    </xf>
    <xf numFmtId="0" fontId="26" fillId="0" borderId="24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43" fontId="27" fillId="0" borderId="9" xfId="0" applyNumberFormat="1" applyFont="1" applyBorder="1" applyAlignment="1">
      <alignment horizontal="right" vertical="center"/>
    </xf>
    <xf numFmtId="0" fontId="27" fillId="0" borderId="25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43" fontId="25" fillId="0" borderId="9" xfId="0" applyNumberFormat="1" applyFont="1" applyBorder="1" applyAlignment="1">
      <alignment horizontal="right" vertical="center"/>
    </xf>
    <xf numFmtId="43" fontId="25" fillId="0" borderId="9" xfId="0" applyNumberFormat="1" applyFont="1" applyBorder="1" applyAlignment="1" applyProtection="1">
      <alignment horizontal="right" vertical="center"/>
      <protection locked="0"/>
    </xf>
    <xf numFmtId="0" fontId="25" fillId="0" borderId="25" xfId="0" applyFont="1" applyBorder="1" applyAlignment="1">
      <alignment horizontal="left" vertical="justify"/>
    </xf>
    <xf numFmtId="0" fontId="25" fillId="0" borderId="0" xfId="0" applyFont="1" applyAlignment="1">
      <alignment horizontal="left" vertical="justify"/>
    </xf>
    <xf numFmtId="0" fontId="25" fillId="0" borderId="25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8" fillId="0" borderId="25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43" fontId="25" fillId="0" borderId="8" xfId="0" applyNumberFormat="1" applyFont="1" applyBorder="1" applyAlignment="1" applyProtection="1">
      <alignment horizontal="right" vertical="center"/>
      <protection locked="0"/>
    </xf>
    <xf numFmtId="0" fontId="25" fillId="0" borderId="25" xfId="0" applyFont="1" applyBorder="1" applyAlignment="1">
      <alignment horizontal="left" vertical="justify"/>
    </xf>
    <xf numFmtId="0" fontId="25" fillId="0" borderId="0" xfId="0" applyFont="1" applyAlignment="1">
      <alignment horizontal="left" vertical="center"/>
    </xf>
    <xf numFmtId="43" fontId="25" fillId="0" borderId="5" xfId="0" applyNumberFormat="1" applyFont="1" applyBorder="1" applyAlignment="1" applyProtection="1">
      <alignment horizontal="right" vertical="center"/>
      <protection locked="0"/>
    </xf>
    <xf numFmtId="0" fontId="25" fillId="0" borderId="24" xfId="0" applyFont="1" applyBorder="1" applyAlignment="1">
      <alignment horizontal="left" vertical="justify"/>
    </xf>
    <xf numFmtId="0" fontId="25" fillId="0" borderId="17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25" xfId="0" applyFont="1" applyBorder="1" applyAlignment="1">
      <alignment horizontal="left" vertical="center"/>
    </xf>
    <xf numFmtId="43" fontId="25" fillId="3" borderId="9" xfId="0" applyNumberFormat="1" applyFont="1" applyFill="1" applyBorder="1" applyAlignment="1">
      <alignment horizontal="right" vertical="center"/>
    </xf>
    <xf numFmtId="43" fontId="27" fillId="0" borderId="26" xfId="0" applyNumberFormat="1" applyFont="1" applyBorder="1" applyAlignment="1">
      <alignment horizontal="right" vertical="center"/>
    </xf>
    <xf numFmtId="0" fontId="25" fillId="0" borderId="25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10" xfId="0" applyFont="1" applyBorder="1" applyAlignment="1">
      <alignment vertical="center"/>
    </xf>
    <xf numFmtId="43" fontId="25" fillId="0" borderId="8" xfId="0" applyNumberFormat="1" applyFont="1" applyBorder="1" applyAlignment="1">
      <alignment horizontal="right" vertical="center"/>
    </xf>
    <xf numFmtId="0" fontId="25" fillId="0" borderId="25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24" xfId="0" applyFont="1" applyBorder="1" applyAlignment="1">
      <alignment horizontal="left" vertical="center"/>
    </xf>
    <xf numFmtId="43" fontId="25" fillId="0" borderId="26" xfId="0" applyNumberFormat="1" applyFont="1" applyBorder="1" applyAlignment="1">
      <alignment horizontal="right" vertical="center"/>
    </xf>
    <xf numFmtId="0" fontId="25" fillId="0" borderId="10" xfId="0" applyFont="1" applyBorder="1" applyAlignment="1">
      <alignment horizontal="left" vertical="center"/>
    </xf>
    <xf numFmtId="0" fontId="25" fillId="0" borderId="9" xfId="0" applyFont="1" applyBorder="1" applyAlignment="1">
      <alignment horizontal="right" vertical="center"/>
    </xf>
    <xf numFmtId="0" fontId="27" fillId="0" borderId="9" xfId="0" applyFont="1" applyBorder="1" applyAlignment="1">
      <alignment horizontal="left" vertical="center"/>
    </xf>
    <xf numFmtId="0" fontId="26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justify" vertical="center"/>
    </xf>
    <xf numFmtId="0" fontId="25" fillId="0" borderId="4" xfId="0" applyFont="1" applyBorder="1" applyAlignment="1">
      <alignment horizontal="justify" vertical="center"/>
    </xf>
    <xf numFmtId="0" fontId="25" fillId="0" borderId="11" xfId="0" applyFont="1" applyBorder="1" applyAlignment="1">
      <alignment horizontal="justify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justify"/>
    </xf>
    <xf numFmtId="0" fontId="27" fillId="2" borderId="5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justify"/>
    </xf>
    <xf numFmtId="0" fontId="27" fillId="2" borderId="9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horizontal="center" vertical="center" wrapText="1"/>
    </xf>
    <xf numFmtId="0" fontId="30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31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4" fontId="21" fillId="4" borderId="27" xfId="0" applyNumberFormat="1" applyFont="1" applyFill="1" applyBorder="1" applyAlignment="1">
      <alignment horizontal="right" vertical="center" wrapText="1"/>
    </xf>
    <xf numFmtId="0" fontId="32" fillId="4" borderId="28" xfId="0" applyFont="1" applyFill="1" applyBorder="1" applyAlignment="1" applyProtection="1">
      <alignment horizontal="justify" vertical="center"/>
      <protection locked="0"/>
    </xf>
    <xf numFmtId="0" fontId="33" fillId="4" borderId="28" xfId="0" applyFont="1" applyFill="1" applyBorder="1" applyAlignment="1" applyProtection="1">
      <alignment vertical="center"/>
      <protection locked="0"/>
    </xf>
    <xf numFmtId="0" fontId="33" fillId="4" borderId="16" xfId="0" applyFont="1" applyFill="1" applyBorder="1" applyAlignment="1" applyProtection="1">
      <alignment vertical="center"/>
      <protection locked="0"/>
    </xf>
    <xf numFmtId="4" fontId="32" fillId="5" borderId="29" xfId="0" applyNumberFormat="1" applyFont="1" applyFill="1" applyBorder="1" applyAlignment="1">
      <alignment horizontal="right" vertical="center"/>
    </xf>
    <xf numFmtId="0" fontId="32" fillId="5" borderId="30" xfId="0" applyFont="1" applyFill="1" applyBorder="1" applyAlignment="1" applyProtection="1">
      <alignment horizontal="right" vertical="center"/>
      <protection locked="0"/>
    </xf>
    <xf numFmtId="0" fontId="34" fillId="5" borderId="31" xfId="0" applyFont="1" applyFill="1" applyBorder="1" applyAlignment="1" applyProtection="1">
      <alignment horizontal="justify" vertical="center"/>
      <protection locked="0"/>
    </xf>
    <xf numFmtId="0" fontId="32" fillId="5" borderId="10" xfId="0" applyFont="1" applyFill="1" applyBorder="1" applyAlignment="1" applyProtection="1">
      <alignment horizontal="justify" vertical="center"/>
      <protection locked="0"/>
    </xf>
    <xf numFmtId="0" fontId="21" fillId="0" borderId="30" xfId="0" applyFont="1" applyBorder="1" applyAlignment="1" applyProtection="1">
      <alignment horizontal="right" vertical="center" wrapText="1"/>
      <protection locked="0"/>
    </xf>
    <xf numFmtId="0" fontId="35" fillId="5" borderId="32" xfId="0" applyFont="1" applyFill="1" applyBorder="1" applyAlignment="1" applyProtection="1">
      <alignment horizontal="justify" vertical="center"/>
      <protection locked="0"/>
    </xf>
    <xf numFmtId="0" fontId="32" fillId="5" borderId="10" xfId="0" applyFont="1" applyFill="1" applyBorder="1" applyAlignment="1" applyProtection="1">
      <alignment vertical="center"/>
      <protection locked="0"/>
    </xf>
    <xf numFmtId="0" fontId="34" fillId="5" borderId="32" xfId="0" applyFont="1" applyFill="1" applyBorder="1" applyAlignment="1" applyProtection="1">
      <alignment horizontal="justify" vertical="center"/>
      <protection locked="0"/>
    </xf>
    <xf numFmtId="0" fontId="34" fillId="5" borderId="33" xfId="0" applyFont="1" applyFill="1" applyBorder="1" applyAlignment="1" applyProtection="1">
      <alignment horizontal="justify" vertical="center"/>
      <protection locked="0"/>
    </xf>
    <xf numFmtId="4" fontId="21" fillId="0" borderId="27" xfId="0" applyNumberFormat="1" applyFont="1" applyBorder="1" applyAlignment="1">
      <alignment horizontal="right" vertical="center" wrapText="1"/>
    </xf>
    <xf numFmtId="0" fontId="32" fillId="5" borderId="28" xfId="0" applyFont="1" applyFill="1" applyBorder="1" applyAlignment="1" applyProtection="1">
      <alignment horizontal="justify" vertical="center"/>
      <protection locked="0"/>
    </xf>
    <xf numFmtId="0" fontId="33" fillId="5" borderId="28" xfId="0" applyFont="1" applyFill="1" applyBorder="1" applyAlignment="1" applyProtection="1">
      <alignment vertical="center"/>
      <protection locked="0"/>
    </xf>
    <xf numFmtId="0" fontId="33" fillId="5" borderId="16" xfId="0" applyFont="1" applyFill="1" applyBorder="1" applyAlignment="1" applyProtection="1">
      <alignment vertical="center"/>
      <protection locked="0"/>
    </xf>
    <xf numFmtId="4" fontId="32" fillId="5" borderId="5" xfId="0" applyNumberFormat="1" applyFont="1" applyFill="1" applyBorder="1" applyAlignment="1" applyProtection="1">
      <alignment horizontal="right" vertical="center"/>
      <protection locked="0"/>
    </xf>
    <xf numFmtId="0" fontId="21" fillId="0" borderId="17" xfId="0" applyFont="1" applyBorder="1" applyAlignment="1" applyProtection="1">
      <alignment horizontal="center" vertical="center" wrapText="1"/>
      <protection locked="0"/>
    </xf>
    <xf numFmtId="0" fontId="36" fillId="5" borderId="17" xfId="0" applyFont="1" applyFill="1" applyBorder="1" applyAlignment="1" applyProtection="1">
      <alignment horizontal="justify" vertical="center"/>
      <protection locked="0"/>
    </xf>
    <xf numFmtId="0" fontId="33" fillId="5" borderId="7" xfId="0" applyFont="1" applyFill="1" applyBorder="1" applyAlignment="1" applyProtection="1">
      <alignment horizontal="left" vertical="center"/>
      <protection locked="0"/>
    </xf>
    <xf numFmtId="4" fontId="32" fillId="5" borderId="3" xfId="0" applyNumberFormat="1" applyFont="1" applyFill="1" applyBorder="1" applyAlignment="1" applyProtection="1">
      <alignment horizontal="right" vertical="center"/>
      <protection locked="0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34" fillId="5" borderId="4" xfId="0" applyFont="1" applyFill="1" applyBorder="1" applyAlignment="1" applyProtection="1">
      <alignment horizontal="justify" vertical="center"/>
      <protection locked="0"/>
    </xf>
    <xf numFmtId="0" fontId="32" fillId="5" borderId="11" xfId="0" applyFont="1" applyFill="1" applyBorder="1" applyAlignment="1" applyProtection="1">
      <alignment horizontal="justify" vertical="center"/>
      <protection locked="0"/>
    </xf>
    <xf numFmtId="4" fontId="32" fillId="5" borderId="34" xfId="0" applyNumberFormat="1" applyFont="1" applyFill="1" applyBorder="1" applyAlignment="1">
      <alignment horizontal="right" vertical="center"/>
    </xf>
    <xf numFmtId="43" fontId="21" fillId="0" borderId="35" xfId="0" applyNumberFormat="1" applyFont="1" applyBorder="1" applyAlignment="1" applyProtection="1">
      <alignment horizontal="right" vertical="center" wrapText="1"/>
      <protection locked="0"/>
    </xf>
    <xf numFmtId="0" fontId="35" fillId="5" borderId="31" xfId="0" applyFont="1" applyFill="1" applyBorder="1" applyAlignment="1" applyProtection="1">
      <alignment horizontal="justify" vertical="center"/>
      <protection locked="0"/>
    </xf>
    <xf numFmtId="0" fontId="32" fillId="5" borderId="7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left"/>
    </xf>
    <xf numFmtId="43" fontId="21" fillId="0" borderId="30" xfId="0" applyNumberFormat="1" applyFont="1" applyBorder="1" applyAlignment="1" applyProtection="1">
      <alignment horizontal="right" vertical="center" wrapText="1"/>
      <protection locked="0"/>
    </xf>
    <xf numFmtId="0" fontId="33" fillId="5" borderId="10" xfId="0" applyFont="1" applyFill="1" applyBorder="1" applyAlignment="1" applyProtection="1">
      <alignment horizontal="justify"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4" fontId="21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21" fillId="2" borderId="17" xfId="0" applyFont="1" applyFill="1" applyBorder="1" applyAlignment="1" applyProtection="1">
      <alignment horizontal="center" vertical="center" wrapText="1"/>
      <protection locked="0"/>
    </xf>
    <xf numFmtId="0" fontId="21" fillId="2" borderId="17" xfId="0" applyFont="1" applyFill="1" applyBorder="1" applyAlignment="1" applyProtection="1">
      <alignment horizontal="left" vertical="center"/>
      <protection locked="0"/>
    </xf>
    <xf numFmtId="0" fontId="21" fillId="2" borderId="7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vertical="center" wrapText="1"/>
    </xf>
    <xf numFmtId="4" fontId="21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locked="0"/>
    </xf>
    <xf numFmtId="0" fontId="21" fillId="2" borderId="4" xfId="0" applyFont="1" applyFill="1" applyBorder="1" applyAlignment="1" applyProtection="1">
      <alignment horizontal="left" vertical="center"/>
      <protection locked="0"/>
    </xf>
    <xf numFmtId="0" fontId="21" fillId="2" borderId="1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1" fillId="4" borderId="28" xfId="0" applyFont="1" applyFill="1" applyBorder="1" applyAlignment="1" applyProtection="1">
      <alignment horizontal="center" vertical="center" wrapText="1"/>
      <protection locked="0"/>
    </xf>
    <xf numFmtId="0" fontId="21" fillId="4" borderId="28" xfId="0" applyFont="1" applyFill="1" applyBorder="1" applyAlignment="1" applyProtection="1">
      <alignment horizontal="left" vertical="center"/>
      <protection locked="0"/>
    </xf>
    <xf numFmtId="0" fontId="21" fillId="4" borderId="16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left" vertical="center"/>
    </xf>
    <xf numFmtId="0" fontId="21" fillId="0" borderId="0" xfId="0" applyFont="1" applyAlignment="1" applyProtection="1">
      <alignment horizontal="left" vertical="top"/>
      <protection locked="0"/>
    </xf>
    <xf numFmtId="0" fontId="22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3" fontId="11" fillId="0" borderId="27" xfId="0" applyNumberFormat="1" applyFont="1" applyBorder="1" applyAlignment="1">
      <alignment horizontal="right" vertical="center" wrapText="1"/>
    </xf>
    <xf numFmtId="3" fontId="11" fillId="0" borderId="28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vertical="center" wrapText="1"/>
    </xf>
    <xf numFmtId="3" fontId="4" fillId="0" borderId="34" xfId="0" applyNumberFormat="1" applyFont="1" applyBorder="1" applyAlignment="1">
      <alignment horizontal="right" vertical="center" wrapText="1"/>
    </xf>
    <xf numFmtId="3" fontId="4" fillId="0" borderId="35" xfId="0" applyNumberFormat="1" applyFont="1" applyBorder="1" applyAlignment="1" applyProtection="1">
      <alignment horizontal="right" vertical="center" wrapText="1"/>
      <protection locked="0"/>
    </xf>
    <xf numFmtId="3" fontId="4" fillId="0" borderId="35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 wrapText="1" indent="3"/>
    </xf>
    <xf numFmtId="3" fontId="4" fillId="0" borderId="29" xfId="0" applyNumberFormat="1" applyFont="1" applyBorder="1" applyAlignment="1">
      <alignment horizontal="right" vertical="center" wrapText="1"/>
    </xf>
    <xf numFmtId="3" fontId="4" fillId="0" borderId="30" xfId="0" applyNumberFormat="1" applyFont="1" applyBorder="1" applyAlignment="1" applyProtection="1">
      <alignment horizontal="right" vertical="center" wrapText="1"/>
      <protection locked="0"/>
    </xf>
    <xf numFmtId="3" fontId="4" fillId="0" borderId="30" xfId="0" applyNumberFormat="1" applyFont="1" applyBorder="1" applyAlignment="1">
      <alignment horizontal="right" vertical="center" wrapText="1"/>
    </xf>
    <xf numFmtId="0" fontId="4" fillId="0" borderId="21" xfId="0" applyFont="1" applyBorder="1" applyAlignment="1">
      <alignment horizontal="left" vertical="center" wrapText="1" indent="3"/>
    </xf>
    <xf numFmtId="0" fontId="4" fillId="0" borderId="21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49" fontId="11" fillId="0" borderId="34" xfId="0" applyNumberFormat="1" applyFont="1" applyBorder="1" applyAlignment="1">
      <alignment horizontal="center" vertical="center" wrapText="1"/>
    </xf>
    <xf numFmtId="49" fontId="11" fillId="2" borderId="3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5" xfId="0" applyNumberFormat="1" applyFont="1" applyBorder="1" applyAlignment="1">
      <alignment horizontal="center" vertical="center" wrapText="1"/>
    </xf>
    <xf numFmtId="49" fontId="11" fillId="0" borderId="35" xfId="0" applyNumberFormat="1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2" borderId="37" xfId="0" applyFont="1" applyFill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>
      <alignment horizontal="center" vertical="center" wrapText="1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>
      <alignment horizontal="center" vertical="center" wrapText="1"/>
    </xf>
    <xf numFmtId="0" fontId="9" fillId="0" borderId="17" xfId="0" applyFont="1" applyBorder="1" applyAlignment="1" applyProtection="1">
      <alignment horizontal="left" vertical="center"/>
      <protection locked="0"/>
    </xf>
    <xf numFmtId="0" fontId="38" fillId="0" borderId="5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17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43" fontId="39" fillId="0" borderId="8" xfId="0" applyNumberFormat="1" applyFont="1" applyBorder="1" applyAlignment="1">
      <alignment vertical="center"/>
    </xf>
    <xf numFmtId="0" fontId="39" fillId="0" borderId="9" xfId="0" applyFont="1" applyBorder="1" applyAlignment="1">
      <alignment horizontal="left" vertical="center"/>
    </xf>
    <xf numFmtId="0" fontId="39" fillId="0" borderId="10" xfId="0" applyFont="1" applyBorder="1" applyAlignment="1">
      <alignment horizontal="left" vertical="center"/>
    </xf>
    <xf numFmtId="43" fontId="38" fillId="0" borderId="9" xfId="0" applyNumberFormat="1" applyFont="1" applyBorder="1" applyAlignment="1">
      <alignment vertical="center"/>
    </xf>
    <xf numFmtId="43" fontId="38" fillId="0" borderId="8" xfId="0" applyNumberFormat="1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43" fontId="38" fillId="0" borderId="8" xfId="0" applyNumberFormat="1" applyFont="1" applyBorder="1" applyAlignment="1" applyProtection="1">
      <alignment vertical="center"/>
      <protection locked="0"/>
    </xf>
    <xf numFmtId="0" fontId="38" fillId="0" borderId="9" xfId="0" applyFont="1" applyBorder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43" fontId="38" fillId="0" borderId="5" xfId="0" applyNumberFormat="1" applyFont="1" applyBorder="1" applyAlignment="1">
      <alignment vertical="center"/>
    </xf>
    <xf numFmtId="43" fontId="38" fillId="0" borderId="6" xfId="0" applyNumberFormat="1" applyFont="1" applyBorder="1" applyAlignment="1" applyProtection="1">
      <alignment vertical="center"/>
      <protection locked="0"/>
    </xf>
    <xf numFmtId="43" fontId="38" fillId="0" borderId="6" xfId="0" applyNumberFormat="1" applyFont="1" applyBorder="1" applyAlignment="1">
      <alignment vertical="center"/>
    </xf>
    <xf numFmtId="0" fontId="39" fillId="0" borderId="8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0" fillId="0" borderId="0" xfId="0" applyFont="1" applyAlignment="1" applyProtection="1">
      <alignment vertical="center"/>
      <protection locked="0"/>
    </xf>
    <xf numFmtId="0" fontId="41" fillId="0" borderId="0" xfId="0" applyFont="1" applyAlignment="1" applyProtection="1">
      <alignment horizontal="right"/>
      <protection locked="0"/>
    </xf>
    <xf numFmtId="0" fontId="40" fillId="0" borderId="0" xfId="0" applyFont="1" applyAlignment="1" applyProtection="1">
      <alignment horizontal="left" vertical="justify" indent="3"/>
      <protection locked="0"/>
    </xf>
    <xf numFmtId="0" fontId="40" fillId="0" borderId="0" xfId="0" applyFont="1" applyAlignment="1" applyProtection="1">
      <alignment horizontal="justify"/>
      <protection locked="0"/>
    </xf>
    <xf numFmtId="0" fontId="40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/>
      <protection locked="0"/>
    </xf>
    <xf numFmtId="3" fontId="9" fillId="0" borderId="0" xfId="0" applyNumberFormat="1" applyFont="1" applyAlignment="1">
      <alignment horizontal="right" vertical="center" wrapText="1"/>
    </xf>
    <xf numFmtId="3" fontId="42" fillId="0" borderId="0" xfId="0" applyNumberFormat="1" applyFont="1" applyAlignment="1">
      <alignment horizontal="right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3" fontId="9" fillId="0" borderId="34" xfId="0" applyNumberFormat="1" applyFont="1" applyBorder="1" applyAlignment="1">
      <alignment horizontal="right" vertical="center" wrapText="1"/>
    </xf>
    <xf numFmtId="3" fontId="9" fillId="0" borderId="35" xfId="0" applyNumberFormat="1" applyFont="1" applyBorder="1" applyAlignment="1">
      <alignment horizontal="right" vertical="center" wrapText="1"/>
    </xf>
    <xf numFmtId="3" fontId="42" fillId="0" borderId="35" xfId="0" applyNumberFormat="1" applyFont="1" applyBorder="1" applyAlignment="1">
      <alignment horizontal="right" vertical="center" wrapText="1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3" fontId="31" fillId="0" borderId="34" xfId="0" applyNumberFormat="1" applyFont="1" applyBorder="1" applyAlignment="1">
      <alignment horizontal="right" vertical="center" wrapText="1"/>
    </xf>
    <xf numFmtId="3" fontId="31" fillId="0" borderId="35" xfId="0" applyNumberFormat="1" applyFont="1" applyBorder="1" applyAlignment="1" applyProtection="1">
      <alignment horizontal="right" vertical="center" wrapText="1"/>
      <protection locked="0"/>
    </xf>
    <xf numFmtId="3" fontId="31" fillId="0" borderId="35" xfId="0" applyNumberFormat="1" applyFont="1" applyBorder="1" applyAlignment="1">
      <alignment horizontal="right" vertical="center" wrapText="1"/>
    </xf>
    <xf numFmtId="0" fontId="4" fillId="0" borderId="19" xfId="0" applyFont="1" applyBorder="1" applyAlignment="1" applyProtection="1">
      <alignment horizontal="justify" vertical="center" wrapText="1"/>
      <protection locked="0"/>
    </xf>
    <xf numFmtId="3" fontId="31" fillId="0" borderId="29" xfId="0" applyNumberFormat="1" applyFont="1" applyBorder="1" applyAlignment="1">
      <alignment horizontal="right" vertical="center" wrapText="1"/>
    </xf>
    <xf numFmtId="3" fontId="31" fillId="0" borderId="30" xfId="0" applyNumberFormat="1" applyFont="1" applyBorder="1" applyAlignment="1" applyProtection="1">
      <alignment horizontal="right" vertical="center" wrapText="1"/>
      <protection locked="0"/>
    </xf>
    <xf numFmtId="3" fontId="31" fillId="0" borderId="30" xfId="0" applyNumberFormat="1" applyFont="1" applyBorder="1" applyAlignment="1">
      <alignment horizontal="right" vertical="center" wrapText="1"/>
    </xf>
    <xf numFmtId="0" fontId="4" fillId="0" borderId="21" xfId="0" applyFont="1" applyBorder="1" applyAlignment="1" applyProtection="1">
      <alignment horizontal="left" vertical="center" wrapText="1" indent="2"/>
      <protection locked="0"/>
    </xf>
    <xf numFmtId="49" fontId="11" fillId="0" borderId="0" xfId="0" applyNumberFormat="1" applyFont="1" applyAlignment="1" applyProtection="1">
      <alignment vertical="center"/>
      <protection locked="0"/>
    </xf>
    <xf numFmtId="49" fontId="11" fillId="0" borderId="34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21" fillId="0" borderId="17" xfId="0" applyFont="1" applyBorder="1" applyAlignment="1" applyProtection="1">
      <alignment horizontal="center" vertical="top"/>
      <protection locked="0"/>
    </xf>
    <xf numFmtId="43" fontId="43" fillId="0" borderId="0" xfId="1" applyFont="1" applyFill="1" applyAlignment="1" applyProtection="1">
      <alignment vertical="center"/>
      <protection locked="0"/>
    </xf>
    <xf numFmtId="43" fontId="18" fillId="0" borderId="0" xfId="1" applyFont="1" applyFill="1" applyAlignment="1" applyProtection="1">
      <alignment vertical="center"/>
      <protection locked="0"/>
    </xf>
    <xf numFmtId="164" fontId="43" fillId="0" borderId="0" xfId="0" applyNumberFormat="1" applyFont="1" applyAlignment="1" applyProtection="1">
      <alignment vertical="center"/>
      <protection locked="0"/>
    </xf>
    <xf numFmtId="0" fontId="11" fillId="0" borderId="16" xfId="0" applyFont="1" applyBorder="1" applyAlignment="1" applyProtection="1">
      <alignment horizontal="justify" vertical="center" wrapText="1"/>
      <protection locked="0"/>
    </xf>
    <xf numFmtId="3" fontId="31" fillId="0" borderId="29" xfId="0" applyNumberFormat="1" applyFont="1" applyBorder="1" applyAlignment="1" applyProtection="1">
      <alignment horizontal="right" vertical="center" wrapText="1"/>
      <protection locked="0"/>
    </xf>
    <xf numFmtId="0" fontId="31" fillId="0" borderId="21" xfId="0" applyFont="1" applyBorder="1" applyAlignment="1" applyProtection="1">
      <alignment horizontal="justify" vertical="center" wrapText="1"/>
      <protection locked="0"/>
    </xf>
    <xf numFmtId="3" fontId="31" fillId="2" borderId="30" xfId="0" applyNumberFormat="1" applyFont="1" applyFill="1" applyBorder="1" applyAlignment="1" applyProtection="1">
      <alignment horizontal="right" vertical="center" wrapText="1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49" fontId="18" fillId="0" borderId="34" xfId="0" applyNumberFormat="1" applyFont="1" applyBorder="1" applyAlignment="1" applyProtection="1">
      <alignment horizontal="center" vertical="center" wrapText="1"/>
      <protection locked="0"/>
    </xf>
    <xf numFmtId="49" fontId="18" fillId="0" borderId="35" xfId="0" applyNumberFormat="1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vertical="center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43" fontId="43" fillId="0" borderId="0" xfId="1" applyFont="1" applyFill="1" applyBorder="1" applyAlignment="1" applyProtection="1">
      <alignment horizontal="left" vertical="center"/>
      <protection locked="0"/>
    </xf>
    <xf numFmtId="43" fontId="44" fillId="0" borderId="0" xfId="1" applyFont="1"/>
    <xf numFmtId="43" fontId="10" fillId="0" borderId="5" xfId="0" applyNumberFormat="1" applyFont="1" applyBorder="1" applyAlignment="1">
      <alignment horizontal="right" vertical="center" wrapText="1"/>
    </xf>
    <xf numFmtId="0" fontId="10" fillId="0" borderId="6" xfId="0" applyFont="1" applyBorder="1" applyAlignment="1">
      <alignment horizontal="justify" vertical="center" wrapText="1"/>
    </xf>
    <xf numFmtId="0" fontId="44" fillId="0" borderId="0" xfId="0" applyFont="1"/>
    <xf numFmtId="0" fontId="18" fillId="0" borderId="0" xfId="0" applyFont="1" applyAlignment="1">
      <alignment vertical="center"/>
    </xf>
    <xf numFmtId="43" fontId="43" fillId="0" borderId="9" xfId="0" applyNumberFormat="1" applyFont="1" applyBorder="1" applyAlignment="1">
      <alignment horizontal="right" vertical="center" wrapText="1"/>
    </xf>
    <xf numFmtId="0" fontId="18" fillId="0" borderId="8" xfId="0" applyFont="1" applyBorder="1" applyAlignment="1">
      <alignment horizontal="justify" vertical="center" wrapText="1"/>
    </xf>
    <xf numFmtId="0" fontId="43" fillId="0" borderId="8" xfId="0" applyFont="1" applyBorder="1" applyAlignment="1">
      <alignment horizontal="justify" vertical="center" wrapText="1"/>
    </xf>
    <xf numFmtId="0" fontId="43" fillId="0" borderId="8" xfId="0" applyFont="1" applyBorder="1" applyAlignment="1">
      <alignment horizontal="left" vertical="center" wrapText="1"/>
    </xf>
    <xf numFmtId="43" fontId="44" fillId="0" borderId="0" xfId="0" applyNumberFormat="1" applyFont="1"/>
    <xf numFmtId="43" fontId="43" fillId="2" borderId="9" xfId="0" applyNumberFormat="1" applyFont="1" applyFill="1" applyBorder="1" applyAlignment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0" fontId="43" fillId="0" borderId="9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3" fontId="11" fillId="0" borderId="34" xfId="0" applyNumberFormat="1" applyFont="1" applyBorder="1" applyAlignment="1">
      <alignment horizontal="right" vertical="center" wrapText="1"/>
    </xf>
    <xf numFmtId="3" fontId="11" fillId="0" borderId="35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justify" vertical="center" wrapText="1"/>
    </xf>
    <xf numFmtId="4" fontId="4" fillId="0" borderId="29" xfId="0" applyNumberFormat="1" applyFont="1" applyBorder="1" applyAlignment="1">
      <alignment horizontal="justify" vertical="center" wrapText="1"/>
    </xf>
    <xf numFmtId="4" fontId="4" fillId="0" borderId="30" xfId="0" applyNumberFormat="1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49" fontId="18" fillId="0" borderId="0" xfId="0" applyNumberFormat="1" applyFont="1" applyAlignment="1" applyProtection="1">
      <alignment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36" xfId="0" applyFont="1" applyBorder="1" applyAlignment="1" applyProtection="1">
      <alignment horizontal="center" vertical="center" wrapText="1"/>
      <protection locked="0"/>
    </xf>
    <xf numFmtId="0" fontId="21" fillId="0" borderId="37" xfId="0" applyFont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justify" vertical="center" wrapText="1"/>
      <protection locked="0"/>
    </xf>
    <xf numFmtId="3" fontId="4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 applyProtection="1">
      <alignment horizontal="right" vertical="center" wrapText="1"/>
      <protection locked="0"/>
    </xf>
    <xf numFmtId="3" fontId="11" fillId="0" borderId="4" xfId="0" applyNumberFormat="1" applyFont="1" applyBorder="1" applyAlignment="1">
      <alignment horizontal="right" vertical="center" wrapText="1"/>
    </xf>
    <xf numFmtId="0" fontId="11" fillId="0" borderId="4" xfId="0" applyFont="1" applyBorder="1" applyAlignment="1" applyProtection="1">
      <alignment horizontal="justify" vertical="center" wrapText="1"/>
      <protection locked="0"/>
    </xf>
    <xf numFmtId="0" fontId="4" fillId="0" borderId="21" xfId="0" applyFont="1" applyBorder="1" applyAlignment="1" applyProtection="1">
      <alignment horizontal="left" vertical="center" wrapText="1" indent="1"/>
      <protection locked="0"/>
    </xf>
    <xf numFmtId="4" fontId="4" fillId="0" borderId="29" xfId="0" applyNumberFormat="1" applyFont="1" applyBorder="1" applyAlignment="1">
      <alignment horizontal="right" vertical="center" wrapText="1"/>
    </xf>
    <xf numFmtId="4" fontId="4" fillId="0" borderId="30" xfId="0" applyNumberFormat="1" applyFont="1" applyBorder="1" applyAlignment="1" applyProtection="1">
      <alignment horizontal="right" vertical="center" wrapText="1"/>
      <protection locked="0"/>
    </xf>
    <xf numFmtId="4" fontId="4" fillId="0" borderId="30" xfId="0" applyNumberFormat="1" applyFont="1" applyBorder="1" applyAlignment="1">
      <alignment horizontal="right" vertical="center" wrapText="1"/>
    </xf>
    <xf numFmtId="0" fontId="4" fillId="0" borderId="21" xfId="0" applyFont="1" applyBorder="1" applyAlignment="1" applyProtection="1">
      <alignment horizontal="justify" vertical="center" wrapText="1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 indent="2"/>
      <protection locked="0"/>
    </xf>
    <xf numFmtId="3" fontId="4" fillId="0" borderId="27" xfId="0" applyNumberFormat="1" applyFont="1" applyBorder="1" applyAlignment="1">
      <alignment horizontal="right" vertical="center" wrapText="1"/>
    </xf>
    <xf numFmtId="3" fontId="4" fillId="0" borderId="28" xfId="0" applyNumberFormat="1" applyFont="1" applyBorder="1" applyAlignment="1">
      <alignment horizontal="right" vertical="center" wrapText="1"/>
    </xf>
    <xf numFmtId="0" fontId="4" fillId="0" borderId="21" xfId="0" applyFont="1" applyBorder="1" applyAlignment="1" applyProtection="1">
      <alignment horizontal="left" vertical="top" wrapText="1" indent="2"/>
      <protection locked="0"/>
    </xf>
    <xf numFmtId="3" fontId="11" fillId="0" borderId="29" xfId="0" applyNumberFormat="1" applyFont="1" applyBorder="1" applyAlignment="1">
      <alignment horizontal="right" vertical="center" wrapText="1"/>
    </xf>
    <xf numFmtId="3" fontId="11" fillId="0" borderId="30" xfId="0" applyNumberFormat="1" applyFont="1" applyBorder="1" applyAlignment="1">
      <alignment horizontal="right" vertical="center" wrapText="1"/>
    </xf>
    <xf numFmtId="0" fontId="11" fillId="0" borderId="21" xfId="0" applyFont="1" applyBorder="1" applyAlignment="1" applyProtection="1">
      <alignment vertical="center" wrapText="1"/>
      <protection locked="0"/>
    </xf>
    <xf numFmtId="4" fontId="3" fillId="0" borderId="29" xfId="0" applyNumberFormat="1" applyFont="1" applyBorder="1" applyAlignment="1" applyProtection="1">
      <alignment horizontal="justify" vertical="center" wrapText="1"/>
      <protection locked="0"/>
    </xf>
    <xf numFmtId="4" fontId="3" fillId="0" borderId="30" xfId="0" applyNumberFormat="1" applyFont="1" applyBorder="1" applyAlignment="1" applyProtection="1">
      <alignment horizontal="justify" vertical="center" wrapText="1"/>
      <protection locked="0"/>
    </xf>
    <xf numFmtId="0" fontId="3" fillId="0" borderId="21" xfId="0" applyFont="1" applyBorder="1" applyAlignment="1" applyProtection="1">
      <alignment horizontal="justify" vertical="center" wrapText="1"/>
      <protection locked="0"/>
    </xf>
    <xf numFmtId="4" fontId="9" fillId="0" borderId="34" xfId="0" applyNumberFormat="1" applyFont="1" applyBorder="1" applyAlignment="1" applyProtection="1">
      <alignment horizontal="center" vertical="center" wrapText="1"/>
      <protection locked="0"/>
    </xf>
    <xf numFmtId="4" fontId="9" fillId="0" borderId="35" xfId="0" applyNumberFormat="1" applyFont="1" applyBorder="1" applyAlignment="1" applyProtection="1">
      <alignment horizontal="center" vertical="center" wrapText="1"/>
      <protection locked="0"/>
    </xf>
    <xf numFmtId="4" fontId="9" fillId="0" borderId="36" xfId="0" applyNumberFormat="1" applyFont="1" applyBorder="1" applyAlignment="1" applyProtection="1">
      <alignment horizontal="center" vertical="center" wrapText="1"/>
      <protection locked="0"/>
    </xf>
    <xf numFmtId="4" fontId="9" fillId="0" borderId="37" xfId="0" applyNumberFormat="1" applyFont="1" applyBorder="1" applyAlignment="1" applyProtection="1">
      <alignment horizontal="center" vertical="center" wrapText="1"/>
      <protection locked="0"/>
    </xf>
    <xf numFmtId="4" fontId="0" fillId="0" borderId="17" xfId="0" applyNumberFormat="1" applyBorder="1" applyAlignment="1" applyProtection="1">
      <alignment horizontal="center"/>
      <protection locked="0"/>
    </xf>
    <xf numFmtId="4" fontId="21" fillId="0" borderId="0" xfId="0" applyNumberFormat="1" applyFont="1" applyAlignment="1" applyProtection="1">
      <alignment horizontal="right" vertical="top"/>
      <protection locked="0"/>
    </xf>
    <xf numFmtId="4" fontId="9" fillId="0" borderId="17" xfId="0" applyNumberFormat="1" applyFont="1" applyBorder="1" applyAlignment="1" applyProtection="1">
      <alignment horizontal="left" vertical="center"/>
      <protection locked="0"/>
    </xf>
    <xf numFmtId="43" fontId="43" fillId="0" borderId="0" xfId="0" applyNumberFormat="1" applyFont="1" applyAlignment="1">
      <alignment vertical="center"/>
    </xf>
    <xf numFmtId="43" fontId="43" fillId="0" borderId="0" xfId="0" applyNumberFormat="1" applyFont="1" applyAlignment="1" applyProtection="1">
      <alignment vertical="center"/>
      <protection locked="0"/>
    </xf>
    <xf numFmtId="0" fontId="43" fillId="0" borderId="0" xfId="0" applyFont="1" applyAlignment="1">
      <alignment horizontal="left" vertical="center"/>
    </xf>
    <xf numFmtId="43" fontId="43" fillId="0" borderId="5" xfId="0" applyNumberFormat="1" applyFont="1" applyBorder="1" applyAlignment="1">
      <alignment vertical="center"/>
    </xf>
    <xf numFmtId="0" fontId="43" fillId="0" borderId="5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43" fontId="43" fillId="0" borderId="9" xfId="0" applyNumberFormat="1" applyFont="1" applyBorder="1" applyAlignment="1">
      <alignment vertical="center"/>
    </xf>
    <xf numFmtId="43" fontId="43" fillId="0" borderId="9" xfId="0" applyNumberFormat="1" applyFont="1" applyBorder="1" applyAlignment="1" applyProtection="1">
      <alignment vertical="center"/>
      <protection locked="0"/>
    </xf>
    <xf numFmtId="0" fontId="43" fillId="0" borderId="9" xfId="0" applyFont="1" applyBorder="1" applyAlignment="1">
      <alignment horizontal="left" vertical="center"/>
    </xf>
    <xf numFmtId="0" fontId="43" fillId="0" borderId="10" xfId="0" applyFont="1" applyBorder="1" applyAlignment="1">
      <alignment horizontal="left" vertical="center"/>
    </xf>
    <xf numFmtId="43" fontId="43" fillId="0" borderId="5" xfId="0" applyNumberFormat="1" applyFont="1" applyBorder="1" applyAlignment="1" applyProtection="1">
      <alignment vertical="center"/>
      <protection locked="0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43" fontId="18" fillId="0" borderId="9" xfId="0" applyNumberFormat="1" applyFont="1" applyBorder="1" applyAlignment="1" applyProtection="1">
      <alignment vertical="center"/>
      <protection locked="0"/>
    </xf>
    <xf numFmtId="0" fontId="18" fillId="0" borderId="9" xfId="0" applyFont="1" applyBorder="1" applyAlignment="1">
      <alignment horizontal="justify" vertical="center"/>
    </xf>
    <xf numFmtId="0" fontId="18" fillId="0" borderId="10" xfId="0" applyFont="1" applyBorder="1" applyAlignment="1">
      <alignment horizontal="justify" vertical="center"/>
    </xf>
    <xf numFmtId="43" fontId="18" fillId="0" borderId="9" xfId="0" applyNumberFormat="1" applyFont="1" applyBorder="1" applyAlignment="1">
      <alignment vertical="center"/>
    </xf>
    <xf numFmtId="0" fontId="18" fillId="0" borderId="25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43" fillId="0" borderId="3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0" fillId="2" borderId="0" xfId="0" applyFill="1"/>
    <xf numFmtId="43" fontId="0" fillId="2" borderId="0" xfId="0" applyNumberFormat="1" applyFill="1"/>
    <xf numFmtId="165" fontId="0" fillId="2" borderId="0" xfId="0" applyNumberFormat="1" applyFill="1"/>
    <xf numFmtId="9" fontId="0" fillId="2" borderId="0" xfId="2" applyFont="1" applyFill="1"/>
    <xf numFmtId="0" fontId="43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45" fillId="2" borderId="0" xfId="0" applyFont="1" applyFill="1"/>
    <xf numFmtId="165" fontId="46" fillId="2" borderId="0" xfId="0" applyNumberFormat="1" applyFont="1" applyFill="1"/>
    <xf numFmtId="165" fontId="0" fillId="0" borderId="0" xfId="0" applyNumberFormat="1"/>
    <xf numFmtId="165" fontId="29" fillId="2" borderId="0" xfId="0" applyNumberFormat="1" applyFont="1" applyFill="1"/>
    <xf numFmtId="43" fontId="43" fillId="2" borderId="39" xfId="0" applyNumberFormat="1" applyFont="1" applyFill="1" applyBorder="1" applyAlignment="1">
      <alignment vertical="center"/>
    </xf>
    <xf numFmtId="166" fontId="47" fillId="2" borderId="39" xfId="3" applyNumberFormat="1" applyFont="1" applyFill="1" applyBorder="1" applyAlignment="1">
      <alignment horizontal="right" vertical="center" indent="1"/>
    </xf>
    <xf numFmtId="166" fontId="48" fillId="2" borderId="39" xfId="3" applyNumberFormat="1" applyFont="1" applyFill="1" applyBorder="1" applyAlignment="1">
      <alignment horizontal="right" vertical="center" indent="1"/>
    </xf>
    <xf numFmtId="0" fontId="45" fillId="2" borderId="39" xfId="0" applyFont="1" applyFill="1" applyBorder="1" applyAlignment="1">
      <alignment horizontal="left" vertical="center" wrapText="1"/>
    </xf>
    <xf numFmtId="0" fontId="45" fillId="2" borderId="39" xfId="0" applyFont="1" applyFill="1" applyBorder="1" applyAlignment="1">
      <alignment horizontal="right" vertical="center"/>
    </xf>
    <xf numFmtId="0" fontId="29" fillId="2" borderId="39" xfId="0" applyFont="1" applyFill="1" applyBorder="1" applyAlignment="1">
      <alignment horizontal="left" vertical="center" wrapText="1"/>
    </xf>
    <xf numFmtId="0" fontId="47" fillId="2" borderId="39" xfId="0" applyFont="1" applyFill="1" applyBorder="1" applyAlignment="1">
      <alignment horizontal="right" vertical="center"/>
    </xf>
    <xf numFmtId="0" fontId="47" fillId="2" borderId="39" xfId="0" applyFont="1" applyFill="1" applyBorder="1" applyAlignment="1">
      <alignment horizontal="left" vertical="center"/>
    </xf>
    <xf numFmtId="0" fontId="48" fillId="2" borderId="39" xfId="0" applyFont="1" applyFill="1" applyBorder="1" applyAlignment="1">
      <alignment horizontal="right" vertical="center"/>
    </xf>
    <xf numFmtId="166" fontId="49" fillId="2" borderId="39" xfId="3" applyNumberFormat="1" applyFont="1" applyFill="1" applyBorder="1" applyAlignment="1">
      <alignment horizontal="right" vertical="center" indent="1"/>
    </xf>
    <xf numFmtId="0" fontId="47" fillId="2" borderId="39" xfId="0" applyFont="1" applyFill="1" applyBorder="1" applyAlignment="1">
      <alignment horizontal="center" vertical="center"/>
    </xf>
    <xf numFmtId="0" fontId="48" fillId="2" borderId="39" xfId="0" applyFont="1" applyFill="1" applyBorder="1" applyAlignment="1">
      <alignment horizontal="left" vertical="center" wrapText="1"/>
    </xf>
    <xf numFmtId="0" fontId="47" fillId="2" borderId="39" xfId="0" applyFont="1" applyFill="1" applyBorder="1" applyAlignment="1">
      <alignment horizontal="left" vertical="center" wrapText="1"/>
    </xf>
    <xf numFmtId="0" fontId="29" fillId="2" borderId="39" xfId="0" applyFont="1" applyFill="1" applyBorder="1" applyAlignment="1">
      <alignment horizontal="center" vertical="center"/>
    </xf>
    <xf numFmtId="0" fontId="29" fillId="2" borderId="39" xfId="0" applyFont="1" applyFill="1" applyBorder="1" applyAlignment="1">
      <alignment horizontal="left" vertical="center"/>
    </xf>
    <xf numFmtId="4" fontId="48" fillId="2" borderId="39" xfId="0" applyNumberFormat="1" applyFont="1" applyFill="1" applyBorder="1" applyAlignment="1">
      <alignment horizontal="left" vertical="center" wrapText="1"/>
    </xf>
    <xf numFmtId="0" fontId="48" fillId="2" borderId="39" xfId="0" applyFont="1" applyFill="1" applyBorder="1" applyAlignment="1">
      <alignment vertical="center" wrapText="1"/>
    </xf>
    <xf numFmtId="4" fontId="45" fillId="2" borderId="39" xfId="0" applyNumberFormat="1" applyFont="1" applyFill="1" applyBorder="1" applyAlignment="1">
      <alignment horizontal="left" vertical="center" wrapText="1"/>
    </xf>
    <xf numFmtId="4" fontId="29" fillId="2" borderId="39" xfId="0" applyNumberFormat="1" applyFont="1" applyFill="1" applyBorder="1" applyAlignment="1">
      <alignment horizontal="left" vertical="center" wrapText="1"/>
    </xf>
    <xf numFmtId="0" fontId="47" fillId="2" borderId="39" xfId="0" applyFont="1" applyFill="1" applyBorder="1" applyAlignment="1">
      <alignment horizontal="left" vertical="center" wrapText="1" indent="4"/>
    </xf>
    <xf numFmtId="0" fontId="47" fillId="2" borderId="39" xfId="0" applyFont="1" applyFill="1" applyBorder="1" applyAlignment="1">
      <alignment horizontal="left" vertical="center" wrapText="1" indent="2"/>
    </xf>
    <xf numFmtId="0" fontId="45" fillId="2" borderId="39" xfId="0" applyFont="1" applyFill="1" applyBorder="1" applyAlignment="1">
      <alignment vertical="center" wrapText="1"/>
    </xf>
    <xf numFmtId="0" fontId="47" fillId="2" borderId="39" xfId="0" applyFont="1" applyFill="1" applyBorder="1" applyAlignment="1">
      <alignment horizontal="center" vertical="center" wrapText="1"/>
    </xf>
    <xf numFmtId="4" fontId="47" fillId="2" borderId="39" xfId="0" applyNumberFormat="1" applyFont="1" applyFill="1" applyBorder="1" applyAlignment="1">
      <alignment horizontal="left" vertical="center" wrapText="1"/>
    </xf>
    <xf numFmtId="43" fontId="47" fillId="2" borderId="39" xfId="3" applyFont="1" applyFill="1" applyBorder="1" applyAlignment="1">
      <alignment horizontal="right" vertical="center" indent="1"/>
    </xf>
    <xf numFmtId="0" fontId="45" fillId="2" borderId="39" xfId="0" applyFont="1" applyFill="1" applyBorder="1"/>
    <xf numFmtId="9" fontId="50" fillId="2" borderId="40" xfId="2" applyFont="1" applyFill="1" applyBorder="1" applyAlignment="1">
      <alignment horizontal="center" vertical="center" wrapText="1"/>
    </xf>
    <xf numFmtId="43" fontId="50" fillId="2" borderId="41" xfId="0" applyNumberFormat="1" applyFont="1" applyFill="1" applyBorder="1" applyAlignment="1">
      <alignment horizontal="center" vertical="center" wrapText="1"/>
    </xf>
    <xf numFmtId="165" fontId="50" fillId="2" borderId="41" xfId="0" applyNumberFormat="1" applyFont="1" applyFill="1" applyBorder="1" applyAlignment="1">
      <alignment horizontal="center" vertical="center" wrapText="1"/>
    </xf>
    <xf numFmtId="165" fontId="50" fillId="2" borderId="41" xfId="0" applyNumberFormat="1" applyFont="1" applyFill="1" applyBorder="1" applyAlignment="1">
      <alignment horizontal="center" vertical="center"/>
    </xf>
    <xf numFmtId="165" fontId="50" fillId="2" borderId="41" xfId="3" applyNumberFormat="1" applyFont="1" applyFill="1" applyBorder="1" applyAlignment="1">
      <alignment horizontal="center" vertical="center"/>
    </xf>
    <xf numFmtId="0" fontId="50" fillId="2" borderId="41" xfId="0" applyFont="1" applyFill="1" applyBorder="1" applyAlignment="1">
      <alignment horizontal="center" vertical="center" wrapText="1"/>
    </xf>
    <xf numFmtId="0" fontId="50" fillId="2" borderId="42" xfId="0" applyFont="1" applyFill="1" applyBorder="1" applyAlignment="1">
      <alignment horizontal="center" vertical="center"/>
    </xf>
    <xf numFmtId="9" fontId="50" fillId="2" borderId="43" xfId="2" applyFont="1" applyFill="1" applyBorder="1" applyAlignment="1">
      <alignment horizontal="center" vertical="center" wrapText="1"/>
    </xf>
    <xf numFmtId="43" fontId="50" fillId="2" borderId="44" xfId="0" applyNumberFormat="1" applyFont="1" applyFill="1" applyBorder="1" applyAlignment="1">
      <alignment horizontal="center" vertical="center" wrapText="1"/>
    </xf>
    <xf numFmtId="165" fontId="50" fillId="2" borderId="44" xfId="0" applyNumberFormat="1" applyFont="1" applyFill="1" applyBorder="1" applyAlignment="1">
      <alignment horizontal="center" vertical="center" wrapText="1"/>
    </xf>
    <xf numFmtId="165" fontId="50" fillId="2" borderId="44" xfId="3" applyNumberFormat="1" applyFont="1" applyFill="1" applyBorder="1" applyAlignment="1">
      <alignment horizontal="center" vertical="center" wrapText="1"/>
    </xf>
    <xf numFmtId="0" fontId="50" fillId="2" borderId="44" xfId="0" applyFont="1" applyFill="1" applyBorder="1" applyAlignment="1">
      <alignment horizontal="center" vertical="center" wrapText="1"/>
    </xf>
    <xf numFmtId="0" fontId="50" fillId="2" borderId="45" xfId="0" applyFont="1" applyFill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top"/>
    </xf>
    <xf numFmtId="167" fontId="51" fillId="2" borderId="0" xfId="0" applyNumberFormat="1" applyFont="1" applyFill="1" applyAlignment="1">
      <alignment horizontal="center"/>
    </xf>
    <xf numFmtId="167" fontId="52" fillId="2" borderId="0" xfId="0" applyNumberFormat="1" applyFont="1" applyFill="1" applyAlignment="1">
      <alignment horizontal="center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left" vertical="center" wrapText="1"/>
    </xf>
    <xf numFmtId="43" fontId="27" fillId="0" borderId="8" xfId="0" applyNumberFormat="1" applyFont="1" applyBorder="1" applyAlignment="1">
      <alignment horizontal="right" wrapText="1"/>
    </xf>
    <xf numFmtId="0" fontId="27" fillId="0" borderId="10" xfId="0" applyFont="1" applyBorder="1" applyAlignment="1">
      <alignment horizontal="left" vertical="center" wrapText="1"/>
    </xf>
    <xf numFmtId="43" fontId="27" fillId="0" borderId="9" xfId="0" applyNumberFormat="1" applyFont="1" applyBorder="1" applyAlignment="1">
      <alignment horizontal="right" wrapText="1"/>
    </xf>
    <xf numFmtId="43" fontId="27" fillId="0" borderId="9" xfId="0" applyNumberFormat="1" applyFont="1" applyBorder="1" applyAlignment="1" applyProtection="1">
      <alignment horizontal="right" wrapText="1"/>
      <protection locked="0"/>
    </xf>
    <xf numFmtId="43" fontId="27" fillId="0" borderId="8" xfId="0" applyNumberFormat="1" applyFont="1" applyBorder="1" applyAlignment="1" applyProtection="1">
      <alignment horizontal="right" wrapText="1"/>
      <protection locked="0"/>
    </xf>
    <xf numFmtId="0" fontId="25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 inden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8" fillId="0" borderId="0" xfId="0" applyFont="1" applyProtection="1"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32" fillId="0" borderId="0" xfId="0" applyNumberFormat="1" applyFont="1" applyAlignment="1">
      <alignment horizontal="right" vertical="center"/>
    </xf>
    <xf numFmtId="0" fontId="32" fillId="0" borderId="0" xfId="0" applyFont="1" applyAlignment="1" applyProtection="1">
      <alignment horizontal="justify"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horizontal="justify" vertical="center"/>
      <protection locked="0"/>
    </xf>
    <xf numFmtId="43" fontId="32" fillId="0" borderId="28" xfId="1" applyFont="1" applyFill="1" applyBorder="1" applyAlignment="1" applyProtection="1">
      <alignment horizontal="justify" vertical="center"/>
      <protection locked="0"/>
    </xf>
    <xf numFmtId="0" fontId="33" fillId="0" borderId="16" xfId="0" applyFont="1" applyBorder="1" applyAlignment="1" applyProtection="1">
      <alignment vertical="center"/>
      <protection locked="0"/>
    </xf>
    <xf numFmtId="4" fontId="32" fillId="0" borderId="34" xfId="0" applyNumberFormat="1" applyFont="1" applyBorder="1" applyAlignment="1">
      <alignment horizontal="right" vertical="center"/>
    </xf>
    <xf numFmtId="43" fontId="32" fillId="0" borderId="35" xfId="1" applyFont="1" applyFill="1" applyBorder="1" applyAlignment="1" applyProtection="1">
      <alignment horizontal="justify" vertical="center"/>
      <protection locked="0"/>
    </xf>
    <xf numFmtId="0" fontId="34" fillId="0" borderId="19" xfId="0" applyFont="1" applyBorder="1" applyAlignment="1" applyProtection="1">
      <alignment horizontal="justify" vertical="center"/>
      <protection locked="0"/>
    </xf>
    <xf numFmtId="4" fontId="32" fillId="0" borderId="29" xfId="0" applyNumberFormat="1" applyFont="1" applyBorder="1" applyAlignment="1">
      <alignment horizontal="right" vertical="center"/>
    </xf>
    <xf numFmtId="43" fontId="3" fillId="0" borderId="30" xfId="1" applyFont="1" applyFill="1" applyBorder="1" applyAlignment="1" applyProtection="1">
      <alignment horizontal="right" vertical="center"/>
      <protection locked="0"/>
    </xf>
    <xf numFmtId="0" fontId="34" fillId="0" borderId="21" xfId="0" applyFont="1" applyBorder="1" applyAlignment="1" applyProtection="1">
      <alignment horizontal="left" vertical="center" indent="3"/>
      <protection locked="0"/>
    </xf>
    <xf numFmtId="4" fontId="21" fillId="4" borderId="36" xfId="0" applyNumberFormat="1" applyFont="1" applyFill="1" applyBorder="1" applyAlignment="1">
      <alignment horizontal="right" vertical="center" wrapText="1"/>
    </xf>
    <xf numFmtId="43" fontId="32" fillId="0" borderId="37" xfId="1" applyFont="1" applyFill="1" applyBorder="1" applyAlignment="1" applyProtection="1">
      <alignment horizontal="justify" vertical="center"/>
      <protection locked="0"/>
    </xf>
    <xf numFmtId="0" fontId="33" fillId="0" borderId="23" xfId="0" applyFont="1" applyBorder="1" applyAlignment="1" applyProtection="1">
      <alignment vertical="center"/>
      <protection locked="0"/>
    </xf>
    <xf numFmtId="4" fontId="32" fillId="0" borderId="17" xfId="0" applyNumberFormat="1" applyFont="1" applyBorder="1" applyAlignment="1">
      <alignment horizontal="right" vertical="center"/>
    </xf>
    <xf numFmtId="0" fontId="33" fillId="0" borderId="17" xfId="0" applyFont="1" applyBorder="1" applyAlignment="1" applyProtection="1">
      <alignment horizontal="left" vertical="center"/>
      <protection locked="0"/>
    </xf>
    <xf numFmtId="4" fontId="32" fillId="0" borderId="4" xfId="0" applyNumberFormat="1" applyFont="1" applyBorder="1" applyAlignment="1">
      <alignment horizontal="right" vertical="center"/>
    </xf>
    <xf numFmtId="0" fontId="34" fillId="0" borderId="4" xfId="0" applyFont="1" applyBorder="1" applyAlignment="1" applyProtection="1">
      <alignment horizontal="justify" vertical="center"/>
      <protection locked="0"/>
    </xf>
    <xf numFmtId="43" fontId="3" fillId="0" borderId="35" xfId="1" applyFont="1" applyFill="1" applyBorder="1" applyAlignment="1" applyProtection="1">
      <alignment horizontal="right" vertical="center"/>
      <protection locked="0"/>
    </xf>
    <xf numFmtId="0" fontId="32" fillId="0" borderId="37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4" fontId="21" fillId="0" borderId="17" xfId="0" applyNumberFormat="1" applyFont="1" applyBorder="1" applyAlignment="1">
      <alignment horizontal="right" vertical="center" wrapText="1"/>
    </xf>
    <xf numFmtId="0" fontId="21" fillId="0" borderId="17" xfId="0" applyFont="1" applyBorder="1" applyAlignment="1" applyProtection="1">
      <alignment horizontal="left" vertical="center"/>
      <protection locked="0"/>
    </xf>
    <xf numFmtId="4" fontId="21" fillId="0" borderId="4" xfId="0" applyNumberFormat="1" applyFont="1" applyBorder="1" applyAlignment="1">
      <alignment horizontal="right" vertical="center" wrapText="1"/>
    </xf>
    <xf numFmtId="0" fontId="21" fillId="0" borderId="4" xfId="0" applyFont="1" applyBorder="1" applyAlignment="1" applyProtection="1">
      <alignment horizontal="left" vertical="center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21" fillId="0" borderId="16" xfId="0" applyFont="1" applyBorder="1" applyAlignment="1" applyProtection="1">
      <alignment vertical="center"/>
      <protection locked="0"/>
    </xf>
    <xf numFmtId="4" fontId="21" fillId="0" borderId="17" xfId="0" applyNumberFormat="1" applyFont="1" applyBorder="1" applyAlignment="1" applyProtection="1">
      <alignment horizontal="left" vertical="top"/>
      <protection locked="0"/>
    </xf>
    <xf numFmtId="4" fontId="21" fillId="0" borderId="17" xfId="0" applyNumberFormat="1" applyFont="1" applyBorder="1" applyAlignment="1" applyProtection="1">
      <alignment horizontal="right" vertical="top"/>
      <protection locked="0"/>
    </xf>
    <xf numFmtId="0" fontId="9" fillId="0" borderId="0" xfId="0" applyFont="1" applyAlignment="1" applyProtection="1">
      <alignment vertical="center"/>
      <protection locked="0"/>
    </xf>
    <xf numFmtId="0" fontId="5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54" fillId="0" borderId="0" xfId="0" applyFont="1" applyProtection="1">
      <protection locked="0"/>
    </xf>
    <xf numFmtId="4" fontId="55" fillId="0" borderId="0" xfId="0" applyNumberFormat="1" applyFont="1" applyAlignment="1">
      <alignment horizontal="right" vertical="center"/>
    </xf>
    <xf numFmtId="0" fontId="55" fillId="0" borderId="0" xfId="0" applyFont="1" applyAlignment="1" applyProtection="1">
      <alignment vertical="center"/>
      <protection locked="0"/>
    </xf>
    <xf numFmtId="0" fontId="55" fillId="0" borderId="0" xfId="0" applyFont="1" applyAlignment="1" applyProtection="1">
      <alignment horizontal="center" vertical="center"/>
      <protection locked="0"/>
    </xf>
    <xf numFmtId="0" fontId="31" fillId="0" borderId="0" xfId="0" applyFont="1" applyProtection="1">
      <protection locked="0"/>
    </xf>
    <xf numFmtId="4" fontId="55" fillId="0" borderId="27" xfId="0" applyNumberFormat="1" applyFont="1" applyBorder="1" applyAlignment="1">
      <alignment horizontal="right" vertical="center"/>
    </xf>
    <xf numFmtId="4" fontId="55" fillId="0" borderId="28" xfId="0" applyNumberFormat="1" applyFont="1" applyBorder="1" applyAlignment="1">
      <alignment horizontal="right" vertical="center"/>
    </xf>
    <xf numFmtId="0" fontId="55" fillId="0" borderId="47" xfId="0" applyFont="1" applyBorder="1" applyAlignment="1" applyProtection="1">
      <alignment vertical="center"/>
      <protection locked="0"/>
    </xf>
    <xf numFmtId="0" fontId="55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wrapText="1"/>
      <protection locked="0"/>
    </xf>
    <xf numFmtId="4" fontId="55" fillId="0" borderId="9" xfId="0" applyNumberFormat="1" applyFont="1" applyBorder="1" applyAlignment="1">
      <alignment horizontal="right" vertical="center"/>
    </xf>
    <xf numFmtId="4" fontId="55" fillId="0" borderId="32" xfId="0" applyNumberFormat="1" applyFont="1" applyBorder="1" applyAlignment="1">
      <alignment horizontal="right" vertical="center"/>
    </xf>
    <xf numFmtId="4" fontId="55" fillId="0" borderId="30" xfId="0" applyNumberFormat="1" applyFont="1" applyBorder="1" applyAlignment="1">
      <alignment horizontal="right" vertical="center"/>
    </xf>
    <xf numFmtId="0" fontId="55" fillId="0" borderId="32" xfId="0" applyFont="1" applyBorder="1" applyAlignment="1" applyProtection="1">
      <alignment horizontal="left" vertical="center" wrapText="1"/>
      <protection locked="0"/>
    </xf>
    <xf numFmtId="0" fontId="55" fillId="0" borderId="10" xfId="0" applyFont="1" applyBorder="1" applyAlignment="1" applyProtection="1">
      <alignment horizontal="center" vertical="center"/>
      <protection locked="0"/>
    </xf>
    <xf numFmtId="4" fontId="55" fillId="0" borderId="32" xfId="0" applyNumberFormat="1" applyFont="1" applyBorder="1" applyAlignment="1" applyProtection="1">
      <alignment horizontal="right" vertical="center"/>
      <protection locked="0"/>
    </xf>
    <xf numFmtId="4" fontId="55" fillId="0" borderId="30" xfId="0" applyNumberFormat="1" applyFont="1" applyBorder="1" applyAlignment="1" applyProtection="1">
      <alignment horizontal="right" vertical="center"/>
      <protection locked="0"/>
    </xf>
    <xf numFmtId="0" fontId="55" fillId="0" borderId="32" xfId="0" applyFont="1" applyBorder="1" applyAlignment="1" applyProtection="1">
      <alignment horizontal="center" vertical="center"/>
      <protection locked="0"/>
    </xf>
    <xf numFmtId="0" fontId="55" fillId="4" borderId="48" xfId="0" applyFont="1" applyFill="1" applyBorder="1" applyAlignment="1" applyProtection="1">
      <alignment horizontal="center" vertical="center"/>
      <protection locked="0"/>
    </xf>
    <xf numFmtId="0" fontId="55" fillId="4" borderId="49" xfId="0" applyFont="1" applyFill="1" applyBorder="1" applyAlignment="1" applyProtection="1">
      <alignment horizontal="center" vertical="center"/>
      <protection locked="0"/>
    </xf>
    <xf numFmtId="0" fontId="55" fillId="4" borderId="50" xfId="0" applyFont="1" applyFill="1" applyBorder="1" applyAlignment="1" applyProtection="1">
      <alignment horizontal="center" vertical="center"/>
      <protection locked="0"/>
    </xf>
    <xf numFmtId="0" fontId="55" fillId="0" borderId="32" xfId="0" applyFont="1" applyBorder="1" applyAlignment="1" applyProtection="1">
      <alignment horizontal="left" vertical="center"/>
      <protection locked="0"/>
    </xf>
    <xf numFmtId="0" fontId="55" fillId="4" borderId="51" xfId="0" applyFont="1" applyFill="1" applyBorder="1" applyAlignment="1" applyProtection="1">
      <alignment horizontal="center" vertical="center"/>
      <protection locked="0"/>
    </xf>
    <xf numFmtId="0" fontId="55" fillId="4" borderId="52" xfId="0" applyFont="1" applyFill="1" applyBorder="1" applyAlignment="1" applyProtection="1">
      <alignment horizontal="center" vertical="center"/>
      <protection locked="0"/>
    </xf>
    <xf numFmtId="0" fontId="55" fillId="4" borderId="53" xfId="0" applyFont="1" applyFill="1" applyBorder="1" applyAlignment="1" applyProtection="1">
      <alignment horizontal="center" vertical="center"/>
      <protection locked="0"/>
    </xf>
    <xf numFmtId="0" fontId="55" fillId="0" borderId="54" xfId="0" applyFont="1" applyBorder="1" applyAlignment="1" applyProtection="1">
      <alignment horizontal="center" vertical="center"/>
      <protection locked="0"/>
    </xf>
    <xf numFmtId="0" fontId="55" fillId="0" borderId="55" xfId="0" applyFont="1" applyBorder="1" applyAlignment="1" applyProtection="1">
      <alignment horizontal="center" vertical="center"/>
      <protection locked="0"/>
    </xf>
    <xf numFmtId="0" fontId="55" fillId="0" borderId="31" xfId="0" applyFont="1" applyBorder="1" applyAlignment="1" applyProtection="1">
      <alignment horizontal="center" vertical="center"/>
      <protection locked="0"/>
    </xf>
    <xf numFmtId="0" fontId="55" fillId="0" borderId="7" xfId="0" applyFont="1" applyBorder="1" applyAlignment="1" applyProtection="1">
      <alignment horizontal="center" vertical="center"/>
      <protection locked="0"/>
    </xf>
    <xf numFmtId="0" fontId="55" fillId="0" borderId="36" xfId="0" applyFont="1" applyBorder="1" applyAlignment="1" applyProtection="1">
      <alignment horizontal="center" vertical="center" wrapText="1"/>
      <protection locked="0"/>
    </xf>
    <xf numFmtId="0" fontId="55" fillId="0" borderId="37" xfId="0" applyFont="1" applyBorder="1" applyAlignment="1" applyProtection="1">
      <alignment horizontal="center" vertical="center" wrapText="1"/>
      <protection locked="0"/>
    </xf>
    <xf numFmtId="0" fontId="55" fillId="0" borderId="22" xfId="0" applyFont="1" applyBorder="1" applyAlignment="1" applyProtection="1">
      <alignment horizontal="center" vertical="center" wrapText="1"/>
      <protection locked="0"/>
    </xf>
    <xf numFmtId="0" fontId="55" fillId="0" borderId="33" xfId="0" applyFont="1" applyBorder="1" applyAlignment="1" applyProtection="1">
      <alignment horizontal="center" vertical="center"/>
      <protection locked="0"/>
    </xf>
    <xf numFmtId="0" fontId="55" fillId="0" borderId="11" xfId="0" applyFont="1" applyBorder="1" applyAlignment="1" applyProtection="1">
      <alignment horizontal="center" vertical="center"/>
      <protection locked="0"/>
    </xf>
    <xf numFmtId="0" fontId="56" fillId="0" borderId="0" xfId="0" applyFont="1" applyProtection="1">
      <protection locked="0"/>
    </xf>
    <xf numFmtId="0" fontId="56" fillId="0" borderId="0" xfId="0" applyFont="1" applyAlignment="1" applyProtection="1">
      <alignment horizontal="center"/>
      <protection locked="0"/>
    </xf>
    <xf numFmtId="0" fontId="21" fillId="0" borderId="0" xfId="0" applyFont="1" applyAlignment="1">
      <alignment horizontal="center" vertical="top"/>
    </xf>
    <xf numFmtId="4" fontId="55" fillId="0" borderId="1" xfId="0" applyNumberFormat="1" applyFont="1" applyBorder="1" applyAlignment="1">
      <alignment horizontal="right" vertical="center"/>
    </xf>
    <xf numFmtId="0" fontId="55" fillId="0" borderId="9" xfId="0" applyFont="1" applyBorder="1" applyAlignment="1" applyProtection="1">
      <alignment horizontal="center" vertical="center"/>
      <protection locked="0"/>
    </xf>
    <xf numFmtId="0" fontId="55" fillId="0" borderId="30" xfId="0" applyFont="1" applyBorder="1" applyAlignment="1" applyProtection="1">
      <alignment horizontal="center" vertical="center"/>
      <protection locked="0"/>
    </xf>
    <xf numFmtId="0" fontId="55" fillId="0" borderId="34" xfId="0" applyFont="1" applyBorder="1" applyAlignment="1" applyProtection="1">
      <alignment horizontal="center" vertical="center"/>
      <protection locked="0"/>
    </xf>
    <xf numFmtId="0" fontId="55" fillId="0" borderId="35" xfId="0" applyFont="1" applyBorder="1" applyAlignment="1" applyProtection="1">
      <alignment horizontal="center" vertical="center"/>
      <protection locked="0"/>
    </xf>
    <xf numFmtId="0" fontId="55" fillId="0" borderId="36" xfId="0" applyFont="1" applyBorder="1" applyAlignment="1" applyProtection="1">
      <alignment horizontal="center" vertical="center"/>
      <protection locked="0"/>
    </xf>
    <xf numFmtId="0" fontId="55" fillId="0" borderId="37" xfId="0" applyFont="1" applyBorder="1" applyAlignment="1" applyProtection="1">
      <alignment horizontal="center" vertic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right"/>
      <protection locked="0"/>
    </xf>
    <xf numFmtId="0" fontId="22" fillId="0" borderId="0" xfId="0" applyFont="1" applyProtection="1">
      <protection locked="0"/>
    </xf>
  </cellXfs>
  <cellStyles count="4">
    <cellStyle name="Millares" xfId="1" builtinId="3"/>
    <cellStyle name="Millares 5" xfId="3" xr:uid="{EBB0DC06-8AB3-4D13-AD20-9E67E6C30A9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41ACF9B7-49CE-44C4-BF2D-5045CF4DA666}"/>
            </a:ext>
          </a:extLst>
        </xdr:cNvPr>
        <xdr:cNvSpPr txBox="1"/>
      </xdr:nvSpPr>
      <xdr:spPr>
        <a:xfrm>
          <a:off x="0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2</xdr:row>
      <xdr:rowOff>142875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A37CDF99-311B-45D9-B95F-D763E062B5CC}"/>
            </a:ext>
          </a:extLst>
        </xdr:cNvPr>
        <xdr:cNvSpPr txBox="1"/>
      </xdr:nvSpPr>
      <xdr:spPr>
        <a:xfrm>
          <a:off x="0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987259</xdr:colOff>
      <xdr:row>0</xdr:row>
      <xdr:rowOff>0</xdr:rowOff>
    </xdr:from>
    <xdr:ext cx="898003" cy="254557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C025ACD-0D52-45B2-AA82-804A0A411C68}"/>
            </a:ext>
          </a:extLst>
        </xdr:cNvPr>
        <xdr:cNvSpPr txBox="1"/>
      </xdr:nvSpPr>
      <xdr:spPr>
        <a:xfrm>
          <a:off x="5263984" y="0"/>
          <a:ext cx="898003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ETCA-II-01</a:t>
          </a:r>
        </a:p>
      </xdr:txBody>
    </xdr:sp>
    <xdr:clientData/>
  </xdr:oneCellAnchor>
  <xdr:oneCellAnchor>
    <xdr:from>
      <xdr:col>1</xdr:col>
      <xdr:colOff>0</xdr:colOff>
      <xdr:row>2</xdr:row>
      <xdr:rowOff>142875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F2E24E5E-9D33-4285-8F11-0AF5FD1949C9}"/>
            </a:ext>
          </a:extLst>
        </xdr:cNvPr>
        <xdr:cNvSpPr txBox="1"/>
      </xdr:nvSpPr>
      <xdr:spPr>
        <a:xfrm>
          <a:off x="75247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</xdr:row>
      <xdr:rowOff>142875</xdr:rowOff>
    </xdr:from>
    <xdr:ext cx="184731" cy="264560"/>
    <xdr:sp macro="" textlink="">
      <xdr:nvSpPr>
        <xdr:cNvPr id="6" name="2 CuadroTexto">
          <a:extLst>
            <a:ext uri="{FF2B5EF4-FFF2-40B4-BE49-F238E27FC236}">
              <a16:creationId xmlns:a16="http://schemas.microsoft.com/office/drawing/2014/main" id="{BDA4249F-CAA3-445E-9EB4-151928CB8B47}"/>
            </a:ext>
          </a:extLst>
        </xdr:cNvPr>
        <xdr:cNvSpPr txBox="1"/>
      </xdr:nvSpPr>
      <xdr:spPr>
        <a:xfrm>
          <a:off x="75247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2</xdr:row>
      <xdr:rowOff>142875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9EB90381-B276-4E6E-982F-7231CAAA402D}"/>
            </a:ext>
          </a:extLst>
        </xdr:cNvPr>
        <xdr:cNvSpPr txBox="1"/>
      </xdr:nvSpPr>
      <xdr:spPr>
        <a:xfrm>
          <a:off x="526732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45</xdr:row>
      <xdr:rowOff>9524</xdr:rowOff>
    </xdr:from>
    <xdr:ext cx="3019425" cy="695325"/>
    <xdr:sp macro="" textlink="">
      <xdr:nvSpPr>
        <xdr:cNvPr id="8" name="CuadroTexto 5">
          <a:extLst>
            <a:ext uri="{FF2B5EF4-FFF2-40B4-BE49-F238E27FC236}">
              <a16:creationId xmlns:a16="http://schemas.microsoft.com/office/drawing/2014/main" id="{2817F878-A781-4932-AE0E-DF2F87AEE780}"/>
            </a:ext>
          </a:extLst>
        </xdr:cNvPr>
        <xdr:cNvSpPr txBox="1"/>
      </xdr:nvSpPr>
      <xdr:spPr>
        <a:xfrm>
          <a:off x="752475" y="8582024"/>
          <a:ext cx="3019425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LEONOR AMPARO LANDAVAZO GUTIERREZ</a:t>
          </a:r>
        </a:p>
        <a:p>
          <a:pPr algn="ctr"/>
          <a:r>
            <a:rPr lang="es-MX" sz="1100"/>
            <a:t>DIRECTOR ADMINISTRATIVO</a:t>
          </a:r>
        </a:p>
        <a:p>
          <a:pPr algn="ctr"/>
          <a:endParaRPr lang="es-MX" sz="1100"/>
        </a:p>
      </xdr:txBody>
    </xdr:sp>
    <xdr:clientData/>
  </xdr:oneCellAnchor>
  <xdr:oneCellAnchor>
    <xdr:from>
      <xdr:col>4</xdr:col>
      <xdr:colOff>0</xdr:colOff>
      <xdr:row>45</xdr:row>
      <xdr:rowOff>19049</xdr:rowOff>
    </xdr:from>
    <xdr:ext cx="3343275" cy="619125"/>
    <xdr:sp macro="" textlink="">
      <xdr:nvSpPr>
        <xdr:cNvPr id="9" name="CuadroTexto 5">
          <a:extLst>
            <a:ext uri="{FF2B5EF4-FFF2-40B4-BE49-F238E27FC236}">
              <a16:creationId xmlns:a16="http://schemas.microsoft.com/office/drawing/2014/main" id="{8A206CF7-5B41-4147-AE73-546F848C36DF}"/>
            </a:ext>
          </a:extLst>
        </xdr:cNvPr>
        <xdr:cNvSpPr txBox="1"/>
      </xdr:nvSpPr>
      <xdr:spPr>
        <a:xfrm>
          <a:off x="3009900" y="8591549"/>
          <a:ext cx="3343275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MARIO ALBERTO MERINO DIAZ</a:t>
          </a:r>
        </a:p>
        <a:p>
          <a:pPr algn="ctr"/>
          <a:r>
            <a:rPr lang="es-MX" sz="1100"/>
            <a:t>DIRECTOR GENERAL DE ADMINISTRACION Y FINANZAS</a:t>
          </a:r>
        </a:p>
      </xdr:txBody>
    </xdr:sp>
    <xdr:clientData/>
  </xdr:oneCellAnchor>
  <xdr:oneCellAnchor>
    <xdr:from>
      <xdr:col>5</xdr:col>
      <xdr:colOff>47625</xdr:colOff>
      <xdr:row>2</xdr:row>
      <xdr:rowOff>133350</xdr:rowOff>
    </xdr:from>
    <xdr:ext cx="2790824" cy="254557"/>
    <xdr:sp macro="" textlink="">
      <xdr:nvSpPr>
        <xdr:cNvPr id="10" name="10 CuadroTexto">
          <a:extLst>
            <a:ext uri="{FF2B5EF4-FFF2-40B4-BE49-F238E27FC236}">
              <a16:creationId xmlns:a16="http://schemas.microsoft.com/office/drawing/2014/main" id="{C0C0F82D-94BC-40E4-B9D0-A833B073E30E}"/>
            </a:ext>
          </a:extLst>
        </xdr:cNvPr>
        <xdr:cNvSpPr txBox="1"/>
      </xdr:nvSpPr>
      <xdr:spPr>
        <a:xfrm>
          <a:off x="3810000" y="51435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:_TERCERO______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CC9E09F7-BBA3-42D4-95DF-F79033638A26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504F21FD-5CA4-4C24-B367-8C5D80D9C932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E94999FE-E9D6-4CDC-8B86-9CF7CF0668C5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9F99D229-B377-4A52-9D48-C615130E92F3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1EB96AA4-4804-4964-834B-1B9D2320DBBE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5094546A-443E-4A6A-A1A4-B02455CD682D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8" name="4 CuadroTexto">
          <a:extLst>
            <a:ext uri="{FF2B5EF4-FFF2-40B4-BE49-F238E27FC236}">
              <a16:creationId xmlns:a16="http://schemas.microsoft.com/office/drawing/2014/main" id="{A9FE278F-515F-4CF3-B090-1A9D0547F0E0}"/>
            </a:ext>
          </a:extLst>
        </xdr:cNvPr>
        <xdr:cNvSpPr txBox="1"/>
      </xdr:nvSpPr>
      <xdr:spPr>
        <a:xfrm>
          <a:off x="45148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AE693BF8-97F6-40E2-B34E-0EBC22E67D74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9F7F1C5F-731A-4901-95F3-A56BEA081862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201029BA-3114-423D-9FEC-465193C71FB5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C2A1A37E-4B0C-415E-AAF9-C958E3A24C0B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13" name="4 CuadroTexto">
          <a:extLst>
            <a:ext uri="{FF2B5EF4-FFF2-40B4-BE49-F238E27FC236}">
              <a16:creationId xmlns:a16="http://schemas.microsoft.com/office/drawing/2014/main" id="{02F790B4-CC47-49A7-80CB-63B01137C373}"/>
            </a:ext>
          </a:extLst>
        </xdr:cNvPr>
        <xdr:cNvSpPr txBox="1"/>
      </xdr:nvSpPr>
      <xdr:spPr>
        <a:xfrm>
          <a:off x="45148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43B8D2F5-2827-40C4-989E-64A92C7B0930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C6303E80-63C4-485B-929B-EC0AA6A6E102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72E87B74-CE26-409E-B0D4-7E770F85FD7F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B294CC18-74B4-4E63-B16A-6B9133A41833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0</xdr:colOff>
      <xdr:row>3</xdr:row>
      <xdr:rowOff>142875</xdr:rowOff>
    </xdr:from>
    <xdr:ext cx="184731" cy="264560"/>
    <xdr:sp macro="" textlink="">
      <xdr:nvSpPr>
        <xdr:cNvPr id="18" name="4 CuadroTexto">
          <a:extLst>
            <a:ext uri="{FF2B5EF4-FFF2-40B4-BE49-F238E27FC236}">
              <a16:creationId xmlns:a16="http://schemas.microsoft.com/office/drawing/2014/main" id="{051833BB-9E59-4CEC-8FD9-C7D270BFD872}"/>
            </a:ext>
          </a:extLst>
        </xdr:cNvPr>
        <xdr:cNvSpPr txBox="1"/>
      </xdr:nvSpPr>
      <xdr:spPr>
        <a:xfrm>
          <a:off x="37623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355738</xdr:colOff>
      <xdr:row>0</xdr:row>
      <xdr:rowOff>49695</xdr:rowOff>
    </xdr:from>
    <xdr:ext cx="1478446" cy="254557"/>
    <xdr:sp macro="" textlink="">
      <xdr:nvSpPr>
        <xdr:cNvPr id="19" name="11 CuadroTexto">
          <a:extLst>
            <a:ext uri="{FF2B5EF4-FFF2-40B4-BE49-F238E27FC236}">
              <a16:creationId xmlns:a16="http://schemas.microsoft.com/office/drawing/2014/main" id="{BDD4B3CF-DE21-4809-A88C-70C443B09E69}"/>
            </a:ext>
          </a:extLst>
        </xdr:cNvPr>
        <xdr:cNvSpPr txBox="1"/>
      </xdr:nvSpPr>
      <xdr:spPr>
        <a:xfrm>
          <a:off x="4118113" y="49695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ETCA-II-10</a:t>
          </a:r>
        </a:p>
      </xdr:txBody>
    </xdr:sp>
    <xdr:clientData/>
  </xdr:oneCellAnchor>
  <xdr:oneCellAnchor>
    <xdr:from>
      <xdr:col>3</xdr:col>
      <xdr:colOff>800100</xdr:colOff>
      <xdr:row>3</xdr:row>
      <xdr:rowOff>133350</xdr:rowOff>
    </xdr:from>
    <xdr:ext cx="2790824" cy="254557"/>
    <xdr:sp macro="" textlink="">
      <xdr:nvSpPr>
        <xdr:cNvPr id="20" name="4 CuadroTexto">
          <a:extLst>
            <a:ext uri="{FF2B5EF4-FFF2-40B4-BE49-F238E27FC236}">
              <a16:creationId xmlns:a16="http://schemas.microsoft.com/office/drawing/2014/main" id="{2B597F0D-4B2D-4F43-A0EE-F84B4E00958A}"/>
            </a:ext>
          </a:extLst>
        </xdr:cNvPr>
        <xdr:cNvSpPr txBox="1"/>
      </xdr:nvSpPr>
      <xdr:spPr>
        <a:xfrm>
          <a:off x="3009900" y="70485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TERCERO</a:t>
          </a:r>
        </a:p>
      </xdr:txBody>
    </xdr:sp>
    <xdr:clientData/>
  </xdr:oneCellAnchor>
  <xdr:oneCellAnchor>
    <xdr:from>
      <xdr:col>0</xdr:col>
      <xdr:colOff>762000</xdr:colOff>
      <xdr:row>23</xdr:row>
      <xdr:rowOff>95250</xdr:rowOff>
    </xdr:from>
    <xdr:ext cx="3429000" cy="666749"/>
    <xdr:sp macro="" textlink="">
      <xdr:nvSpPr>
        <xdr:cNvPr id="21" name="CuadroTexto 5">
          <a:extLst>
            <a:ext uri="{FF2B5EF4-FFF2-40B4-BE49-F238E27FC236}">
              <a16:creationId xmlns:a16="http://schemas.microsoft.com/office/drawing/2014/main" id="{64D9672D-9911-49A5-AFA7-990AB482DA90}"/>
            </a:ext>
          </a:extLst>
        </xdr:cNvPr>
        <xdr:cNvSpPr txBox="1"/>
      </xdr:nvSpPr>
      <xdr:spPr>
        <a:xfrm>
          <a:off x="752475" y="4476750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           _____________________________________</a:t>
          </a:r>
        </a:p>
        <a:p>
          <a:pPr algn="ctr"/>
          <a:r>
            <a:rPr lang="es-MX" sz="1100" baseline="0"/>
            <a:t>C.P. LEONOR AMPARO LANDAVAZO GUTIERREZ</a:t>
          </a:r>
        </a:p>
        <a:p>
          <a:pPr algn="ctr"/>
          <a:r>
            <a:rPr lang="es-MX" sz="1100" baseline="0"/>
            <a:t>DIRECTOR ADMINISTRATIVO</a:t>
          </a:r>
        </a:p>
      </xdr:txBody>
    </xdr:sp>
    <xdr:clientData/>
  </xdr:oneCellAnchor>
  <xdr:oneCellAnchor>
    <xdr:from>
      <xdr:col>2</xdr:col>
      <xdr:colOff>818178</xdr:colOff>
      <xdr:row>23</xdr:row>
      <xdr:rowOff>114300</xdr:rowOff>
    </xdr:from>
    <xdr:ext cx="3181350" cy="628650"/>
    <xdr:sp macro="" textlink="">
      <xdr:nvSpPr>
        <xdr:cNvPr id="22" name="CuadroTexto 5">
          <a:extLst>
            <a:ext uri="{FF2B5EF4-FFF2-40B4-BE49-F238E27FC236}">
              <a16:creationId xmlns:a16="http://schemas.microsoft.com/office/drawing/2014/main" id="{32BF70C2-CF9D-4340-8EC3-9C6B21933FCF}"/>
            </a:ext>
          </a:extLst>
        </xdr:cNvPr>
        <xdr:cNvSpPr txBox="1"/>
      </xdr:nvSpPr>
      <xdr:spPr>
        <a:xfrm>
          <a:off x="2256453" y="4495800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MARIO ALBERTO MERINO DIAZ</a:t>
          </a:r>
        </a:p>
        <a:p>
          <a:pPr algn="ctr"/>
          <a:r>
            <a:rPr lang="es-MX" sz="1100"/>
            <a:t>DIRECTOR GENERAL DE ADMINISTRACION Y FINANZAS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733425</xdr:colOff>
      <xdr:row>3</xdr:row>
      <xdr:rowOff>142875</xdr:rowOff>
    </xdr:from>
    <xdr:ext cx="838200" cy="264560"/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459E7578-7592-47B5-A20A-CBEC8DD65D93}"/>
            </a:ext>
          </a:extLst>
        </xdr:cNvPr>
        <xdr:cNvSpPr txBox="1"/>
      </xdr:nvSpPr>
      <xdr:spPr>
        <a:xfrm>
          <a:off x="1495425" y="714375"/>
          <a:ext cx="8382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72281B-2D84-4C4C-B890-3305BEF1EFD5}"/>
            </a:ext>
          </a:extLst>
        </xdr:cNvPr>
        <xdr:cNvSpPr txBox="1"/>
      </xdr:nvSpPr>
      <xdr:spPr>
        <a:xfrm>
          <a:off x="76200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EEE9234B-9884-4B57-B89D-6CCE971082A5}"/>
            </a:ext>
          </a:extLst>
        </xdr:cNvPr>
        <xdr:cNvSpPr txBox="1"/>
      </xdr:nvSpPr>
      <xdr:spPr>
        <a:xfrm>
          <a:off x="76200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978CFB67-84C2-4EC4-BB61-C6556918BBF0}"/>
            </a:ext>
          </a:extLst>
        </xdr:cNvPr>
        <xdr:cNvSpPr txBox="1"/>
      </xdr:nvSpPr>
      <xdr:spPr>
        <a:xfrm>
          <a:off x="76200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BBB6A693-B59D-4FD3-BD11-96E7572BD12F}"/>
            </a:ext>
          </a:extLst>
        </xdr:cNvPr>
        <xdr:cNvSpPr txBox="1"/>
      </xdr:nvSpPr>
      <xdr:spPr>
        <a:xfrm>
          <a:off x="76200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0</xdr:colOff>
      <xdr:row>3</xdr:row>
      <xdr:rowOff>142875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492C0355-2D45-4173-9155-1C663815A6E5}"/>
            </a:ext>
          </a:extLst>
        </xdr:cNvPr>
        <xdr:cNvSpPr txBox="1"/>
      </xdr:nvSpPr>
      <xdr:spPr>
        <a:xfrm>
          <a:off x="381000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22363</xdr:colOff>
      <xdr:row>0</xdr:row>
      <xdr:rowOff>49695</xdr:rowOff>
    </xdr:from>
    <xdr:ext cx="1478446" cy="254557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DE18F631-9A91-48E9-B070-18DB1198E5BF}"/>
            </a:ext>
          </a:extLst>
        </xdr:cNvPr>
        <xdr:cNvSpPr txBox="1"/>
      </xdr:nvSpPr>
      <xdr:spPr>
        <a:xfrm>
          <a:off x="3832363" y="49695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ETCA-II-11</a:t>
          </a:r>
        </a:p>
      </xdr:txBody>
    </xdr:sp>
    <xdr:clientData/>
  </xdr:oneCellAnchor>
  <xdr:oneCellAnchor>
    <xdr:from>
      <xdr:col>3</xdr:col>
      <xdr:colOff>148167</xdr:colOff>
      <xdr:row>3</xdr:row>
      <xdr:rowOff>179917</xdr:rowOff>
    </xdr:from>
    <xdr:ext cx="2790824" cy="254557"/>
    <xdr:sp macro="" textlink="">
      <xdr:nvSpPr>
        <xdr:cNvPr id="9" name="4 CuadroTexto">
          <a:extLst>
            <a:ext uri="{FF2B5EF4-FFF2-40B4-BE49-F238E27FC236}">
              <a16:creationId xmlns:a16="http://schemas.microsoft.com/office/drawing/2014/main" id="{D95C7E01-A7D4-4734-8C25-ABB072976B8D}"/>
            </a:ext>
          </a:extLst>
        </xdr:cNvPr>
        <xdr:cNvSpPr txBox="1"/>
      </xdr:nvSpPr>
      <xdr:spPr>
        <a:xfrm>
          <a:off x="2434167" y="751417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TERCERO</a:t>
          </a:r>
        </a:p>
      </xdr:txBody>
    </xdr:sp>
    <xdr:clientData/>
  </xdr:oneCellAnchor>
  <xdr:oneCellAnchor>
    <xdr:from>
      <xdr:col>7</xdr:col>
      <xdr:colOff>518583</xdr:colOff>
      <xdr:row>3</xdr:row>
      <xdr:rowOff>179917</xdr:rowOff>
    </xdr:from>
    <xdr:ext cx="5365750" cy="666749"/>
    <xdr:sp macro="" textlink="">
      <xdr:nvSpPr>
        <xdr:cNvPr id="10" name="CuadroTexto 5">
          <a:extLst>
            <a:ext uri="{FF2B5EF4-FFF2-40B4-BE49-F238E27FC236}">
              <a16:creationId xmlns:a16="http://schemas.microsoft.com/office/drawing/2014/main" id="{230BF76F-219D-431D-A8C5-CFBC30F1B2DC}"/>
            </a:ext>
          </a:extLst>
        </xdr:cNvPr>
        <xdr:cNvSpPr txBox="1"/>
      </xdr:nvSpPr>
      <xdr:spPr>
        <a:xfrm flipH="1">
          <a:off x="5852583" y="751417"/>
          <a:ext cx="536575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670982</xdr:colOff>
      <xdr:row>4</xdr:row>
      <xdr:rowOff>120650</xdr:rowOff>
    </xdr:from>
    <xdr:ext cx="2631017" cy="666749"/>
    <xdr:sp macro="" textlink="">
      <xdr:nvSpPr>
        <xdr:cNvPr id="11" name="CuadroTexto 5">
          <a:extLst>
            <a:ext uri="{FF2B5EF4-FFF2-40B4-BE49-F238E27FC236}">
              <a16:creationId xmlns:a16="http://schemas.microsoft.com/office/drawing/2014/main" id="{D24C8B2F-4D36-41BA-B792-5DAF21B8C898}"/>
            </a:ext>
          </a:extLst>
        </xdr:cNvPr>
        <xdr:cNvSpPr txBox="1"/>
      </xdr:nvSpPr>
      <xdr:spPr>
        <a:xfrm flipH="1">
          <a:off x="6004982" y="882650"/>
          <a:ext cx="2631017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273050</xdr:colOff>
      <xdr:row>43</xdr:row>
      <xdr:rowOff>148168</xdr:rowOff>
    </xdr:from>
    <xdr:ext cx="3429000" cy="723898"/>
    <xdr:sp macro="" textlink="">
      <xdr:nvSpPr>
        <xdr:cNvPr id="12" name="CuadroTexto 5">
          <a:extLst>
            <a:ext uri="{FF2B5EF4-FFF2-40B4-BE49-F238E27FC236}">
              <a16:creationId xmlns:a16="http://schemas.microsoft.com/office/drawing/2014/main" id="{47CD81BA-5405-4877-A727-FD803082FCCE}"/>
            </a:ext>
          </a:extLst>
        </xdr:cNvPr>
        <xdr:cNvSpPr txBox="1"/>
      </xdr:nvSpPr>
      <xdr:spPr>
        <a:xfrm>
          <a:off x="273050" y="8339668"/>
          <a:ext cx="3429000" cy="723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           _____________________________________</a:t>
          </a:r>
        </a:p>
        <a:p>
          <a:pPr algn="ctr"/>
          <a:r>
            <a:rPr lang="es-MX" sz="1100"/>
            <a:t>C.P. LEONOR AMPARO LANDAVAZO GUTIERREZ</a:t>
          </a:r>
        </a:p>
        <a:p>
          <a:pPr algn="ctr"/>
          <a:r>
            <a:rPr lang="es-MX" sz="1100"/>
            <a:t>DIRECTOR ADMINISTRATIVO</a:t>
          </a:r>
        </a:p>
      </xdr:txBody>
    </xdr:sp>
    <xdr:clientData/>
  </xdr:oneCellAnchor>
  <xdr:oneCellAnchor>
    <xdr:from>
      <xdr:col>2</xdr:col>
      <xdr:colOff>529166</xdr:colOff>
      <xdr:row>43</xdr:row>
      <xdr:rowOff>116418</xdr:rowOff>
    </xdr:from>
    <xdr:ext cx="3293621" cy="662516"/>
    <xdr:sp macro="" textlink="">
      <xdr:nvSpPr>
        <xdr:cNvPr id="13" name="CuadroTexto 5">
          <a:extLst>
            <a:ext uri="{FF2B5EF4-FFF2-40B4-BE49-F238E27FC236}">
              <a16:creationId xmlns:a16="http://schemas.microsoft.com/office/drawing/2014/main" id="{474B4A74-5F7A-4F8D-A925-9617044FFA87}"/>
            </a:ext>
          </a:extLst>
        </xdr:cNvPr>
        <xdr:cNvSpPr txBox="1"/>
      </xdr:nvSpPr>
      <xdr:spPr>
        <a:xfrm>
          <a:off x="2053166" y="8307918"/>
          <a:ext cx="3293621" cy="6625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MARIO ALBERTO MERINO DIAZ</a:t>
          </a:r>
        </a:p>
        <a:p>
          <a:pPr algn="ctr"/>
          <a:r>
            <a:rPr lang="es-MX" sz="1100"/>
            <a:t>DIRECTOR GENERAL DE ADMINISTRACION Y FINANZAS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805392</xdr:colOff>
      <xdr:row>1</xdr:row>
      <xdr:rowOff>10583</xdr:rowOff>
    </xdr:from>
    <xdr:ext cx="923924" cy="306917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58AD57DC-44D9-4A08-A3FF-E0406076276C}"/>
            </a:ext>
          </a:extLst>
        </xdr:cNvPr>
        <xdr:cNvSpPr txBox="1"/>
      </xdr:nvSpPr>
      <xdr:spPr>
        <a:xfrm>
          <a:off x="5329767" y="201083"/>
          <a:ext cx="923924" cy="3069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ETCA-II-12</a:t>
          </a:r>
        </a:p>
      </xdr:txBody>
    </xdr:sp>
    <xdr:clientData/>
  </xdr:oneCellAnchor>
  <xdr:oneCellAnchor>
    <xdr:from>
      <xdr:col>4</xdr:col>
      <xdr:colOff>169333</xdr:colOff>
      <xdr:row>3</xdr:row>
      <xdr:rowOff>31750</xdr:rowOff>
    </xdr:from>
    <xdr:ext cx="2790824" cy="254557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D3CC363C-60D2-4FEE-B827-E422481AE488}"/>
            </a:ext>
          </a:extLst>
        </xdr:cNvPr>
        <xdr:cNvSpPr txBox="1"/>
      </xdr:nvSpPr>
      <xdr:spPr>
        <a:xfrm>
          <a:off x="3217333" y="60325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TERCERO</a:t>
          </a:r>
        </a:p>
      </xdr:txBody>
    </xdr:sp>
    <xdr:clientData/>
  </xdr:oneCellAnchor>
  <xdr:oneCellAnchor>
    <xdr:from>
      <xdr:col>1</xdr:col>
      <xdr:colOff>920750</xdr:colOff>
      <xdr:row>82</xdr:row>
      <xdr:rowOff>10584</xdr:rowOff>
    </xdr:from>
    <xdr:ext cx="3344334" cy="666749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F72B3D46-33B3-4426-B757-F8044322A8F9}"/>
            </a:ext>
          </a:extLst>
        </xdr:cNvPr>
        <xdr:cNvSpPr txBox="1"/>
      </xdr:nvSpPr>
      <xdr:spPr>
        <a:xfrm>
          <a:off x="1520825" y="15631584"/>
          <a:ext cx="3344334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           _____________________________________</a:t>
          </a:r>
        </a:p>
        <a:p>
          <a:pPr algn="ctr"/>
          <a:r>
            <a:rPr lang="es-MX" sz="1100"/>
            <a:t>C.P. LEONOR AMPARO LANDAVAZO GUTIERREZ</a:t>
          </a:r>
        </a:p>
        <a:p>
          <a:pPr algn="ctr"/>
          <a:r>
            <a:rPr lang="es-MX" sz="1100"/>
            <a:t>DIRECTOR ADMINISTRATIVO</a:t>
          </a:r>
        </a:p>
      </xdr:txBody>
    </xdr:sp>
    <xdr:clientData/>
  </xdr:oneCellAnchor>
  <xdr:oneCellAnchor>
    <xdr:from>
      <xdr:col>4</xdr:col>
      <xdr:colOff>421303</xdr:colOff>
      <xdr:row>81</xdr:row>
      <xdr:rowOff>188384</xdr:rowOff>
    </xdr:from>
    <xdr:ext cx="3181350" cy="628650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2328965B-46A8-4414-88AF-69FDB61624CE}"/>
            </a:ext>
          </a:extLst>
        </xdr:cNvPr>
        <xdr:cNvSpPr txBox="1"/>
      </xdr:nvSpPr>
      <xdr:spPr>
        <a:xfrm>
          <a:off x="3469303" y="15618884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MARIO ALBERTO MERINO DIAZ</a:t>
          </a:r>
        </a:p>
        <a:p>
          <a:pPr algn="ctr"/>
          <a:r>
            <a:rPr lang="es-MX" sz="1100"/>
            <a:t>DIRECTOR GENERAL DE ADMINISTRACION Y FINANZAS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266700</xdr:colOff>
      <xdr:row>0</xdr:row>
      <xdr:rowOff>133350</xdr:rowOff>
    </xdr:from>
    <xdr:ext cx="1226791" cy="255134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1EEF098F-BA6A-4E41-8093-A5907C4266A5}"/>
            </a:ext>
          </a:extLst>
        </xdr:cNvPr>
        <xdr:cNvSpPr txBox="1"/>
      </xdr:nvSpPr>
      <xdr:spPr>
        <a:xfrm>
          <a:off x="5600700" y="133350"/>
          <a:ext cx="1226791" cy="25513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ETCA-II-13</a:t>
          </a:r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3A6F508F-8AEC-488F-ACB3-9D5A5A8D08CF}"/>
            </a:ext>
          </a:extLst>
        </xdr:cNvPr>
        <xdr:cNvSpPr txBox="1"/>
      </xdr:nvSpPr>
      <xdr:spPr>
        <a:xfrm>
          <a:off x="5334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1009650</xdr:colOff>
      <xdr:row>4</xdr:row>
      <xdr:rowOff>85725</xdr:rowOff>
    </xdr:from>
    <xdr:ext cx="2790824" cy="254557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49824286-8D41-4FC1-9716-0A36D7011038}"/>
            </a:ext>
          </a:extLst>
        </xdr:cNvPr>
        <xdr:cNvSpPr txBox="1"/>
      </xdr:nvSpPr>
      <xdr:spPr>
        <a:xfrm>
          <a:off x="4572000" y="84772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TERCERO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457201</xdr:colOff>
      <xdr:row>0</xdr:row>
      <xdr:rowOff>21668</xdr:rowOff>
    </xdr:from>
    <xdr:ext cx="1087426" cy="254557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C49F7146-B41D-4047-9511-9240E44026FF}"/>
            </a:ext>
          </a:extLst>
        </xdr:cNvPr>
        <xdr:cNvSpPr txBox="1"/>
      </xdr:nvSpPr>
      <xdr:spPr>
        <a:xfrm>
          <a:off x="4267201" y="21668"/>
          <a:ext cx="108742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ETCA-II-14</a:t>
          </a:r>
        </a:p>
      </xdr:txBody>
    </xdr:sp>
    <xdr:clientData/>
  </xdr:oneCellAnchor>
  <xdr:oneCellAnchor>
    <xdr:from>
      <xdr:col>3</xdr:col>
      <xdr:colOff>247650</xdr:colOff>
      <xdr:row>3</xdr:row>
      <xdr:rowOff>171450</xdr:rowOff>
    </xdr:from>
    <xdr:ext cx="2790824" cy="254557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997B1711-3D31-44A5-AF28-6E48EEE87004}"/>
            </a:ext>
          </a:extLst>
        </xdr:cNvPr>
        <xdr:cNvSpPr txBox="1"/>
      </xdr:nvSpPr>
      <xdr:spPr>
        <a:xfrm>
          <a:off x="2533650" y="74295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TERCERO</a:t>
          </a:r>
        </a:p>
      </xdr:txBody>
    </xdr:sp>
    <xdr:clientData/>
  </xdr:oneCellAnchor>
  <xdr:oneCellAnchor>
    <xdr:from>
      <xdr:col>0</xdr:col>
      <xdr:colOff>0</xdr:colOff>
      <xdr:row>34</xdr:row>
      <xdr:rowOff>107950</xdr:rowOff>
    </xdr:from>
    <xdr:ext cx="3429000" cy="666749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CA7E32DF-A00E-4F8F-964F-A548937E9882}"/>
            </a:ext>
          </a:extLst>
        </xdr:cNvPr>
        <xdr:cNvSpPr txBox="1"/>
      </xdr:nvSpPr>
      <xdr:spPr>
        <a:xfrm>
          <a:off x="0" y="6584950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_____________________________________</a:t>
          </a:r>
          <a:endParaRPr lang="es-MX">
            <a:effectLst/>
          </a:endParaRP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LEONOR AMPARO LANDAVAZO GUTIERREZ</a:t>
          </a:r>
          <a:endParaRPr lang="es-MX">
            <a:effectLst/>
          </a:endParaRP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ADMINISTRATIVO</a:t>
          </a:r>
          <a:endParaRPr lang="es-MX">
            <a:effectLst/>
          </a:endParaRPr>
        </a:p>
      </xdr:txBody>
    </xdr:sp>
    <xdr:clientData/>
  </xdr:oneCellAnchor>
  <xdr:oneCellAnchor>
    <xdr:from>
      <xdr:col>2</xdr:col>
      <xdr:colOff>751503</xdr:colOff>
      <xdr:row>34</xdr:row>
      <xdr:rowOff>123825</xdr:rowOff>
    </xdr:from>
    <xdr:ext cx="3181350" cy="628650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FC94F5D3-0430-4FAD-841F-D309EE7FBAF7}"/>
            </a:ext>
          </a:extLst>
        </xdr:cNvPr>
        <xdr:cNvSpPr txBox="1"/>
      </xdr:nvSpPr>
      <xdr:spPr>
        <a:xfrm>
          <a:off x="2275503" y="6600825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MARIO ALBERTO MERINO DIAZ</a:t>
          </a:r>
        </a:p>
        <a:p>
          <a:pPr algn="ctr"/>
          <a:r>
            <a:rPr lang="es-MX" sz="1100"/>
            <a:t>DIRECTOR GENERAL DE ADMINISTRACION Y FINANZAS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EEE113DA-6C3C-4993-9B91-E0F32A2D0386}"/>
            </a:ext>
          </a:extLst>
        </xdr:cNvPr>
        <xdr:cNvSpPr txBox="1"/>
      </xdr:nvSpPr>
      <xdr:spPr>
        <a:xfrm>
          <a:off x="0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776459</xdr:colOff>
      <xdr:row>0</xdr:row>
      <xdr:rowOff>0</xdr:rowOff>
    </xdr:from>
    <xdr:ext cx="898003" cy="254557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B99584EE-7D80-43A5-A068-1BE75A81D9FC}"/>
            </a:ext>
          </a:extLst>
        </xdr:cNvPr>
        <xdr:cNvSpPr txBox="1"/>
      </xdr:nvSpPr>
      <xdr:spPr>
        <a:xfrm>
          <a:off x="2252834" y="0"/>
          <a:ext cx="898003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ETCA-II-15</a:t>
          </a:r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EDBE3211-B631-4D91-9694-8EDBF8CD5081}"/>
            </a:ext>
          </a:extLst>
        </xdr:cNvPr>
        <xdr:cNvSpPr txBox="1"/>
      </xdr:nvSpPr>
      <xdr:spPr>
        <a:xfrm>
          <a:off x="7524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3426892</xdr:colOff>
      <xdr:row>2</xdr:row>
      <xdr:rowOff>195723</xdr:rowOff>
    </xdr:from>
    <xdr:ext cx="647870" cy="239809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83A03483-1CF9-4488-8FED-7C10CCB03F3C}"/>
            </a:ext>
          </a:extLst>
        </xdr:cNvPr>
        <xdr:cNvSpPr txBox="1"/>
      </xdr:nvSpPr>
      <xdr:spPr>
        <a:xfrm>
          <a:off x="750367" y="567198"/>
          <a:ext cx="647870" cy="23980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000" b="1">
              <a:latin typeface="Arial" pitchFamily="34" charset="0"/>
              <a:cs typeface="Arial" pitchFamily="34" charset="0"/>
            </a:rPr>
            <a:t>(Pesos)</a:t>
          </a:r>
        </a:p>
      </xdr:txBody>
    </xdr:sp>
    <xdr:clientData/>
  </xdr:oneCellAnchor>
  <xdr:oneCellAnchor>
    <xdr:from>
      <xdr:col>1</xdr:col>
      <xdr:colOff>0</xdr:colOff>
      <xdr:row>2</xdr:row>
      <xdr:rowOff>142875</xdr:rowOff>
    </xdr:from>
    <xdr:ext cx="184731" cy="264560"/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id="{DE672101-05D0-4B68-994A-CFEFDFF29260}"/>
            </a:ext>
          </a:extLst>
        </xdr:cNvPr>
        <xdr:cNvSpPr txBox="1"/>
      </xdr:nvSpPr>
      <xdr:spPr>
        <a:xfrm>
          <a:off x="75247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692727</xdr:colOff>
      <xdr:row>2</xdr:row>
      <xdr:rowOff>155865</xdr:rowOff>
    </xdr:from>
    <xdr:ext cx="2790824" cy="254557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74C7251B-CF73-498A-B26F-557DD9223397}"/>
            </a:ext>
          </a:extLst>
        </xdr:cNvPr>
        <xdr:cNvSpPr txBox="1"/>
      </xdr:nvSpPr>
      <xdr:spPr>
        <a:xfrm>
          <a:off x="1445202" y="53686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TERCERO</a:t>
          </a:r>
        </a:p>
      </xdr:txBody>
    </xdr:sp>
    <xdr:clientData/>
  </xdr:oneCellAnchor>
  <xdr:oneCellAnchor>
    <xdr:from>
      <xdr:col>0</xdr:col>
      <xdr:colOff>640773</xdr:colOff>
      <xdr:row>43</xdr:row>
      <xdr:rowOff>4041</xdr:rowOff>
    </xdr:from>
    <xdr:ext cx="3429000" cy="666749"/>
    <xdr:sp macro="" textlink="">
      <xdr:nvSpPr>
        <xdr:cNvPr id="8" name="CuadroTexto 5">
          <a:extLst>
            <a:ext uri="{FF2B5EF4-FFF2-40B4-BE49-F238E27FC236}">
              <a16:creationId xmlns:a16="http://schemas.microsoft.com/office/drawing/2014/main" id="{A7A0D06A-52D1-45E8-8733-3A99C0014FE6}"/>
            </a:ext>
          </a:extLst>
        </xdr:cNvPr>
        <xdr:cNvSpPr txBox="1"/>
      </xdr:nvSpPr>
      <xdr:spPr>
        <a:xfrm>
          <a:off x="640773" y="8195541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           _____________________________________</a:t>
          </a:r>
        </a:p>
        <a:p>
          <a:pPr algn="ctr"/>
          <a:r>
            <a:rPr lang="es-MX" sz="1100"/>
            <a:t>C.P. LEONOR AMPARO LANDAVAZO GUTIERREZ</a:t>
          </a:r>
        </a:p>
        <a:p>
          <a:pPr algn="ctr"/>
          <a:r>
            <a:rPr lang="es-MX" sz="1100"/>
            <a:t>DIRECTOR ADMINISTRATIVO</a:t>
          </a:r>
        </a:p>
      </xdr:txBody>
    </xdr:sp>
    <xdr:clientData/>
  </xdr:oneCellAnchor>
  <xdr:oneCellAnchor>
    <xdr:from>
      <xdr:col>0</xdr:col>
      <xdr:colOff>4268826</xdr:colOff>
      <xdr:row>42</xdr:row>
      <xdr:rowOff>242455</xdr:rowOff>
    </xdr:from>
    <xdr:ext cx="3181350" cy="628650"/>
    <xdr:sp macro="" textlink="">
      <xdr:nvSpPr>
        <xdr:cNvPr id="9" name="CuadroTexto 5">
          <a:extLst>
            <a:ext uri="{FF2B5EF4-FFF2-40B4-BE49-F238E27FC236}">
              <a16:creationId xmlns:a16="http://schemas.microsoft.com/office/drawing/2014/main" id="{FE0115AB-AC03-450B-80BC-DE29CC3832D8}"/>
            </a:ext>
          </a:extLst>
        </xdr:cNvPr>
        <xdr:cNvSpPr txBox="1"/>
      </xdr:nvSpPr>
      <xdr:spPr>
        <a:xfrm>
          <a:off x="754101" y="8195830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MARIO ALBERTO MERINO DIAZ</a:t>
          </a:r>
        </a:p>
        <a:p>
          <a:pPr algn="ctr"/>
          <a:r>
            <a:rPr lang="es-MX" sz="1100"/>
            <a:t>DIRECTOR GENERAL DE ADMINISTRACION Y FINANZAS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131706</xdr:colOff>
      <xdr:row>0</xdr:row>
      <xdr:rowOff>0</xdr:rowOff>
    </xdr:from>
    <xdr:ext cx="898003" cy="254557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9D2DE337-88A0-487E-BB4A-96301C2C9FD1}"/>
            </a:ext>
          </a:extLst>
        </xdr:cNvPr>
        <xdr:cNvSpPr txBox="1"/>
      </xdr:nvSpPr>
      <xdr:spPr>
        <a:xfrm>
          <a:off x="3141606" y="0"/>
          <a:ext cx="898003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ETCA-II-16</a:t>
          </a:r>
        </a:p>
      </xdr:txBody>
    </xdr:sp>
    <xdr:clientData/>
  </xdr:oneCellAnchor>
  <xdr:oneCellAnchor>
    <xdr:from>
      <xdr:col>3</xdr:col>
      <xdr:colOff>0</xdr:colOff>
      <xdr:row>2</xdr:row>
      <xdr:rowOff>142875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5CC2786-ACC7-4796-ABBD-74A0440C3CD3}"/>
            </a:ext>
          </a:extLst>
        </xdr:cNvPr>
        <xdr:cNvSpPr txBox="1"/>
      </xdr:nvSpPr>
      <xdr:spPr>
        <a:xfrm>
          <a:off x="225742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85726</xdr:colOff>
      <xdr:row>32</xdr:row>
      <xdr:rowOff>200026</xdr:rowOff>
    </xdr:from>
    <xdr:ext cx="3219450" cy="672042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208DE040-238E-4103-AEAE-A11767F6B0EF}"/>
            </a:ext>
          </a:extLst>
        </xdr:cNvPr>
        <xdr:cNvSpPr txBox="1"/>
      </xdr:nvSpPr>
      <xdr:spPr>
        <a:xfrm>
          <a:off x="85726" y="6286501"/>
          <a:ext cx="3219450" cy="6720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           _____________________________________</a:t>
          </a:r>
        </a:p>
        <a:p>
          <a:pPr algn="ctr"/>
          <a:r>
            <a:rPr lang="es-MX" sz="1100"/>
            <a:t>C.P. LEONOR AMPARO LANDAVAZO GUTIERREZ</a:t>
          </a:r>
        </a:p>
        <a:p>
          <a:pPr algn="ctr"/>
          <a:r>
            <a:rPr lang="es-MX" sz="1100"/>
            <a:t>DIRECTOR ADMINISTRATIVO</a:t>
          </a:r>
        </a:p>
      </xdr:txBody>
    </xdr:sp>
    <xdr:clientData/>
  </xdr:oneCellAnchor>
  <xdr:oneCellAnchor>
    <xdr:from>
      <xdr:col>2</xdr:col>
      <xdr:colOff>161925</xdr:colOff>
      <xdr:row>33</xdr:row>
      <xdr:rowOff>0</xdr:rowOff>
    </xdr:from>
    <xdr:ext cx="3133726" cy="662517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17BE7593-2F38-41CA-AAB3-6CF9383939B8}"/>
            </a:ext>
          </a:extLst>
        </xdr:cNvPr>
        <xdr:cNvSpPr txBox="1"/>
      </xdr:nvSpPr>
      <xdr:spPr>
        <a:xfrm>
          <a:off x="1666875" y="6286500"/>
          <a:ext cx="3133726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MARIO ALBERTO MERINO DIAZ</a:t>
          </a:r>
        </a:p>
        <a:p>
          <a:pPr algn="ctr"/>
          <a:r>
            <a:rPr lang="es-MX" sz="1100"/>
            <a:t>DIRECTOR GENERAL DE ADMINISTRACION Y FINANZAS</a:t>
          </a:r>
        </a:p>
        <a:p>
          <a:pPr algn="ctr"/>
          <a:endParaRPr lang="es-MX" sz="1100"/>
        </a:p>
      </xdr:txBody>
    </xdr:sp>
    <xdr:clientData/>
  </xdr:oneCellAnchor>
  <xdr:oneCellAnchor>
    <xdr:from>
      <xdr:col>2</xdr:col>
      <xdr:colOff>514350</xdr:colOff>
      <xdr:row>2</xdr:row>
      <xdr:rowOff>152400</xdr:rowOff>
    </xdr:from>
    <xdr:ext cx="2790824" cy="254557"/>
    <xdr:sp macro="" textlink="">
      <xdr:nvSpPr>
        <xdr:cNvPr id="6" name="9 CuadroTexto">
          <a:extLst>
            <a:ext uri="{FF2B5EF4-FFF2-40B4-BE49-F238E27FC236}">
              <a16:creationId xmlns:a16="http://schemas.microsoft.com/office/drawing/2014/main" id="{A7E09938-C238-468A-928B-FAC00BAFF354}"/>
            </a:ext>
          </a:extLst>
        </xdr:cNvPr>
        <xdr:cNvSpPr txBox="1"/>
      </xdr:nvSpPr>
      <xdr:spPr>
        <a:xfrm>
          <a:off x="2019300" y="53340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:__TERCERO__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767764</xdr:colOff>
      <xdr:row>0</xdr:row>
      <xdr:rowOff>0</xdr:rowOff>
    </xdr:from>
    <xdr:ext cx="898003" cy="254557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BB97FEAD-E9A7-4954-A6E4-1281B81AD79D}"/>
            </a:ext>
          </a:extLst>
        </xdr:cNvPr>
        <xdr:cNvSpPr txBox="1"/>
      </xdr:nvSpPr>
      <xdr:spPr>
        <a:xfrm>
          <a:off x="3006139" y="0"/>
          <a:ext cx="898003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ETCA-II-17</a:t>
          </a:r>
        </a:p>
      </xdr:txBody>
    </xdr:sp>
    <xdr:clientData/>
  </xdr:oneCellAnchor>
  <xdr:oneCellAnchor>
    <xdr:from>
      <xdr:col>3</xdr:col>
      <xdr:colOff>0</xdr:colOff>
      <xdr:row>2</xdr:row>
      <xdr:rowOff>142875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5FAEBED5-DDB1-48CC-A440-41E491320B6A}"/>
            </a:ext>
          </a:extLst>
        </xdr:cNvPr>
        <xdr:cNvSpPr txBox="1"/>
      </xdr:nvSpPr>
      <xdr:spPr>
        <a:xfrm>
          <a:off x="225742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84667</xdr:colOff>
      <xdr:row>34</xdr:row>
      <xdr:rowOff>42334</xdr:rowOff>
    </xdr:from>
    <xdr:ext cx="3166746" cy="78124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EA27590-2FCF-41D1-8724-8C1F943136F7}"/>
            </a:ext>
          </a:extLst>
        </xdr:cNvPr>
        <xdr:cNvSpPr txBox="1"/>
      </xdr:nvSpPr>
      <xdr:spPr>
        <a:xfrm>
          <a:off x="84667" y="6519334"/>
          <a:ext cx="3166746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C.P. LEONOR AMPARO LANDAVAZO GUTIERREZ</a:t>
          </a:r>
        </a:p>
        <a:p>
          <a:pPr algn="ctr"/>
          <a:r>
            <a:rPr lang="es-MX" sz="1100"/>
            <a:t>DIRECTOR ADMINISTRATIVO</a:t>
          </a:r>
        </a:p>
        <a:p>
          <a:pPr algn="ctr"/>
          <a:endParaRPr lang="es-MX" sz="1100"/>
        </a:p>
      </xdr:txBody>
    </xdr:sp>
    <xdr:clientData/>
  </xdr:oneCellAnchor>
  <xdr:oneCellAnchor>
    <xdr:from>
      <xdr:col>2</xdr:col>
      <xdr:colOff>158750</xdr:colOff>
      <xdr:row>34</xdr:row>
      <xdr:rowOff>46565</xdr:rowOff>
    </xdr:from>
    <xdr:ext cx="3420291" cy="662517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461458F-0856-4482-97BD-BF705DA6496D}"/>
            </a:ext>
          </a:extLst>
        </xdr:cNvPr>
        <xdr:cNvSpPr txBox="1"/>
      </xdr:nvSpPr>
      <xdr:spPr>
        <a:xfrm>
          <a:off x="1663700" y="6523565"/>
          <a:ext cx="3420291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MARIO ALBERTO MERINO DIAZ</a:t>
          </a:r>
        </a:p>
        <a:p>
          <a:pPr algn="ctr"/>
          <a:r>
            <a:rPr lang="es-MX" sz="1100"/>
            <a:t>DIRECTOR GENERAL DE ADMINISTRACION Y FINANZAS</a:t>
          </a:r>
        </a:p>
        <a:p>
          <a:pPr algn="ctr"/>
          <a:endParaRPr lang="es-MX" sz="1100"/>
        </a:p>
      </xdr:txBody>
    </xdr:sp>
    <xdr:clientData/>
  </xdr:oneCellAnchor>
  <xdr:oneCellAnchor>
    <xdr:from>
      <xdr:col>2</xdr:col>
      <xdr:colOff>582083</xdr:colOff>
      <xdr:row>2</xdr:row>
      <xdr:rowOff>201084</xdr:rowOff>
    </xdr:from>
    <xdr:ext cx="2790824" cy="254557"/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A7D5958D-5C25-42FA-9AE9-DB24CB41AA1E}"/>
            </a:ext>
          </a:extLst>
        </xdr:cNvPr>
        <xdr:cNvSpPr txBox="1"/>
      </xdr:nvSpPr>
      <xdr:spPr>
        <a:xfrm>
          <a:off x="2087033" y="572559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TRIMESTRE:______________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190500</xdr:colOff>
      <xdr:row>0</xdr:row>
      <xdr:rowOff>0</xdr:rowOff>
    </xdr:from>
    <xdr:ext cx="1325551" cy="254557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751E6E0D-9C0D-412F-8939-4BEBA24E5D1F}"/>
            </a:ext>
          </a:extLst>
        </xdr:cNvPr>
        <xdr:cNvSpPr txBox="1"/>
      </xdr:nvSpPr>
      <xdr:spPr>
        <a:xfrm>
          <a:off x="5524500" y="0"/>
          <a:ext cx="1325551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ETCA-II-02</a:t>
          </a:r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3200400" cy="662517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11D55EF4-7C1E-44AB-B48E-00FB9A58760E}"/>
            </a:ext>
          </a:extLst>
        </xdr:cNvPr>
        <xdr:cNvSpPr txBox="1"/>
      </xdr:nvSpPr>
      <xdr:spPr>
        <a:xfrm>
          <a:off x="1524000" y="15621000"/>
          <a:ext cx="32004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/>
            <a:t>______________________________________</a:t>
          </a:r>
        </a:p>
        <a:p>
          <a:pPr algn="ctr"/>
          <a:r>
            <a:rPr lang="es-MX" sz="1200"/>
            <a:t>C.P. LEONOR AMPARO LANDAVAZO GUTIERREZ</a:t>
          </a:r>
        </a:p>
        <a:p>
          <a:pPr algn="ctr"/>
          <a:r>
            <a:rPr lang="es-MX" sz="1200"/>
            <a:t>DIRECTOR ADMINISTRATIVO</a:t>
          </a:r>
        </a:p>
        <a:p>
          <a:pPr algn="ctr"/>
          <a:endParaRPr lang="es-MX" sz="1200"/>
        </a:p>
      </xdr:txBody>
    </xdr:sp>
    <xdr:clientData/>
  </xdr:oneCellAnchor>
  <xdr:oneCellAnchor>
    <xdr:from>
      <xdr:col>4</xdr:col>
      <xdr:colOff>0</xdr:colOff>
      <xdr:row>82</xdr:row>
      <xdr:rowOff>0</xdr:rowOff>
    </xdr:from>
    <xdr:ext cx="3612173" cy="662517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8B8F3ADB-CD52-40BD-A460-C21EC120EE16}"/>
            </a:ext>
          </a:extLst>
        </xdr:cNvPr>
        <xdr:cNvSpPr txBox="1"/>
      </xdr:nvSpPr>
      <xdr:spPr>
        <a:xfrm>
          <a:off x="3048000" y="15621000"/>
          <a:ext cx="3612173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/>
            <a:t>______________________________________</a:t>
          </a:r>
        </a:p>
        <a:p>
          <a:pPr algn="ctr"/>
          <a:r>
            <a:rPr lang="es-MX" sz="1200"/>
            <a:t>C.P. MARIO ALBERTO MERINO DIAZ</a:t>
          </a:r>
        </a:p>
        <a:p>
          <a:pPr algn="ctr"/>
          <a:r>
            <a:rPr lang="es-MX" sz="1200"/>
            <a:t>DIRECTOR GENERAL DE ADMINISTRACION Y FINANZAS</a:t>
          </a:r>
        </a:p>
      </xdr:txBody>
    </xdr:sp>
    <xdr:clientData/>
  </xdr:oneCellAnchor>
  <xdr:oneCellAnchor>
    <xdr:from>
      <xdr:col>5</xdr:col>
      <xdr:colOff>190499</xdr:colOff>
      <xdr:row>2</xdr:row>
      <xdr:rowOff>103188</xdr:rowOff>
    </xdr:from>
    <xdr:ext cx="2790824" cy="254557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20BC2936-9DC1-42FB-A2F1-16EAB3AF40D3}"/>
            </a:ext>
          </a:extLst>
        </xdr:cNvPr>
        <xdr:cNvSpPr txBox="1"/>
      </xdr:nvSpPr>
      <xdr:spPr>
        <a:xfrm>
          <a:off x="4000499" y="484188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:_TERCERO_____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DE5E7800-631D-4EBA-B0B0-994686963CF2}"/>
            </a:ext>
          </a:extLst>
        </xdr:cNvPr>
        <xdr:cNvSpPr txBox="1"/>
      </xdr:nvSpPr>
      <xdr:spPr>
        <a:xfrm>
          <a:off x="75247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542925</xdr:colOff>
      <xdr:row>0</xdr:row>
      <xdr:rowOff>0</xdr:rowOff>
    </xdr:from>
    <xdr:ext cx="1141062" cy="292657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9355D52-0BF9-452F-861C-59AD9FD5519F}"/>
            </a:ext>
          </a:extLst>
        </xdr:cNvPr>
        <xdr:cNvSpPr txBox="1"/>
      </xdr:nvSpPr>
      <xdr:spPr>
        <a:xfrm>
          <a:off x="2800350" y="0"/>
          <a:ext cx="1141062" cy="2926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ETCA-II-03</a:t>
          </a:r>
        </a:p>
      </xdr:txBody>
    </xdr:sp>
    <xdr:clientData/>
  </xdr:oneCellAnchor>
  <xdr:oneCellAnchor>
    <xdr:from>
      <xdr:col>3</xdr:col>
      <xdr:colOff>0</xdr:colOff>
      <xdr:row>2</xdr:row>
      <xdr:rowOff>142875</xdr:rowOff>
    </xdr:from>
    <xdr:ext cx="184731" cy="264560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12ED816B-F7C7-4868-AADA-B55D537021D1}"/>
            </a:ext>
          </a:extLst>
        </xdr:cNvPr>
        <xdr:cNvSpPr txBox="1"/>
      </xdr:nvSpPr>
      <xdr:spPr>
        <a:xfrm>
          <a:off x="225742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30</xdr:row>
      <xdr:rowOff>152400</xdr:rowOff>
    </xdr:from>
    <xdr:ext cx="3019425" cy="714375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15B2FD64-09A7-43E2-BAA9-1225D402BC39}"/>
            </a:ext>
          </a:extLst>
        </xdr:cNvPr>
        <xdr:cNvSpPr txBox="1"/>
      </xdr:nvSpPr>
      <xdr:spPr>
        <a:xfrm>
          <a:off x="752475" y="5867400"/>
          <a:ext cx="3019425" cy="714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LEONOR AMPARO LANDAVAZO GUTIERREZ</a:t>
          </a:r>
        </a:p>
        <a:p>
          <a:pPr algn="ctr"/>
          <a:r>
            <a:rPr lang="es-MX" sz="1100"/>
            <a:t>DIRECTOR ADMINISTRATIVO</a:t>
          </a:r>
        </a:p>
      </xdr:txBody>
    </xdr:sp>
    <xdr:clientData/>
  </xdr:oneCellAnchor>
  <xdr:oneCellAnchor>
    <xdr:from>
      <xdr:col>2</xdr:col>
      <xdr:colOff>123824</xdr:colOff>
      <xdr:row>30</xdr:row>
      <xdr:rowOff>142876</xdr:rowOff>
    </xdr:from>
    <xdr:ext cx="3265487" cy="685799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CD4677E-9D1C-4C62-9B34-51E9DC02A3FA}"/>
            </a:ext>
          </a:extLst>
        </xdr:cNvPr>
        <xdr:cNvSpPr txBox="1"/>
      </xdr:nvSpPr>
      <xdr:spPr>
        <a:xfrm>
          <a:off x="1628774" y="5857876"/>
          <a:ext cx="3265487" cy="6857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MARIO ALBERTO MERINO DIAZ</a:t>
          </a:r>
        </a:p>
        <a:p>
          <a:pPr algn="ctr"/>
          <a:r>
            <a:rPr lang="es-MX" sz="1100"/>
            <a:t>DIRECTOR GENERAL DE ADMINISTRACION Y FINANZAS</a:t>
          </a:r>
        </a:p>
        <a:p>
          <a:pPr algn="ctr"/>
          <a:endParaRPr lang="es-MX" sz="1100"/>
        </a:p>
      </xdr:txBody>
    </xdr:sp>
    <xdr:clientData/>
  </xdr:oneCellAnchor>
  <xdr:oneCellAnchor>
    <xdr:from>
      <xdr:col>2</xdr:col>
      <xdr:colOff>609600</xdr:colOff>
      <xdr:row>2</xdr:row>
      <xdr:rowOff>104775</xdr:rowOff>
    </xdr:from>
    <xdr:ext cx="2790824" cy="254557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7EF8975B-6DBE-49F1-8580-747CB8F8E326}"/>
            </a:ext>
          </a:extLst>
        </xdr:cNvPr>
        <xdr:cNvSpPr txBox="1"/>
      </xdr:nvSpPr>
      <xdr:spPr>
        <a:xfrm>
          <a:off x="2114550" y="48577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:_TERCERO_____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2" name="21 CuadroTexto">
          <a:extLst>
            <a:ext uri="{FF2B5EF4-FFF2-40B4-BE49-F238E27FC236}">
              <a16:creationId xmlns:a16="http://schemas.microsoft.com/office/drawing/2014/main" id="{76B90FED-DF0E-486C-9208-D994261BD8C0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853910</xdr:colOff>
      <xdr:row>0</xdr:row>
      <xdr:rowOff>38100</xdr:rowOff>
    </xdr:from>
    <xdr:ext cx="898002" cy="247649"/>
    <xdr:sp macro="" textlink="">
      <xdr:nvSpPr>
        <xdr:cNvPr id="3" name="22 CuadroTexto">
          <a:extLst>
            <a:ext uri="{FF2B5EF4-FFF2-40B4-BE49-F238E27FC236}">
              <a16:creationId xmlns:a16="http://schemas.microsoft.com/office/drawing/2014/main" id="{AA9BB521-4C46-463F-9067-F317CE15DBD2}"/>
            </a:ext>
          </a:extLst>
        </xdr:cNvPr>
        <xdr:cNvSpPr txBox="1"/>
      </xdr:nvSpPr>
      <xdr:spPr>
        <a:xfrm>
          <a:off x="4568660" y="38100"/>
          <a:ext cx="898002" cy="24764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ETCA-II-04</a:t>
          </a:r>
        </a:p>
      </xdr:txBody>
    </xdr:sp>
    <xdr:clientData/>
  </xdr:oneCellAnchor>
  <xdr:oneCellAnchor>
    <xdr:from>
      <xdr:col>0</xdr:col>
      <xdr:colOff>295275</xdr:colOff>
      <xdr:row>86</xdr:row>
      <xdr:rowOff>161926</xdr:rowOff>
    </xdr:from>
    <xdr:ext cx="3429000" cy="666749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E5506BAA-F391-403D-911A-4183BF1A1A72}"/>
            </a:ext>
          </a:extLst>
        </xdr:cNvPr>
        <xdr:cNvSpPr txBox="1"/>
      </xdr:nvSpPr>
      <xdr:spPr>
        <a:xfrm>
          <a:off x="295275" y="16544926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lang="es-MX" sz="1100"/>
            <a:t>           _____________________________________</a:t>
          </a:r>
        </a:p>
        <a:p>
          <a:pPr algn="ctr"/>
          <a:r>
            <a:rPr lang="es-MX" sz="1100" baseline="0"/>
            <a:t>C.P. LEONOR AMPARO LANDAVAZO GUTIERREZ</a:t>
          </a:r>
        </a:p>
        <a:p>
          <a:pPr algn="ctr"/>
          <a:r>
            <a:rPr lang="es-MX" sz="1100" baseline="0"/>
            <a:t>DIRECTOR ADMINISTRATIVO</a:t>
          </a:r>
        </a:p>
      </xdr:txBody>
    </xdr:sp>
    <xdr:clientData/>
  </xdr:oneCellAnchor>
  <xdr:oneCellAnchor>
    <xdr:from>
      <xdr:col>2</xdr:col>
      <xdr:colOff>771525</xdr:colOff>
      <xdr:row>86</xdr:row>
      <xdr:rowOff>171451</xdr:rowOff>
    </xdr:from>
    <xdr:ext cx="3181350" cy="628650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B27A8A04-1F91-4AC7-B9D9-3CB788121E8F}"/>
            </a:ext>
          </a:extLst>
        </xdr:cNvPr>
        <xdr:cNvSpPr txBox="1"/>
      </xdr:nvSpPr>
      <xdr:spPr>
        <a:xfrm>
          <a:off x="2286000" y="16554451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MARIO ALBERTO MERINO DIAZ</a:t>
          </a:r>
        </a:p>
        <a:p>
          <a:pPr algn="ctr"/>
          <a:r>
            <a:rPr lang="es-MX" sz="1100"/>
            <a:t>DIRECTOR GENERAL</a:t>
          </a:r>
          <a:r>
            <a:rPr lang="es-MX" sz="1100" baseline="0"/>
            <a:t> </a:t>
          </a:r>
          <a:r>
            <a:rPr lang="es-MX" sz="1100"/>
            <a:t>DE ADMINISTRACION Y FINANZAS</a:t>
          </a:r>
        </a:p>
      </xdr:txBody>
    </xdr:sp>
    <xdr:clientData/>
  </xdr:oneCellAnchor>
  <xdr:oneCellAnchor>
    <xdr:from>
      <xdr:col>3</xdr:col>
      <xdr:colOff>781050</xdr:colOff>
      <xdr:row>3</xdr:row>
      <xdr:rowOff>123825</xdr:rowOff>
    </xdr:from>
    <xdr:ext cx="2790824" cy="254557"/>
    <xdr:sp macro="" textlink="">
      <xdr:nvSpPr>
        <xdr:cNvPr id="6" name="25 CuadroTexto">
          <a:extLst>
            <a:ext uri="{FF2B5EF4-FFF2-40B4-BE49-F238E27FC236}">
              <a16:creationId xmlns:a16="http://schemas.microsoft.com/office/drawing/2014/main" id="{74C1A42D-34CC-4304-9111-9C02D83DCDAD}"/>
            </a:ext>
          </a:extLst>
        </xdr:cNvPr>
        <xdr:cNvSpPr txBox="1"/>
      </xdr:nvSpPr>
      <xdr:spPr>
        <a:xfrm>
          <a:off x="3048000" y="69532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TERCERO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495300</xdr:colOff>
      <xdr:row>0</xdr:row>
      <xdr:rowOff>19051</xdr:rowOff>
    </xdr:from>
    <xdr:ext cx="1019173" cy="26670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B0C90F93-D0F8-45E0-A512-D0CE35933DC5}"/>
            </a:ext>
          </a:extLst>
        </xdr:cNvPr>
        <xdr:cNvSpPr txBox="1"/>
      </xdr:nvSpPr>
      <xdr:spPr>
        <a:xfrm>
          <a:off x="5067300" y="19051"/>
          <a:ext cx="1019173" cy="266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ETCA-II-05</a:t>
          </a:r>
        </a:p>
      </xdr:txBody>
    </xdr:sp>
    <xdr:clientData/>
  </xdr:oneCellAnchor>
  <xdr:oneCellAnchor>
    <xdr:from>
      <xdr:col>4</xdr:col>
      <xdr:colOff>161925</xdr:colOff>
      <xdr:row>3</xdr:row>
      <xdr:rowOff>28575</xdr:rowOff>
    </xdr:from>
    <xdr:ext cx="2790824" cy="254557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93933F21-173A-4D20-BCB5-627B54F55520}"/>
            </a:ext>
          </a:extLst>
        </xdr:cNvPr>
        <xdr:cNvSpPr txBox="1"/>
      </xdr:nvSpPr>
      <xdr:spPr>
        <a:xfrm>
          <a:off x="3209925" y="60007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TERCERO</a:t>
          </a:r>
        </a:p>
      </xdr:txBody>
    </xdr:sp>
    <xdr:clientData/>
  </xdr:oneCellAnchor>
  <xdr:oneCellAnchor>
    <xdr:from>
      <xdr:col>0</xdr:col>
      <xdr:colOff>381000</xdr:colOff>
      <xdr:row>160</xdr:row>
      <xdr:rowOff>133350</xdr:rowOff>
    </xdr:from>
    <xdr:ext cx="3429000" cy="66674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F99B062-64FA-46D7-AD08-8CFA71FE559E}"/>
            </a:ext>
          </a:extLst>
        </xdr:cNvPr>
        <xdr:cNvSpPr txBox="1"/>
      </xdr:nvSpPr>
      <xdr:spPr>
        <a:xfrm>
          <a:off x="381000" y="30613350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           _____________________________________</a:t>
          </a:r>
        </a:p>
        <a:p>
          <a:pPr algn="ctr"/>
          <a:r>
            <a:rPr lang="es-MX" sz="1100" baseline="0"/>
            <a:t>C.P. LEONOR AMPARO LANDAVAZO GUTIERREZ</a:t>
          </a:r>
        </a:p>
        <a:p>
          <a:pPr algn="ctr"/>
          <a:r>
            <a:rPr lang="es-MX" sz="1100" baseline="0"/>
            <a:t>DIRECTOR ADMINISTRATIVO</a:t>
          </a:r>
        </a:p>
      </xdr:txBody>
    </xdr:sp>
    <xdr:clientData/>
  </xdr:oneCellAnchor>
  <xdr:oneCellAnchor>
    <xdr:from>
      <xdr:col>3</xdr:col>
      <xdr:colOff>732453</xdr:colOff>
      <xdr:row>160</xdr:row>
      <xdr:rowOff>142875</xdr:rowOff>
    </xdr:from>
    <xdr:ext cx="3181350" cy="628650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50CFBBD9-05BF-4340-B0C0-A0782F5F2E15}"/>
            </a:ext>
          </a:extLst>
        </xdr:cNvPr>
        <xdr:cNvSpPr txBox="1"/>
      </xdr:nvSpPr>
      <xdr:spPr>
        <a:xfrm>
          <a:off x="3018453" y="30622875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MARIO ALBERTO MERINO DIAZ</a:t>
          </a:r>
        </a:p>
        <a:p>
          <a:pPr algn="ctr"/>
          <a:r>
            <a:rPr lang="es-MX" sz="1100"/>
            <a:t>DIRECTOR GENERAL DE ADMINISTRACION Y FINANZAS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553D3C74-9248-4476-AABF-D7CBF8E0049C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371475</xdr:colOff>
      <xdr:row>0</xdr:row>
      <xdr:rowOff>85725</xdr:rowOff>
    </xdr:from>
    <xdr:ext cx="1447112" cy="254557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CA359E7E-ACED-48A0-8DF1-7933DC9836C6}"/>
            </a:ext>
          </a:extLst>
        </xdr:cNvPr>
        <xdr:cNvSpPr txBox="1"/>
      </xdr:nvSpPr>
      <xdr:spPr>
        <a:xfrm>
          <a:off x="4133850" y="85725"/>
          <a:ext cx="1447112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ETCA-II-06</a:t>
          </a:r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25032AE8-60FD-44AD-BCEF-0BEE0183C403}"/>
            </a:ext>
          </a:extLst>
        </xdr:cNvPr>
        <xdr:cNvSpPr txBox="1"/>
      </xdr:nvSpPr>
      <xdr:spPr>
        <a:xfrm>
          <a:off x="752475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81D4F558-4867-4530-8695-F07F77AEB1FB}"/>
            </a:ext>
          </a:extLst>
        </xdr:cNvPr>
        <xdr:cNvSpPr txBox="1"/>
      </xdr:nvSpPr>
      <xdr:spPr>
        <a:xfrm>
          <a:off x="752475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596830</xdr:colOff>
      <xdr:row>28</xdr:row>
      <xdr:rowOff>0</xdr:rowOff>
    </xdr:from>
    <xdr:ext cx="184731" cy="254557"/>
    <xdr:sp macro="" textlink="">
      <xdr:nvSpPr>
        <xdr:cNvPr id="6" name="9 CuadroTexto">
          <a:extLst>
            <a:ext uri="{FF2B5EF4-FFF2-40B4-BE49-F238E27FC236}">
              <a16:creationId xmlns:a16="http://schemas.microsoft.com/office/drawing/2014/main" id="{1581C314-9547-4D31-8C97-90DC1286CA6B}"/>
            </a:ext>
          </a:extLst>
        </xdr:cNvPr>
        <xdr:cNvSpPr txBox="1"/>
      </xdr:nvSpPr>
      <xdr:spPr>
        <a:xfrm>
          <a:off x="5111680" y="5334000"/>
          <a:ext cx="184731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5AC3FE63-1311-4D56-AB20-C1A6FF7808BD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E4DF77EB-591C-4A23-BCDB-57B97ACD3110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</xdr:row>
      <xdr:rowOff>142875</xdr:rowOff>
    </xdr:from>
    <xdr:ext cx="184731" cy="264560"/>
    <xdr:sp macro="" textlink="">
      <xdr:nvSpPr>
        <xdr:cNvPr id="9" name="4 CuadroTexto">
          <a:extLst>
            <a:ext uri="{FF2B5EF4-FFF2-40B4-BE49-F238E27FC236}">
              <a16:creationId xmlns:a16="http://schemas.microsoft.com/office/drawing/2014/main" id="{D69A9754-530C-418B-8434-C2ABC92A5FA2}"/>
            </a:ext>
          </a:extLst>
        </xdr:cNvPr>
        <xdr:cNvSpPr txBox="1"/>
      </xdr:nvSpPr>
      <xdr:spPr>
        <a:xfrm>
          <a:off x="451485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809625</xdr:colOff>
      <xdr:row>3</xdr:row>
      <xdr:rowOff>171450</xdr:rowOff>
    </xdr:from>
    <xdr:ext cx="2790824" cy="254557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6B23825C-D9EB-4544-AFC4-BB9D1503A9F7}"/>
            </a:ext>
          </a:extLst>
        </xdr:cNvPr>
        <xdr:cNvSpPr txBox="1"/>
      </xdr:nvSpPr>
      <xdr:spPr>
        <a:xfrm>
          <a:off x="3009900" y="74295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TERCERO</a:t>
          </a:r>
        </a:p>
      </xdr:txBody>
    </xdr:sp>
    <xdr:clientData/>
  </xdr:oneCellAnchor>
  <xdr:oneCellAnchor>
    <xdr:from>
      <xdr:col>0</xdr:col>
      <xdr:colOff>0</xdr:colOff>
      <xdr:row>18</xdr:row>
      <xdr:rowOff>114300</xdr:rowOff>
    </xdr:from>
    <xdr:ext cx="3429000" cy="666749"/>
    <xdr:sp macro="" textlink="">
      <xdr:nvSpPr>
        <xdr:cNvPr id="11" name="CuadroTexto 5">
          <a:extLst>
            <a:ext uri="{FF2B5EF4-FFF2-40B4-BE49-F238E27FC236}">
              <a16:creationId xmlns:a16="http://schemas.microsoft.com/office/drawing/2014/main" id="{CE68A153-C755-49DE-814E-BE788B8FD5AC}"/>
            </a:ext>
          </a:extLst>
        </xdr:cNvPr>
        <xdr:cNvSpPr txBox="1"/>
      </xdr:nvSpPr>
      <xdr:spPr>
        <a:xfrm>
          <a:off x="0" y="3543300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          _____________________________________</a:t>
          </a:r>
        </a:p>
        <a:p>
          <a:pPr algn="ctr"/>
          <a:r>
            <a:rPr lang="es-MX" sz="1100" baseline="0"/>
            <a:t>C.P. LEONOR AMPARO LANDAVAZO GUTIERREZ</a:t>
          </a:r>
        </a:p>
        <a:p>
          <a:pPr algn="ctr"/>
          <a:r>
            <a:rPr lang="es-MX" sz="1100" baseline="0"/>
            <a:t>DIRECTOR ADMINISTRATIVO</a:t>
          </a:r>
        </a:p>
      </xdr:txBody>
    </xdr:sp>
    <xdr:clientData/>
  </xdr:oneCellAnchor>
  <xdr:oneCellAnchor>
    <xdr:from>
      <xdr:col>2</xdr:col>
      <xdr:colOff>781050</xdr:colOff>
      <xdr:row>18</xdr:row>
      <xdr:rowOff>123825</xdr:rowOff>
    </xdr:from>
    <xdr:ext cx="3751878" cy="628650"/>
    <xdr:sp macro="" textlink="">
      <xdr:nvSpPr>
        <xdr:cNvPr id="12" name="CuadroTexto 5">
          <a:extLst>
            <a:ext uri="{FF2B5EF4-FFF2-40B4-BE49-F238E27FC236}">
              <a16:creationId xmlns:a16="http://schemas.microsoft.com/office/drawing/2014/main" id="{6B2670FC-3F71-49F5-B71E-67D7127F75E0}"/>
            </a:ext>
          </a:extLst>
        </xdr:cNvPr>
        <xdr:cNvSpPr txBox="1"/>
      </xdr:nvSpPr>
      <xdr:spPr>
        <a:xfrm>
          <a:off x="2257425" y="3552825"/>
          <a:ext cx="3751878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MARIO ALBERTO MERINO DIAZ</a:t>
          </a:r>
        </a:p>
        <a:p>
          <a:pPr algn="ctr"/>
          <a:r>
            <a:rPr lang="es-MX" sz="1100"/>
            <a:t>DIRECTOR GENERAL DE ADMINISTRACION Y FINANZAS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ADEC6D3C-18D8-43CC-BB85-C62A34FDF462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98226E61-46BA-4E31-88EA-804D34819706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E7725F7D-8CC7-439B-8C62-178768A572D4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397532</xdr:colOff>
      <xdr:row>0</xdr:row>
      <xdr:rowOff>0</xdr:rowOff>
    </xdr:from>
    <xdr:ext cx="1478446" cy="254557"/>
    <xdr:sp macro="" textlink="">
      <xdr:nvSpPr>
        <xdr:cNvPr id="5" name="11 CuadroTexto">
          <a:extLst>
            <a:ext uri="{FF2B5EF4-FFF2-40B4-BE49-F238E27FC236}">
              <a16:creationId xmlns:a16="http://schemas.microsoft.com/office/drawing/2014/main" id="{A1AF05F1-1745-4BCB-B7BA-FD3C48B16313}"/>
            </a:ext>
          </a:extLst>
        </xdr:cNvPr>
        <xdr:cNvSpPr txBox="1"/>
      </xdr:nvSpPr>
      <xdr:spPr>
        <a:xfrm>
          <a:off x="4159907" y="0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ETCA-II-07</a:t>
          </a:r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48457E8-2048-49DF-8538-6EA42931BE5B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8E1301B7-325B-4406-8291-FBB7429BE64E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6CC7BD41-9CEF-43BE-B729-B98548D15D6F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</xdr:row>
      <xdr:rowOff>142875</xdr:rowOff>
    </xdr:from>
    <xdr:ext cx="184731" cy="264560"/>
    <xdr:sp macro="" textlink="">
      <xdr:nvSpPr>
        <xdr:cNvPr id="9" name="4 CuadroTexto">
          <a:extLst>
            <a:ext uri="{FF2B5EF4-FFF2-40B4-BE49-F238E27FC236}">
              <a16:creationId xmlns:a16="http://schemas.microsoft.com/office/drawing/2014/main" id="{317380CD-6EC7-4D26-9EFA-FCBB92A8E899}"/>
            </a:ext>
          </a:extLst>
        </xdr:cNvPr>
        <xdr:cNvSpPr txBox="1"/>
      </xdr:nvSpPr>
      <xdr:spPr>
        <a:xfrm>
          <a:off x="451485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E77CEE18-6A43-4B03-8E35-D8E31DF9F23D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7B9EB068-912B-4983-8CDB-42D8542AC327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A85215B2-F62F-4DD4-B083-D8372D7EC9E1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A9D5221-E028-4ADA-9297-6AA69E5A7335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39</xdr:row>
      <xdr:rowOff>0</xdr:rowOff>
    </xdr:from>
    <xdr:ext cx="184731" cy="264560"/>
    <xdr:sp macro="" textlink="">
      <xdr:nvSpPr>
        <xdr:cNvPr id="14" name="4 CuadroTexto">
          <a:extLst>
            <a:ext uri="{FF2B5EF4-FFF2-40B4-BE49-F238E27FC236}">
              <a16:creationId xmlns:a16="http://schemas.microsoft.com/office/drawing/2014/main" id="{74A3858D-1C6B-41EB-9BDD-7D961110724E}"/>
            </a:ext>
          </a:extLst>
        </xdr:cNvPr>
        <xdr:cNvSpPr txBox="1"/>
      </xdr:nvSpPr>
      <xdr:spPr>
        <a:xfrm>
          <a:off x="4514850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6D916EB7-E6EF-4328-AAFB-CE2281746571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F7B9B0E1-80C4-42C7-A393-E83A6701E083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13784561-E011-4ADD-9244-6F0C21D97F0F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91389FEF-B210-4682-BEF5-BF987A3C2131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39</xdr:row>
      <xdr:rowOff>0</xdr:rowOff>
    </xdr:from>
    <xdr:ext cx="184731" cy="264560"/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2715AB6D-E3E7-4D91-AE4F-359BB1C74884}"/>
            </a:ext>
          </a:extLst>
        </xdr:cNvPr>
        <xdr:cNvSpPr txBox="1"/>
      </xdr:nvSpPr>
      <xdr:spPr>
        <a:xfrm>
          <a:off x="4514850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819979</xdr:colOff>
      <xdr:row>3</xdr:row>
      <xdr:rowOff>157370</xdr:rowOff>
    </xdr:from>
    <xdr:ext cx="2790824" cy="254557"/>
    <xdr:sp macro="" textlink="">
      <xdr:nvSpPr>
        <xdr:cNvPr id="20" name="4 CuadroTexto">
          <a:extLst>
            <a:ext uri="{FF2B5EF4-FFF2-40B4-BE49-F238E27FC236}">
              <a16:creationId xmlns:a16="http://schemas.microsoft.com/office/drawing/2014/main" id="{BADC515D-30BC-4187-B5F2-C92585E2A3C0}"/>
            </a:ext>
          </a:extLst>
        </xdr:cNvPr>
        <xdr:cNvSpPr txBox="1"/>
      </xdr:nvSpPr>
      <xdr:spPr>
        <a:xfrm>
          <a:off x="3010729" y="72887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TERCERO</a:t>
          </a:r>
        </a:p>
      </xdr:txBody>
    </xdr:sp>
    <xdr:clientData/>
  </xdr:oneCellAnchor>
  <xdr:oneCellAnchor>
    <xdr:from>
      <xdr:col>0</xdr:col>
      <xdr:colOff>132522</xdr:colOff>
      <xdr:row>32</xdr:row>
      <xdr:rowOff>74544</xdr:rowOff>
    </xdr:from>
    <xdr:ext cx="3429000" cy="1056033"/>
    <xdr:sp macro="" textlink="">
      <xdr:nvSpPr>
        <xdr:cNvPr id="21" name="CuadroTexto 5">
          <a:extLst>
            <a:ext uri="{FF2B5EF4-FFF2-40B4-BE49-F238E27FC236}">
              <a16:creationId xmlns:a16="http://schemas.microsoft.com/office/drawing/2014/main" id="{ECE69667-85A5-4E8F-B940-3798315575A6}"/>
            </a:ext>
          </a:extLst>
        </xdr:cNvPr>
        <xdr:cNvSpPr txBox="1"/>
      </xdr:nvSpPr>
      <xdr:spPr>
        <a:xfrm>
          <a:off x="132522" y="6170544"/>
          <a:ext cx="3429000" cy="10560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           _____________________________________</a:t>
          </a:r>
        </a:p>
        <a:p>
          <a:pPr algn="ctr"/>
          <a:r>
            <a:rPr lang="es-MX" sz="1100" baseline="0"/>
            <a:t>C.P. LEONOR AMPARO LANDAVAZO GUTIERREZ</a:t>
          </a:r>
        </a:p>
        <a:p>
          <a:pPr algn="ctr"/>
          <a:r>
            <a:rPr lang="es-MX" sz="1100" baseline="0"/>
            <a:t>DIRECTOR ADMINISTRATIVO</a:t>
          </a:r>
        </a:p>
      </xdr:txBody>
    </xdr:sp>
    <xdr:clientData/>
  </xdr:oneCellAnchor>
  <xdr:oneCellAnchor>
    <xdr:from>
      <xdr:col>3</xdr:col>
      <xdr:colOff>357251</xdr:colOff>
      <xdr:row>32</xdr:row>
      <xdr:rowOff>107674</xdr:rowOff>
    </xdr:from>
    <xdr:ext cx="3181350" cy="828675"/>
    <xdr:sp macro="" textlink="">
      <xdr:nvSpPr>
        <xdr:cNvPr id="22" name="CuadroTexto 5">
          <a:extLst>
            <a:ext uri="{FF2B5EF4-FFF2-40B4-BE49-F238E27FC236}">
              <a16:creationId xmlns:a16="http://schemas.microsoft.com/office/drawing/2014/main" id="{F2E2BDE6-5C72-4D9F-A9B8-17E26638F30C}"/>
            </a:ext>
          </a:extLst>
        </xdr:cNvPr>
        <xdr:cNvSpPr txBox="1"/>
      </xdr:nvSpPr>
      <xdr:spPr>
        <a:xfrm>
          <a:off x="2614676" y="6203674"/>
          <a:ext cx="3181350" cy="828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MARIO ALBERTO MERINO DIAZ</a:t>
          </a:r>
        </a:p>
        <a:p>
          <a:pPr algn="ctr"/>
          <a:r>
            <a:rPr lang="es-MX" sz="1100"/>
            <a:t>DIRECTOR GENERAL DE ADMINISTRACION Y FINANZAS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685801</xdr:colOff>
      <xdr:row>0</xdr:row>
      <xdr:rowOff>19050</xdr:rowOff>
    </xdr:from>
    <xdr:ext cx="1228724" cy="26670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F344B112-2930-45E2-94BE-4F76E7F55FB0}"/>
            </a:ext>
          </a:extLst>
        </xdr:cNvPr>
        <xdr:cNvSpPr txBox="1"/>
      </xdr:nvSpPr>
      <xdr:spPr>
        <a:xfrm>
          <a:off x="4495801" y="19050"/>
          <a:ext cx="1228724" cy="266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ETCA-II-08</a:t>
          </a:r>
        </a:p>
      </xdr:txBody>
    </xdr:sp>
    <xdr:clientData/>
  </xdr:oneCellAnchor>
  <xdr:oneCellAnchor>
    <xdr:from>
      <xdr:col>3</xdr:col>
      <xdr:colOff>752475</xdr:colOff>
      <xdr:row>3</xdr:row>
      <xdr:rowOff>152400</xdr:rowOff>
    </xdr:from>
    <xdr:ext cx="2790824" cy="254557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8CF65FCD-A82D-4CCF-A925-7971C0333170}"/>
            </a:ext>
          </a:extLst>
        </xdr:cNvPr>
        <xdr:cNvSpPr txBox="1"/>
      </xdr:nvSpPr>
      <xdr:spPr>
        <a:xfrm>
          <a:off x="3038475" y="72390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TERCERO</a:t>
          </a:r>
        </a:p>
      </xdr:txBody>
    </xdr:sp>
    <xdr:clientData/>
  </xdr:oneCellAnchor>
  <xdr:oneCellAnchor>
    <xdr:from>
      <xdr:col>0</xdr:col>
      <xdr:colOff>0</xdr:colOff>
      <xdr:row>34</xdr:row>
      <xdr:rowOff>142875</xdr:rowOff>
    </xdr:from>
    <xdr:ext cx="3429000" cy="666749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54C1AFE9-4E71-4592-9F14-4C4B62445D11}"/>
            </a:ext>
          </a:extLst>
        </xdr:cNvPr>
        <xdr:cNvSpPr txBox="1"/>
      </xdr:nvSpPr>
      <xdr:spPr>
        <a:xfrm>
          <a:off x="0" y="6619875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            _____________________________________</a:t>
          </a:r>
        </a:p>
        <a:p>
          <a:pPr algn="ctr"/>
          <a:r>
            <a:rPr lang="es-MX" sz="1100" baseline="0"/>
            <a:t>C.P. LEONOR AMPARO LANDAVAZO GUTIERREZ</a:t>
          </a:r>
        </a:p>
        <a:p>
          <a:pPr algn="ctr"/>
          <a:r>
            <a:rPr lang="es-MX" sz="1100" baseline="0"/>
            <a:t>DIRECTOR ADMINISTRATIVO</a:t>
          </a:r>
        </a:p>
      </xdr:txBody>
    </xdr:sp>
    <xdr:clientData/>
  </xdr:oneCellAnchor>
  <xdr:oneCellAnchor>
    <xdr:from>
      <xdr:col>3</xdr:col>
      <xdr:colOff>237153</xdr:colOff>
      <xdr:row>34</xdr:row>
      <xdr:rowOff>161925</xdr:rowOff>
    </xdr:from>
    <xdr:ext cx="3181350" cy="628650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5367F8D7-A878-446A-B5C4-FB73E408DBB8}"/>
            </a:ext>
          </a:extLst>
        </xdr:cNvPr>
        <xdr:cNvSpPr txBox="1"/>
      </xdr:nvSpPr>
      <xdr:spPr>
        <a:xfrm>
          <a:off x="2523153" y="6638925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MARIO ALBERTO MERINO DIAZ</a:t>
          </a:r>
        </a:p>
        <a:p>
          <a:pPr algn="ctr"/>
          <a:r>
            <a:rPr lang="es-MX" sz="1100"/>
            <a:t>DIRECTOR GENERAL DE ADMINISTRACION Y FINANZAS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DD7E07D7-FBC5-4F34-B052-965F647062D2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8B9E6409-8C70-4BC7-A6C7-539EA0805CBF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6BE8FFE0-74F2-4BF5-9997-F0D12F8A08DF}"/>
            </a:ext>
          </a:extLst>
        </xdr:cNvPr>
        <xdr:cNvSpPr txBox="1"/>
      </xdr:nvSpPr>
      <xdr:spPr>
        <a:xfrm>
          <a:off x="752475" y="361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475DA62F-8C60-4331-B0C3-D4930A7F2B59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B0F25CC3-CE63-4C1B-B1DA-2AA2F7942A34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A9F82854-6F36-4516-9AB4-7D9A29A0FFEF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8" name="4 CuadroTexto">
          <a:extLst>
            <a:ext uri="{FF2B5EF4-FFF2-40B4-BE49-F238E27FC236}">
              <a16:creationId xmlns:a16="http://schemas.microsoft.com/office/drawing/2014/main" id="{5C4939DF-159E-4D46-A1DD-414C21E2BB23}"/>
            </a:ext>
          </a:extLst>
        </xdr:cNvPr>
        <xdr:cNvSpPr txBox="1"/>
      </xdr:nvSpPr>
      <xdr:spPr>
        <a:xfrm>
          <a:off x="45148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301073</xdr:colOff>
      <xdr:row>0</xdr:row>
      <xdr:rowOff>16566</xdr:rowOff>
    </xdr:from>
    <xdr:ext cx="1478446" cy="254557"/>
    <xdr:sp macro="" textlink="">
      <xdr:nvSpPr>
        <xdr:cNvPr id="9" name="11 CuadroTexto">
          <a:extLst>
            <a:ext uri="{FF2B5EF4-FFF2-40B4-BE49-F238E27FC236}">
              <a16:creationId xmlns:a16="http://schemas.microsoft.com/office/drawing/2014/main" id="{3DC05B34-0CE7-4C1D-85B9-6612304B3006}"/>
            </a:ext>
          </a:extLst>
        </xdr:cNvPr>
        <xdr:cNvSpPr txBox="1"/>
      </xdr:nvSpPr>
      <xdr:spPr>
        <a:xfrm>
          <a:off x="4063448" y="16566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ETCA-II-09</a:t>
          </a:r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5285A4A2-8D90-4EE2-9E33-5E33AF5216C3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5C6E62C4-2718-4742-8661-015B7C198BAD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CC8E4B5A-2C20-4EB3-8A79-6AE610C55737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A59BECA3-830F-48AA-97A8-7536D5540988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0</xdr:colOff>
      <xdr:row>3</xdr:row>
      <xdr:rowOff>142875</xdr:rowOff>
    </xdr:from>
    <xdr:ext cx="184731" cy="264560"/>
    <xdr:sp macro="" textlink="">
      <xdr:nvSpPr>
        <xdr:cNvPr id="14" name="4 CuadroTexto">
          <a:extLst>
            <a:ext uri="{FF2B5EF4-FFF2-40B4-BE49-F238E27FC236}">
              <a16:creationId xmlns:a16="http://schemas.microsoft.com/office/drawing/2014/main" id="{15D10536-3EDC-41AE-8F29-1ECEB88D6A18}"/>
            </a:ext>
          </a:extLst>
        </xdr:cNvPr>
        <xdr:cNvSpPr txBox="1"/>
      </xdr:nvSpPr>
      <xdr:spPr>
        <a:xfrm>
          <a:off x="37623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E9930BBC-6E8D-4DE6-8630-86F19DB24925}"/>
            </a:ext>
          </a:extLst>
        </xdr:cNvPr>
        <xdr:cNvSpPr txBox="1"/>
      </xdr:nvSpPr>
      <xdr:spPr>
        <a:xfrm>
          <a:off x="752475" y="361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39633AFC-EB83-49E5-9864-34D7F09DE7C9}"/>
            </a:ext>
          </a:extLst>
        </xdr:cNvPr>
        <xdr:cNvSpPr txBox="1"/>
      </xdr:nvSpPr>
      <xdr:spPr>
        <a:xfrm>
          <a:off x="752475" y="361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6DB9DBEE-BCDA-4778-A925-D770994EA19B}"/>
            </a:ext>
          </a:extLst>
        </xdr:cNvPr>
        <xdr:cNvSpPr txBox="1"/>
      </xdr:nvSpPr>
      <xdr:spPr>
        <a:xfrm>
          <a:off x="752475" y="361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D0F16B2C-D4A1-41F1-AF81-D1627E1AC6BF}"/>
            </a:ext>
          </a:extLst>
        </xdr:cNvPr>
        <xdr:cNvSpPr txBox="1"/>
      </xdr:nvSpPr>
      <xdr:spPr>
        <a:xfrm>
          <a:off x="752475" y="361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CCCC8858-7F04-471B-B5F5-11BECDBAC410}"/>
            </a:ext>
          </a:extLst>
        </xdr:cNvPr>
        <xdr:cNvSpPr txBox="1"/>
      </xdr:nvSpPr>
      <xdr:spPr>
        <a:xfrm>
          <a:off x="4514850" y="361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695325</xdr:colOff>
      <xdr:row>3</xdr:row>
      <xdr:rowOff>133350</xdr:rowOff>
    </xdr:from>
    <xdr:ext cx="2790824" cy="254557"/>
    <xdr:sp macro="" textlink="">
      <xdr:nvSpPr>
        <xdr:cNvPr id="20" name="4 CuadroTexto">
          <a:extLst>
            <a:ext uri="{FF2B5EF4-FFF2-40B4-BE49-F238E27FC236}">
              <a16:creationId xmlns:a16="http://schemas.microsoft.com/office/drawing/2014/main" id="{53208560-98F0-430C-ADC6-F2E4F161E114}"/>
            </a:ext>
          </a:extLst>
        </xdr:cNvPr>
        <xdr:cNvSpPr txBox="1"/>
      </xdr:nvSpPr>
      <xdr:spPr>
        <a:xfrm>
          <a:off x="2952750" y="70485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TERCERO</a:t>
          </a:r>
        </a:p>
      </xdr:txBody>
    </xdr:sp>
    <xdr:clientData/>
  </xdr:oneCellAnchor>
  <xdr:oneCellAnchor>
    <xdr:from>
      <xdr:col>0</xdr:col>
      <xdr:colOff>666750</xdr:colOff>
      <xdr:row>15</xdr:row>
      <xdr:rowOff>152400</xdr:rowOff>
    </xdr:from>
    <xdr:ext cx="3429000" cy="666749"/>
    <xdr:sp macro="" textlink="">
      <xdr:nvSpPr>
        <xdr:cNvPr id="21" name="CuadroTexto 5">
          <a:extLst>
            <a:ext uri="{FF2B5EF4-FFF2-40B4-BE49-F238E27FC236}">
              <a16:creationId xmlns:a16="http://schemas.microsoft.com/office/drawing/2014/main" id="{4FBAF0EF-889C-4FA8-857E-775FD7835293}"/>
            </a:ext>
          </a:extLst>
        </xdr:cNvPr>
        <xdr:cNvSpPr txBox="1"/>
      </xdr:nvSpPr>
      <xdr:spPr>
        <a:xfrm>
          <a:off x="666750" y="3009900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           _____________________________________</a:t>
          </a:r>
        </a:p>
        <a:p>
          <a:pPr algn="ctr"/>
          <a:r>
            <a:rPr lang="es-MX" sz="1100" baseline="0"/>
            <a:t>C.P. LEONOR AMPARO LANDAVAZO GUTIERREZ</a:t>
          </a:r>
        </a:p>
        <a:p>
          <a:pPr algn="ctr"/>
          <a:r>
            <a:rPr lang="es-MX" sz="1100" baseline="0"/>
            <a:t>DIRECTOR ADMINISTRATIVO</a:t>
          </a:r>
        </a:p>
      </xdr:txBody>
    </xdr:sp>
    <xdr:clientData/>
  </xdr:oneCellAnchor>
  <xdr:oneCellAnchor>
    <xdr:from>
      <xdr:col>3</xdr:col>
      <xdr:colOff>265728</xdr:colOff>
      <xdr:row>15</xdr:row>
      <xdr:rowOff>171450</xdr:rowOff>
    </xdr:from>
    <xdr:ext cx="3181350" cy="628650"/>
    <xdr:sp macro="" textlink="">
      <xdr:nvSpPr>
        <xdr:cNvPr id="22" name="CuadroTexto 5">
          <a:extLst>
            <a:ext uri="{FF2B5EF4-FFF2-40B4-BE49-F238E27FC236}">
              <a16:creationId xmlns:a16="http://schemas.microsoft.com/office/drawing/2014/main" id="{82A688EB-095F-4CEE-80FF-8080F8971FF6}"/>
            </a:ext>
          </a:extLst>
        </xdr:cNvPr>
        <xdr:cNvSpPr txBox="1"/>
      </xdr:nvSpPr>
      <xdr:spPr>
        <a:xfrm>
          <a:off x="2523153" y="3028950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MARIO ALBERTO MERINO DIAZ</a:t>
          </a:r>
        </a:p>
        <a:p>
          <a:pPr algn="ctr"/>
          <a:r>
            <a:rPr lang="es-MX" sz="1100"/>
            <a:t>DIRECTOR GENERAL DE ADMINISTRACION Y FINANZAS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ria.lugo\Desktop\Cuenta%20publica\CEA\2020\3T\CTA%20CONTABLE%203T20.xlsx" TargetMode="External"/><Relationship Id="rId1" Type="http://schemas.openxmlformats.org/officeDocument/2006/relationships/externalLinkPath" Target="CTA%20CONTABLE%203T2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ria.lugo\Desktop\Cuenta%20publica\CEA\2020\3T\CEA-etca-ejercico-2020-y-etca-iv-06%203ER%20TRIM%202020.xlsx" TargetMode="External"/><Relationship Id="rId1" Type="http://schemas.openxmlformats.org/officeDocument/2006/relationships/externalLinkPath" Target="CEA-etca-ejercico-2020-y-etca-iv-06%203ER%20TRIM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merica%20Encinas\AppData\Roaming\Microsoft\Excel\PT%20Gastos%20x%20partida%20ppt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rica%20Encinas/AppData/Roaming/Microsoft/Excel/PT%20Gastos%20x%20partida%20pp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-01"/>
      <sheetName val="ETCA-I-02"/>
      <sheetName val="ETCA-I-03"/>
      <sheetName val="ETCA-I-04"/>
      <sheetName val="ETCA-I-05"/>
      <sheetName val="ETCA-I-06"/>
      <sheetName val="ETCA-I-07"/>
      <sheetName val="ETCA-I-08"/>
      <sheetName val="ETCA-I-09"/>
      <sheetName val="ETCA-I-10"/>
      <sheetName val="ETCA-I-11"/>
      <sheetName val="ETCA-I-12 (NOTAS)"/>
    </sheetNames>
    <sheetDataSet>
      <sheetData sheetId="0">
        <row r="1">
          <cell r="A1" t="str">
            <v xml:space="preserve">Comision Estatal del Agua </v>
          </cell>
        </row>
        <row r="3">
          <cell r="A3" t="str">
            <v>Al 30 de Septiembre de 2020</v>
          </cell>
        </row>
      </sheetData>
      <sheetData sheetId="1">
        <row r="10">
          <cell r="B10">
            <v>67247249.090000004</v>
          </cell>
        </row>
      </sheetData>
      <sheetData sheetId="2">
        <row r="3">
          <cell r="A3" t="str">
            <v>Del 01 de enero  al 30 de Septiembre de 2020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4">
          <cell r="C24">
            <v>405552178.42999995</v>
          </cell>
        </row>
        <row r="52">
          <cell r="C52">
            <v>5056005.32</v>
          </cell>
        </row>
        <row r="61">
          <cell r="C61">
            <v>379598112.61000001</v>
          </cell>
        </row>
      </sheetData>
      <sheetData sheetId="3"/>
      <sheetData sheetId="4" refreshError="1"/>
      <sheetData sheetId="5"/>
      <sheetData sheetId="6"/>
      <sheetData sheetId="7"/>
      <sheetData sheetId="8"/>
      <sheetData sheetId="9">
        <row r="3">
          <cell r="A3" t="str">
            <v>Del 01 de enero  al 30 de Septiembre de 2020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a  FORMATOS  "/>
      <sheetName val="ETCA-III-01"/>
      <sheetName val="ETCA-III-03"/>
      <sheetName val="ETCA-III-04"/>
      <sheetName val="ETCA-III-05"/>
      <sheetName val="ETCA-IV-01"/>
      <sheetName val="ETCA-IV-02"/>
      <sheetName val="ETCA-IV-03"/>
      <sheetName val="ETCA-IV-06"/>
      <sheetName val="ANEXO A"/>
      <sheetName val="ANEXO B"/>
      <sheetName val="ANEXO 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76886-64CD-4300-A42A-83A6B06CCA97}">
  <sheetPr>
    <tabColor theme="0" tint="-0.14999847407452621"/>
  </sheetPr>
  <dimension ref="A1:H57"/>
  <sheetViews>
    <sheetView tabSelected="1" view="pageBreakPreview" topLeftCell="A34" zoomScaleNormal="100" zoomScaleSheetLayoutView="100" workbookViewId="0">
      <selection activeCell="D30" sqref="D30"/>
    </sheetView>
  </sheetViews>
  <sheetFormatPr baseColWidth="10" defaultColWidth="11.28515625" defaultRowHeight="16.5" x14ac:dyDescent="0.25"/>
  <cols>
    <col min="1" max="1" width="1.140625" style="2" customWidth="1"/>
    <col min="2" max="2" width="31.7109375" style="2" customWidth="1"/>
    <col min="3" max="4" width="14.28515625" style="1" customWidth="1"/>
    <col min="5" max="5" width="13.140625" style="1" customWidth="1"/>
    <col min="6" max="6" width="14" style="1" customWidth="1"/>
    <col min="7" max="7" width="15" style="1" customWidth="1"/>
    <col min="8" max="8" width="14.28515625" style="1" customWidth="1"/>
    <col min="9" max="16384" width="11.28515625" style="1"/>
  </cols>
  <sheetData>
    <row r="1" spans="1:8" x14ac:dyDescent="0.25">
      <c r="A1" s="105" t="str">
        <f>'[1]ETCA-I-01'!A1:G1</f>
        <v xml:space="preserve">Comision Estatal del Agua </v>
      </c>
      <c r="B1" s="105"/>
      <c r="C1" s="105"/>
      <c r="D1" s="105"/>
      <c r="E1" s="105"/>
      <c r="F1" s="105"/>
      <c r="G1" s="105"/>
      <c r="H1" s="105"/>
    </row>
    <row r="2" spans="1:8" s="103" customFormat="1" ht="15.75" x14ac:dyDescent="0.25">
      <c r="A2" s="105" t="s">
        <v>40</v>
      </c>
      <c r="B2" s="105"/>
      <c r="C2" s="105"/>
      <c r="D2" s="105"/>
      <c r="E2" s="105"/>
      <c r="F2" s="105"/>
      <c r="G2" s="105"/>
      <c r="H2" s="105"/>
    </row>
    <row r="3" spans="1:8" s="103" customFormat="1" x14ac:dyDescent="0.25">
      <c r="A3" s="104" t="str">
        <f>'[1]ETCA-I-03'!A3:D3</f>
        <v>Del 01 de enero  al 30 de Septiembre de 2020</v>
      </c>
      <c r="B3" s="104"/>
      <c r="C3" s="104"/>
      <c r="D3" s="104"/>
      <c r="E3" s="104"/>
      <c r="F3" s="104"/>
      <c r="G3" s="104"/>
      <c r="H3" s="104"/>
    </row>
    <row r="4" spans="1:8" s="26" customFormat="1" ht="17.25" thickBot="1" x14ac:dyDescent="0.3">
      <c r="A4" s="102"/>
      <c r="B4" s="102"/>
      <c r="C4" s="101"/>
      <c r="D4" s="101"/>
      <c r="E4" s="101"/>
      <c r="F4" s="101"/>
      <c r="G4" s="100"/>
      <c r="H4" s="99"/>
    </row>
    <row r="5" spans="1:8" s="55" customFormat="1" ht="17.25" thickBot="1" x14ac:dyDescent="0.3">
      <c r="A5" s="98" t="s">
        <v>39</v>
      </c>
      <c r="B5" s="97"/>
      <c r="C5" s="68" t="s">
        <v>33</v>
      </c>
      <c r="D5" s="67"/>
      <c r="E5" s="67"/>
      <c r="F5" s="67"/>
      <c r="G5" s="66"/>
      <c r="H5" s="65"/>
    </row>
    <row r="6" spans="1:8" s="55" customFormat="1" ht="39" thickBot="1" x14ac:dyDescent="0.3">
      <c r="A6" s="96"/>
      <c r="B6" s="95"/>
      <c r="C6" s="62" t="s">
        <v>32</v>
      </c>
      <c r="D6" s="62" t="s">
        <v>31</v>
      </c>
      <c r="E6" s="62" t="s">
        <v>30</v>
      </c>
      <c r="F6" s="61" t="s">
        <v>29</v>
      </c>
      <c r="G6" s="61" t="s">
        <v>28</v>
      </c>
      <c r="H6" s="60" t="s">
        <v>27</v>
      </c>
    </row>
    <row r="7" spans="1:8" s="55" customFormat="1" ht="17.25" thickBot="1" x14ac:dyDescent="0.3">
      <c r="A7" s="94"/>
      <c r="B7" s="93"/>
      <c r="C7" s="56" t="s">
        <v>26</v>
      </c>
      <c r="D7" s="56" t="s">
        <v>25</v>
      </c>
      <c r="E7" s="56" t="s">
        <v>24</v>
      </c>
      <c r="F7" s="57" t="s">
        <v>23</v>
      </c>
      <c r="G7" s="57" t="s">
        <v>22</v>
      </c>
      <c r="H7" s="56" t="s">
        <v>21</v>
      </c>
    </row>
    <row r="8" spans="1:8" s="55" customFormat="1" ht="8.25" customHeight="1" x14ac:dyDescent="0.25">
      <c r="A8" s="92"/>
      <c r="B8" s="11"/>
      <c r="C8" s="91"/>
      <c r="D8" s="91"/>
      <c r="E8" s="90"/>
      <c r="F8" s="91"/>
      <c r="G8" s="91"/>
      <c r="H8" s="90"/>
    </row>
    <row r="9" spans="1:8" ht="17.100000000000001" customHeight="1" x14ac:dyDescent="0.25">
      <c r="A9" s="88"/>
      <c r="B9" s="87" t="s">
        <v>38</v>
      </c>
      <c r="C9" s="47"/>
      <c r="D9" s="47"/>
      <c r="E9" s="86">
        <f>C9+D9</f>
        <v>0</v>
      </c>
      <c r="F9" s="47"/>
      <c r="G9" s="47"/>
      <c r="H9" s="86">
        <f>G9-C9</f>
        <v>0</v>
      </c>
    </row>
    <row r="10" spans="1:8" ht="17.100000000000001" customHeight="1" x14ac:dyDescent="0.25">
      <c r="A10" s="88"/>
      <c r="B10" s="87" t="s">
        <v>12</v>
      </c>
      <c r="C10" s="47">
        <v>0</v>
      </c>
      <c r="D10" s="47">
        <v>0</v>
      </c>
      <c r="E10" s="86">
        <f>C10+D10</f>
        <v>0</v>
      </c>
      <c r="F10" s="47">
        <v>0</v>
      </c>
      <c r="G10" s="47">
        <v>0</v>
      </c>
      <c r="H10" s="86">
        <f>G10-C10</f>
        <v>0</v>
      </c>
    </row>
    <row r="11" spans="1:8" ht="17.100000000000001" customHeight="1" x14ac:dyDescent="0.25">
      <c r="A11" s="88"/>
      <c r="B11" s="87" t="s">
        <v>18</v>
      </c>
      <c r="C11" s="47">
        <v>0</v>
      </c>
      <c r="D11" s="47"/>
      <c r="E11" s="86">
        <f>C11+D11</f>
        <v>0</v>
      </c>
      <c r="F11" s="47"/>
      <c r="G11" s="47"/>
      <c r="H11" s="86">
        <f>G11-C11</f>
        <v>0</v>
      </c>
    </row>
    <row r="12" spans="1:8" ht="17.100000000000001" customHeight="1" x14ac:dyDescent="0.25">
      <c r="A12" s="88"/>
      <c r="B12" s="87" t="s">
        <v>17</v>
      </c>
      <c r="C12" s="47">
        <v>0</v>
      </c>
      <c r="D12" s="47"/>
      <c r="E12" s="86">
        <f>C12+D12</f>
        <v>0</v>
      </c>
      <c r="F12" s="47"/>
      <c r="G12" s="47"/>
      <c r="H12" s="86">
        <f>G12-C12</f>
        <v>0</v>
      </c>
    </row>
    <row r="13" spans="1:8" ht="17.100000000000001" customHeight="1" x14ac:dyDescent="0.25">
      <c r="A13" s="88"/>
      <c r="B13" s="87" t="s">
        <v>37</v>
      </c>
      <c r="C13" s="47">
        <v>0</v>
      </c>
      <c r="D13" s="47">
        <v>545074.25</v>
      </c>
      <c r="E13" s="86">
        <f>C13+D13</f>
        <v>545074.25</v>
      </c>
      <c r="F13" s="47">
        <v>545074.25</v>
      </c>
      <c r="G13" s="89">
        <v>545074.25</v>
      </c>
      <c r="H13" s="86">
        <f>G13-C13</f>
        <v>545074.25</v>
      </c>
    </row>
    <row r="14" spans="1:8" ht="17.100000000000001" customHeight="1" x14ac:dyDescent="0.25">
      <c r="A14" s="88"/>
      <c r="B14" s="87" t="s">
        <v>36</v>
      </c>
      <c r="C14" s="47">
        <v>0</v>
      </c>
      <c r="D14" s="47"/>
      <c r="E14" s="86">
        <f>C14+D14</f>
        <v>0</v>
      </c>
      <c r="F14" s="47"/>
      <c r="G14" s="47"/>
      <c r="H14" s="86">
        <f>G14-C14</f>
        <v>0</v>
      </c>
    </row>
    <row r="15" spans="1:8" ht="29.25" customHeight="1" x14ac:dyDescent="0.25">
      <c r="A15" s="88"/>
      <c r="B15" s="87" t="s">
        <v>35</v>
      </c>
      <c r="C15" s="47">
        <v>236101777</v>
      </c>
      <c r="D15" s="47">
        <v>15729355.27</v>
      </c>
      <c r="E15" s="86">
        <f>C15+D15</f>
        <v>251831132.27000001</v>
      </c>
      <c r="F15" s="47">
        <v>137525427.03</v>
      </c>
      <c r="G15" s="47">
        <v>137525427.03</v>
      </c>
      <c r="H15" s="86">
        <f>G15-C15</f>
        <v>-98576349.969999999</v>
      </c>
    </row>
    <row r="16" spans="1:8" ht="55.5" customHeight="1" x14ac:dyDescent="0.25">
      <c r="A16" s="88"/>
      <c r="B16" s="87" t="s">
        <v>14</v>
      </c>
      <c r="C16" s="47">
        <v>88275234</v>
      </c>
      <c r="D16" s="47">
        <v>13590737</v>
      </c>
      <c r="E16" s="86">
        <f>C16+D16</f>
        <v>101865971</v>
      </c>
      <c r="F16" s="47">
        <v>38932167.200000003</v>
      </c>
      <c r="G16" s="47">
        <v>38932167.200000003</v>
      </c>
      <c r="H16" s="86">
        <f>G16-C16</f>
        <v>-49343066.799999997</v>
      </c>
    </row>
    <row r="17" spans="1:8" ht="25.5" x14ac:dyDescent="0.25">
      <c r="A17" s="88"/>
      <c r="B17" s="87" t="s">
        <v>9</v>
      </c>
      <c r="C17" s="47">
        <v>299012407</v>
      </c>
      <c r="D17" s="47">
        <v>74247050.060000002</v>
      </c>
      <c r="E17" s="86">
        <f>C17+D17</f>
        <v>373259457.06</v>
      </c>
      <c r="F17" s="47">
        <v>228549509.94999999</v>
      </c>
      <c r="G17" s="47">
        <v>228549509.94999999</v>
      </c>
      <c r="H17" s="86">
        <f>G17-C17</f>
        <v>-70462897.050000012</v>
      </c>
    </row>
    <row r="18" spans="1:8" ht="17.100000000000001" customHeight="1" thickBot="1" x14ac:dyDescent="0.3">
      <c r="A18" s="85"/>
      <c r="B18" s="84" t="s">
        <v>7</v>
      </c>
      <c r="C18" s="83"/>
      <c r="D18" s="83"/>
      <c r="E18" s="82">
        <f>C18+D18</f>
        <v>0</v>
      </c>
      <c r="F18" s="83"/>
      <c r="G18" s="83"/>
      <c r="H18" s="82">
        <f>G18-C18</f>
        <v>0</v>
      </c>
    </row>
    <row r="19" spans="1:8" s="78" customFormat="1" ht="28.5" customHeight="1" thickBot="1" x14ac:dyDescent="0.3">
      <c r="A19" s="81" t="s">
        <v>6</v>
      </c>
      <c r="B19" s="80"/>
      <c r="C19" s="79">
        <f>C9+C10+C11+C12+C13+C14+C15+C16+C17+C18</f>
        <v>623389418</v>
      </c>
      <c r="D19" s="79">
        <f>D9+D10+D11+D12+D13+D14+D15+D16+D17+D18</f>
        <v>104112216.58</v>
      </c>
      <c r="E19" s="79">
        <f>E9+E10+E11+E12+E13+E14+E15+E16+E17+E18</f>
        <v>727501634.57999992</v>
      </c>
      <c r="F19" s="79">
        <f>F9+F10+F11+F12+F13+F14+F15+F16+F17+F18</f>
        <v>405552178.43000001</v>
      </c>
      <c r="G19" s="79">
        <f>G9+G10+G11+G12+G13+G14+G15+G16+G17+G18</f>
        <v>405552178.43000001</v>
      </c>
      <c r="H19" s="79">
        <f>G19-C19</f>
        <v>-217837239.56999999</v>
      </c>
    </row>
    <row r="20" spans="1:8" ht="22.5" customHeight="1" thickBot="1" x14ac:dyDescent="0.3">
      <c r="A20" s="22"/>
      <c r="B20" s="22"/>
      <c r="C20" s="77"/>
      <c r="D20" s="77"/>
      <c r="E20" s="77"/>
      <c r="F20" s="71"/>
      <c r="G20" s="76" t="s">
        <v>5</v>
      </c>
      <c r="H20" s="75" t="str">
        <f>IF(($G$19-$C$19)&lt;=0,"",$G$19-$C$19)</f>
        <v/>
      </c>
    </row>
    <row r="21" spans="1:8" ht="10.5" customHeight="1" thickBot="1" x14ac:dyDescent="0.3">
      <c r="A21" s="11"/>
      <c r="B21" s="11"/>
      <c r="C21" s="74"/>
      <c r="D21" s="74"/>
      <c r="E21" s="74"/>
      <c r="F21" s="73"/>
      <c r="G21" s="72"/>
      <c r="H21" s="71"/>
    </row>
    <row r="22" spans="1:8" s="55" customFormat="1" ht="17.25" thickBot="1" x14ac:dyDescent="0.3">
      <c r="A22" s="70" t="s">
        <v>34</v>
      </c>
      <c r="B22" s="69"/>
      <c r="C22" s="68" t="s">
        <v>33</v>
      </c>
      <c r="D22" s="67"/>
      <c r="E22" s="67"/>
      <c r="F22" s="67"/>
      <c r="G22" s="66"/>
      <c r="H22" s="65"/>
    </row>
    <row r="23" spans="1:8" s="55" customFormat="1" ht="39" thickBot="1" x14ac:dyDescent="0.3">
      <c r="A23" s="64"/>
      <c r="B23" s="63"/>
      <c r="C23" s="62" t="s">
        <v>32</v>
      </c>
      <c r="D23" s="62" t="s">
        <v>31</v>
      </c>
      <c r="E23" s="62" t="s">
        <v>30</v>
      </c>
      <c r="F23" s="61" t="s">
        <v>29</v>
      </c>
      <c r="G23" s="61" t="s">
        <v>28</v>
      </c>
      <c r="H23" s="60" t="s">
        <v>27</v>
      </c>
    </row>
    <row r="24" spans="1:8" s="55" customFormat="1" ht="17.25" thickBot="1" x14ac:dyDescent="0.3">
      <c r="A24" s="59"/>
      <c r="B24" s="58"/>
      <c r="C24" s="56" t="s">
        <v>26</v>
      </c>
      <c r="D24" s="56" t="s">
        <v>25</v>
      </c>
      <c r="E24" s="56" t="s">
        <v>24</v>
      </c>
      <c r="F24" s="57" t="s">
        <v>23</v>
      </c>
      <c r="G24" s="57" t="s">
        <v>22</v>
      </c>
      <c r="H24" s="56" t="s">
        <v>21</v>
      </c>
    </row>
    <row r="25" spans="1:8" s="26" customFormat="1" ht="48" customHeight="1" x14ac:dyDescent="0.25">
      <c r="A25" s="54" t="s">
        <v>20</v>
      </c>
      <c r="B25" s="53"/>
      <c r="C25" s="37">
        <f>SUM(C26,C27,C28,C29,C30,C31,C32,C33)</f>
        <v>88275234</v>
      </c>
      <c r="D25" s="37">
        <f>SUM(D26,D27,D28,D29,D30,D31,D32,D33)</f>
        <v>13590737</v>
      </c>
      <c r="E25" s="37">
        <f>SUM(E26,E27,E28,E29,E30,E31,E32,E33)</f>
        <v>101865971</v>
      </c>
      <c r="F25" s="37">
        <f>SUM(F26,F27,F28,F29,F30,F31,F32,F33)</f>
        <v>38932167.200000003</v>
      </c>
      <c r="G25" s="37">
        <f>SUM(G26,G27,G28,G29,G30,G31,G32,G33)</f>
        <v>38932167.200000003</v>
      </c>
      <c r="H25" s="37">
        <f>SUM(H26,H27,H28,H29,H30,H31,H32,H33)</f>
        <v>-49343066.799999997</v>
      </c>
    </row>
    <row r="26" spans="1:8" s="26" customFormat="1" ht="17.100000000000001" customHeight="1" x14ac:dyDescent="0.25">
      <c r="A26" s="52" t="s">
        <v>19</v>
      </c>
      <c r="B26" s="51"/>
      <c r="C26" s="33">
        <v>0</v>
      </c>
      <c r="D26" s="33">
        <v>0</v>
      </c>
      <c r="E26" s="34">
        <f>C26+D26</f>
        <v>0</v>
      </c>
      <c r="F26" s="33">
        <v>0</v>
      </c>
      <c r="G26" s="33">
        <v>0</v>
      </c>
      <c r="H26" s="32">
        <f>G26-C26</f>
        <v>0</v>
      </c>
    </row>
    <row r="27" spans="1:8" s="26" customFormat="1" ht="17.100000000000001" customHeight="1" x14ac:dyDescent="0.25">
      <c r="A27" s="52"/>
      <c r="B27" s="39" t="s">
        <v>12</v>
      </c>
      <c r="C27" s="33"/>
      <c r="D27" s="33"/>
      <c r="E27" s="34"/>
      <c r="F27" s="33"/>
      <c r="G27" s="33"/>
      <c r="H27" s="32"/>
    </row>
    <row r="28" spans="1:8" s="26" customFormat="1" ht="17.100000000000001" customHeight="1" x14ac:dyDescent="0.25">
      <c r="A28" s="52" t="s">
        <v>18</v>
      </c>
      <c r="B28" s="51"/>
      <c r="C28" s="33"/>
      <c r="D28" s="33"/>
      <c r="E28" s="34">
        <f>C28+D28</f>
        <v>0</v>
      </c>
      <c r="F28" s="33"/>
      <c r="G28" s="33"/>
      <c r="H28" s="32">
        <f>G28-C28</f>
        <v>0</v>
      </c>
    </row>
    <row r="29" spans="1:8" s="26" customFormat="1" x14ac:dyDescent="0.25">
      <c r="A29" s="46" t="s">
        <v>17</v>
      </c>
      <c r="B29" s="45"/>
      <c r="C29" s="33"/>
      <c r="D29" s="33"/>
      <c r="E29" s="34">
        <f>C29+D29</f>
        <v>0</v>
      </c>
      <c r="F29" s="33"/>
      <c r="G29" s="33"/>
      <c r="H29" s="32">
        <f>G29-C29</f>
        <v>0</v>
      </c>
    </row>
    <row r="30" spans="1:8" s="26" customFormat="1" ht="17.100000000000001" customHeight="1" x14ac:dyDescent="0.25">
      <c r="A30" s="46" t="s">
        <v>11</v>
      </c>
      <c r="B30" s="45"/>
      <c r="C30" s="33"/>
      <c r="D30" s="33"/>
      <c r="E30" s="34">
        <f>C30+D30</f>
        <v>0</v>
      </c>
      <c r="F30" s="33"/>
      <c r="G30" s="33"/>
      <c r="H30" s="32">
        <f>G30-C30</f>
        <v>0</v>
      </c>
    </row>
    <row r="31" spans="1:8" ht="17.100000000000001" customHeight="1" x14ac:dyDescent="0.25">
      <c r="A31" s="46" t="s">
        <v>16</v>
      </c>
      <c r="B31" s="45" t="s">
        <v>15</v>
      </c>
      <c r="C31" s="50"/>
      <c r="D31" s="50"/>
      <c r="E31" s="34">
        <f>C31+D31</f>
        <v>0</v>
      </c>
      <c r="F31" s="50"/>
      <c r="G31" s="50"/>
      <c r="H31" s="32">
        <f>G31-C31</f>
        <v>0</v>
      </c>
    </row>
    <row r="32" spans="1:8" s="26" customFormat="1" ht="51" customHeight="1" x14ac:dyDescent="0.25">
      <c r="A32" s="49"/>
      <c r="B32" s="48" t="s">
        <v>14</v>
      </c>
      <c r="C32" s="47">
        <v>88275234</v>
      </c>
      <c r="D32" s="33">
        <v>13590737</v>
      </c>
      <c r="E32" s="34">
        <f>C32+D32</f>
        <v>101865971</v>
      </c>
      <c r="F32" s="33">
        <v>38932167.200000003</v>
      </c>
      <c r="G32" s="33">
        <v>38932167.200000003</v>
      </c>
      <c r="H32" s="32">
        <f>G32-C32</f>
        <v>-49343066.799999997</v>
      </c>
    </row>
    <row r="33" spans="1:8" s="26" customFormat="1" ht="27.75" customHeight="1" x14ac:dyDescent="0.25">
      <c r="A33" s="46" t="s">
        <v>9</v>
      </c>
      <c r="B33" s="45"/>
      <c r="C33" s="33"/>
      <c r="D33" s="33"/>
      <c r="E33" s="34">
        <f>C33+D33</f>
        <v>0</v>
      </c>
      <c r="F33" s="33"/>
      <c r="G33" s="33"/>
      <c r="H33" s="32">
        <f>G33-C33</f>
        <v>0</v>
      </c>
    </row>
    <row r="34" spans="1:8" s="26" customFormat="1" ht="8.25" customHeight="1" x14ac:dyDescent="0.25">
      <c r="A34" s="36"/>
      <c r="B34" s="38"/>
      <c r="C34" s="33"/>
      <c r="D34" s="33"/>
      <c r="E34" s="34"/>
      <c r="F34" s="33"/>
      <c r="G34" s="33"/>
      <c r="H34" s="32"/>
    </row>
    <row r="35" spans="1:8" s="26" customFormat="1" ht="66.75" customHeight="1" x14ac:dyDescent="0.25">
      <c r="A35" s="44" t="s">
        <v>13</v>
      </c>
      <c r="B35" s="43"/>
      <c r="C35" s="37">
        <f>SUM(C36:C39)</f>
        <v>535114184</v>
      </c>
      <c r="D35" s="37">
        <f>SUM(D36:D39)</f>
        <v>90521479.579999998</v>
      </c>
      <c r="E35" s="37">
        <f>SUM(E36:E39)</f>
        <v>625635663.58000004</v>
      </c>
      <c r="F35" s="37">
        <f>SUM(F36:F39)</f>
        <v>366620011.23000002</v>
      </c>
      <c r="G35" s="37">
        <f>SUM(G36:G39)</f>
        <v>366620011.23000002</v>
      </c>
      <c r="H35" s="37">
        <f>SUM(H36:H39)</f>
        <v>-168494172.77000001</v>
      </c>
    </row>
    <row r="36" spans="1:8" s="26" customFormat="1" ht="17.100000000000001" customHeight="1" x14ac:dyDescent="0.25">
      <c r="A36" s="40"/>
      <c r="B36" s="39" t="s">
        <v>12</v>
      </c>
      <c r="C36" s="33">
        <v>0</v>
      </c>
      <c r="D36" s="33"/>
      <c r="E36" s="34">
        <f>C36+D36</f>
        <v>0</v>
      </c>
      <c r="F36" s="33"/>
      <c r="G36" s="33"/>
      <c r="H36" s="32">
        <f>G36-C36</f>
        <v>0</v>
      </c>
    </row>
    <row r="37" spans="1:8" s="26" customFormat="1" ht="17.100000000000001" customHeight="1" x14ac:dyDescent="0.25">
      <c r="A37" s="40"/>
      <c r="B37" s="39" t="s">
        <v>11</v>
      </c>
      <c r="C37" s="33">
        <v>0</v>
      </c>
      <c r="D37" s="33">
        <v>545074.25</v>
      </c>
      <c r="E37" s="34">
        <f>C37+D37</f>
        <v>545074.25</v>
      </c>
      <c r="F37" s="33">
        <v>545074.25</v>
      </c>
      <c r="G37" s="33">
        <v>545074.25</v>
      </c>
      <c r="H37" s="32">
        <f>G37-C37</f>
        <v>545074.25</v>
      </c>
    </row>
    <row r="38" spans="1:8" s="26" customFormat="1" ht="30.75" customHeight="1" x14ac:dyDescent="0.25">
      <c r="A38" s="40"/>
      <c r="B38" s="42" t="s">
        <v>10</v>
      </c>
      <c r="C38" s="33">
        <v>236101777</v>
      </c>
      <c r="D38" s="33">
        <v>15729355.27</v>
      </c>
      <c r="E38" s="34">
        <f>C38+D38</f>
        <v>251831132.27000001</v>
      </c>
      <c r="F38" s="33">
        <v>137525427.03</v>
      </c>
      <c r="G38" s="33">
        <v>137525427.03</v>
      </c>
      <c r="H38" s="32">
        <f>G38-C38</f>
        <v>-98576349.969999999</v>
      </c>
    </row>
    <row r="39" spans="1:8" s="26" customFormat="1" ht="29.25" customHeight="1" x14ac:dyDescent="0.25">
      <c r="A39" s="40"/>
      <c r="B39" s="41" t="s">
        <v>9</v>
      </c>
      <c r="C39" s="33">
        <v>299012407</v>
      </c>
      <c r="D39" s="33">
        <v>74247050.060000002</v>
      </c>
      <c r="E39" s="34">
        <f>C39+D39</f>
        <v>373259457.06</v>
      </c>
      <c r="F39" s="33">
        <v>228549509.94999999</v>
      </c>
      <c r="G39" s="33">
        <v>228549509.94999999</v>
      </c>
      <c r="H39" s="32">
        <f>G39-C39</f>
        <v>-70462897.050000012</v>
      </c>
    </row>
    <row r="40" spans="1:8" s="26" customFormat="1" ht="6" customHeight="1" x14ac:dyDescent="0.25">
      <c r="A40" s="40"/>
      <c r="B40" s="39"/>
      <c r="C40" s="33"/>
      <c r="D40" s="33"/>
      <c r="E40" s="34"/>
      <c r="F40" s="33"/>
      <c r="G40" s="33"/>
      <c r="H40" s="32"/>
    </row>
    <row r="41" spans="1:8" s="26" customFormat="1" ht="17.100000000000001" customHeight="1" x14ac:dyDescent="0.25">
      <c r="A41" s="36" t="s">
        <v>8</v>
      </c>
      <c r="B41" s="38"/>
      <c r="C41" s="37">
        <f>C42</f>
        <v>0</v>
      </c>
      <c r="D41" s="37">
        <f>D42</f>
        <v>0</v>
      </c>
      <c r="E41" s="37">
        <f>E42</f>
        <v>0</v>
      </c>
      <c r="F41" s="37">
        <f>F42</f>
        <v>0</v>
      </c>
      <c r="G41" s="37">
        <f>G42</f>
        <v>0</v>
      </c>
      <c r="H41" s="37">
        <f>H42</f>
        <v>0</v>
      </c>
    </row>
    <row r="42" spans="1:8" s="26" customFormat="1" ht="17.100000000000001" customHeight="1" x14ac:dyDescent="0.25">
      <c r="A42" s="36"/>
      <c r="B42" s="35" t="s">
        <v>7</v>
      </c>
      <c r="C42" s="33">
        <v>0</v>
      </c>
      <c r="D42" s="33"/>
      <c r="E42" s="34">
        <f>C42+D42</f>
        <v>0</v>
      </c>
      <c r="F42" s="33"/>
      <c r="G42" s="33"/>
      <c r="H42" s="32">
        <f>G42-C42</f>
        <v>0</v>
      </c>
    </row>
    <row r="43" spans="1:8" s="26" customFormat="1" ht="12.75" customHeight="1" thickBot="1" x14ac:dyDescent="0.3">
      <c r="A43" s="31"/>
      <c r="B43" s="30"/>
      <c r="C43" s="28"/>
      <c r="D43" s="28"/>
      <c r="E43" s="29"/>
      <c r="F43" s="28"/>
      <c r="G43" s="28"/>
      <c r="H43" s="27"/>
    </row>
    <row r="44" spans="1:8" ht="21.75" customHeight="1" thickBot="1" x14ac:dyDescent="0.3">
      <c r="A44" s="25" t="s">
        <v>6</v>
      </c>
      <c r="B44" s="24"/>
      <c r="C44" s="23">
        <f>C25+C35+C41</f>
        <v>623389418</v>
      </c>
      <c r="D44" s="23">
        <f>D25+D35+D41</f>
        <v>104112216.58</v>
      </c>
      <c r="E44" s="23">
        <f>E25+E35+E41</f>
        <v>727501634.58000004</v>
      </c>
      <c r="F44" s="23">
        <f>F25+F35+F41</f>
        <v>405552178.43000001</v>
      </c>
      <c r="G44" s="23">
        <f>G25+G35+G41</f>
        <v>405552178.43000001</v>
      </c>
      <c r="H44" s="23">
        <f>H25+H35+H41</f>
        <v>-217837239.56999999</v>
      </c>
    </row>
    <row r="45" spans="1:8" ht="23.25" customHeight="1" thickBot="1" x14ac:dyDescent="0.3">
      <c r="A45" s="22"/>
      <c r="B45" s="22"/>
      <c r="C45" s="21"/>
      <c r="D45" s="21"/>
      <c r="E45" s="21"/>
      <c r="F45" s="20"/>
      <c r="G45" s="19" t="s">
        <v>5</v>
      </c>
      <c r="H45" s="18" t="str">
        <f>IF(($G$44-$C$44)&lt;=0,"",$G$44-$C$44)</f>
        <v/>
      </c>
    </row>
    <row r="46" spans="1:8" ht="23.25" customHeight="1" x14ac:dyDescent="0.25">
      <c r="A46" s="11"/>
      <c r="B46" s="11"/>
      <c r="C46" s="10"/>
      <c r="D46" s="10"/>
      <c r="E46" s="10"/>
      <c r="F46" s="9"/>
      <c r="G46" s="8"/>
      <c r="H46" s="8"/>
    </row>
    <row r="47" spans="1:8" ht="23.25" customHeight="1" x14ac:dyDescent="0.25">
      <c r="A47" s="11"/>
      <c r="B47" s="11"/>
      <c r="C47" s="10"/>
      <c r="D47" s="10"/>
      <c r="E47" s="10"/>
      <c r="F47" s="9"/>
      <c r="G47" s="8"/>
      <c r="H47" s="8"/>
    </row>
    <row r="48" spans="1:8" ht="23.25" customHeight="1" x14ac:dyDescent="0.25">
      <c r="A48" s="11"/>
      <c r="B48" s="11"/>
      <c r="C48" s="10"/>
      <c r="D48" s="10"/>
      <c r="E48" s="10"/>
      <c r="F48" s="9"/>
      <c r="G48" s="8"/>
      <c r="H48" s="8"/>
    </row>
    <row r="49" spans="1:8" s="12" customFormat="1" ht="15.75" customHeight="1" x14ac:dyDescent="0.25">
      <c r="A49" s="14"/>
      <c r="B49" s="17" t="s">
        <v>4</v>
      </c>
      <c r="C49" s="16"/>
      <c r="D49" s="16"/>
      <c r="E49" s="16"/>
      <c r="F49" s="16"/>
      <c r="G49" s="15"/>
      <c r="H49" s="15"/>
    </row>
    <row r="50" spans="1:8" s="12" customFormat="1" ht="12.75" customHeight="1" x14ac:dyDescent="0.25">
      <c r="A50" s="14"/>
      <c r="B50" s="17" t="s">
        <v>3</v>
      </c>
      <c r="C50" s="16"/>
      <c r="D50" s="16"/>
      <c r="E50" s="16"/>
      <c r="F50" s="16"/>
      <c r="G50" s="15"/>
      <c r="H50" s="15"/>
    </row>
    <row r="51" spans="1:8" s="12" customFormat="1" ht="26.25" customHeight="1" x14ac:dyDescent="0.25">
      <c r="A51" s="14"/>
      <c r="B51" s="13" t="s">
        <v>2</v>
      </c>
      <c r="C51" s="13"/>
      <c r="D51" s="13"/>
      <c r="E51" s="13"/>
      <c r="F51" s="13"/>
      <c r="G51" s="13"/>
      <c r="H51" s="13"/>
    </row>
    <row r="52" spans="1:8" ht="23.25" customHeight="1" x14ac:dyDescent="0.25">
      <c r="A52" s="11"/>
      <c r="B52" s="11"/>
      <c r="C52" s="10"/>
      <c r="D52" s="10"/>
      <c r="E52" s="10"/>
      <c r="F52" s="9"/>
      <c r="G52" s="8"/>
      <c r="H52" s="8"/>
    </row>
    <row r="53" spans="1:8" ht="8.25" customHeight="1" x14ac:dyDescent="0.25">
      <c r="A53" s="7"/>
      <c r="B53" s="1"/>
    </row>
    <row r="54" spans="1:8" x14ac:dyDescent="0.25">
      <c r="B54" s="1"/>
      <c r="H54" s="6"/>
    </row>
    <row r="55" spans="1:8" x14ac:dyDescent="0.25">
      <c r="A55" s="5"/>
      <c r="B55" s="4" t="s">
        <v>1</v>
      </c>
      <c r="C55" s="3"/>
      <c r="D55" s="3"/>
      <c r="E55" s="3"/>
      <c r="F55" s="3"/>
      <c r="G55" s="3"/>
      <c r="H55" s="3"/>
    </row>
    <row r="56" spans="1:8" x14ac:dyDescent="0.25">
      <c r="A56" s="5"/>
      <c r="B56" s="4" t="s">
        <v>0</v>
      </c>
      <c r="C56" s="3"/>
      <c r="D56" s="3"/>
      <c r="E56" s="3"/>
      <c r="F56" s="3"/>
      <c r="G56" s="3"/>
      <c r="H56" s="3"/>
    </row>
    <row r="57" spans="1:8" x14ac:dyDescent="0.25">
      <c r="A57" s="5"/>
      <c r="B57" s="4"/>
      <c r="C57" s="3"/>
      <c r="D57" s="3"/>
      <c r="E57" s="3"/>
      <c r="F57" s="3"/>
      <c r="G57" s="3"/>
      <c r="H57" s="3"/>
    </row>
  </sheetData>
  <sheetProtection formatColumns="0" formatRows="0" insertHyperlinks="0"/>
  <mergeCells count="17">
    <mergeCell ref="A30:B30"/>
    <mergeCell ref="B51:H51"/>
    <mergeCell ref="A44:B44"/>
    <mergeCell ref="A35:B35"/>
    <mergeCell ref="A22:B24"/>
    <mergeCell ref="A19:B19"/>
    <mergeCell ref="A29:B29"/>
    <mergeCell ref="A31:B31"/>
    <mergeCell ref="A33:B33"/>
    <mergeCell ref="C22:G22"/>
    <mergeCell ref="A25:B25"/>
    <mergeCell ref="A1:H1"/>
    <mergeCell ref="A2:H2"/>
    <mergeCell ref="A3:H3"/>
    <mergeCell ref="C4:F4"/>
    <mergeCell ref="C5:G5"/>
    <mergeCell ref="A5:B7"/>
  </mergeCells>
  <printOptions horizontalCentered="1"/>
  <pageMargins left="0.39370078740157483" right="0.39370078740157483" top="0.39370078740157483" bottom="0.51181102362204722" header="0.31496062992125984" footer="0.31496062992125984"/>
  <pageSetup scale="88" fitToHeight="2" orientation="landscape" r:id="rId1"/>
  <rowBreaks count="1" manualBreakCount="1">
    <brk id="21" max="7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43E01-5AB0-4FDF-BB59-33E94F99714E}">
  <sheetPr>
    <tabColor theme="0" tint="-0.14999847407452621"/>
    <pageSetUpPr fitToPage="1"/>
  </sheetPr>
  <dimension ref="A1:H30"/>
  <sheetViews>
    <sheetView view="pageBreakPreview" topLeftCell="A14" zoomScaleNormal="100" zoomScaleSheetLayoutView="100" workbookViewId="0">
      <selection activeCell="D30" sqref="D30"/>
    </sheetView>
  </sheetViews>
  <sheetFormatPr baseColWidth="10" defaultColWidth="11.28515625" defaultRowHeight="16.5" x14ac:dyDescent="0.25"/>
  <cols>
    <col min="1" max="1" width="39.85546875" style="1" customWidth="1"/>
    <col min="2" max="7" width="13.7109375" style="1" customWidth="1"/>
    <col min="8" max="16384" width="11.28515625" style="1"/>
  </cols>
  <sheetData>
    <row r="1" spans="1:7" x14ac:dyDescent="0.25">
      <c r="A1" s="374" t="str">
        <f>'[1]ETCA-I-01'!A1:G1</f>
        <v xml:space="preserve">Comision Estatal del Agua </v>
      </c>
      <c r="B1" s="374"/>
      <c r="C1" s="374"/>
      <c r="D1" s="374"/>
      <c r="E1" s="374"/>
      <c r="F1" s="374"/>
      <c r="G1" s="374"/>
    </row>
    <row r="2" spans="1:7" x14ac:dyDescent="0.25">
      <c r="A2" s="374" t="s">
        <v>213</v>
      </c>
      <c r="B2" s="374"/>
      <c r="C2" s="374"/>
      <c r="D2" s="374"/>
      <c r="E2" s="374"/>
      <c r="F2" s="374"/>
      <c r="G2" s="374"/>
    </row>
    <row r="3" spans="1:7" x14ac:dyDescent="0.25">
      <c r="A3" s="374" t="s">
        <v>354</v>
      </c>
      <c r="B3" s="374"/>
      <c r="C3" s="374"/>
      <c r="D3" s="374"/>
      <c r="E3" s="374"/>
      <c r="F3" s="374"/>
      <c r="G3" s="374"/>
    </row>
    <row r="4" spans="1:7" x14ac:dyDescent="0.25">
      <c r="A4" s="104" t="str">
        <f>'[1]ETCA-I-03'!A3:D3</f>
        <v>Del 01 de enero  al 30 de Septiembre de 2020</v>
      </c>
      <c r="B4" s="104"/>
      <c r="C4" s="104"/>
      <c r="D4" s="104"/>
      <c r="E4" s="104"/>
      <c r="F4" s="104"/>
      <c r="G4" s="104"/>
    </row>
    <row r="5" spans="1:7" ht="17.25" thickBot="1" x14ac:dyDescent="0.3">
      <c r="A5" s="253" t="s">
        <v>353</v>
      </c>
      <c r="B5" s="253"/>
      <c r="C5" s="253"/>
      <c r="D5" s="253"/>
      <c r="E5" s="253"/>
      <c r="F5" s="99"/>
      <c r="G5" s="373"/>
    </row>
    <row r="6" spans="1:7" s="174" customFormat="1" ht="40.5" x14ac:dyDescent="0.25">
      <c r="A6" s="388" t="s">
        <v>111</v>
      </c>
      <c r="B6" s="387" t="s">
        <v>209</v>
      </c>
      <c r="C6" s="387" t="s">
        <v>109</v>
      </c>
      <c r="D6" s="387" t="s">
        <v>208</v>
      </c>
      <c r="E6" s="387" t="s">
        <v>207</v>
      </c>
      <c r="F6" s="387" t="s">
        <v>206</v>
      </c>
      <c r="G6" s="386" t="s">
        <v>205</v>
      </c>
    </row>
    <row r="7" spans="1:7" s="174" customFormat="1" ht="15.75" customHeight="1" thickBot="1" x14ac:dyDescent="0.3">
      <c r="A7" s="385"/>
      <c r="B7" s="329" t="s">
        <v>26</v>
      </c>
      <c r="C7" s="329" t="s">
        <v>25</v>
      </c>
      <c r="D7" s="329" t="s">
        <v>204</v>
      </c>
      <c r="E7" s="329" t="s">
        <v>23</v>
      </c>
      <c r="F7" s="329" t="s">
        <v>22</v>
      </c>
      <c r="G7" s="328" t="s">
        <v>203</v>
      </c>
    </row>
    <row r="8" spans="1:7" x14ac:dyDescent="0.25">
      <c r="A8" s="384"/>
      <c r="B8" s="382"/>
      <c r="C8" s="382"/>
      <c r="D8" s="383"/>
      <c r="E8" s="382"/>
      <c r="F8" s="382"/>
      <c r="G8" s="381"/>
    </row>
    <row r="9" spans="1:7" ht="25.5" x14ac:dyDescent="0.25">
      <c r="A9" s="380" t="s">
        <v>352</v>
      </c>
      <c r="B9" s="238">
        <v>623389417.66593051</v>
      </c>
      <c r="C9" s="238">
        <v>182226125.19999996</v>
      </c>
      <c r="D9" s="239">
        <f>IF(A9="","",B9+C9)</f>
        <v>805615542.86593044</v>
      </c>
      <c r="E9" s="238">
        <v>458746265.13999999</v>
      </c>
      <c r="F9" s="238">
        <v>414066339.92000002</v>
      </c>
      <c r="G9" s="237">
        <f>IF(A9="","",D9-E9)</f>
        <v>346869277.72593045</v>
      </c>
    </row>
    <row r="10" spans="1:7" ht="8.25" customHeight="1" x14ac:dyDescent="0.25">
      <c r="A10" s="380"/>
      <c r="B10" s="238"/>
      <c r="C10" s="238"/>
      <c r="D10" s="239" t="str">
        <f>IF(A10="","",B10+C10)</f>
        <v/>
      </c>
      <c r="E10" s="238"/>
      <c r="F10" s="238"/>
      <c r="G10" s="237" t="str">
        <f>IF(A10="","",D10-E10)</f>
        <v/>
      </c>
    </row>
    <row r="11" spans="1:7" x14ac:dyDescent="0.25">
      <c r="A11" s="380" t="s">
        <v>351</v>
      </c>
      <c r="B11" s="238"/>
      <c r="C11" s="238"/>
      <c r="D11" s="239">
        <f>IF(A11="","",B11+C11)</f>
        <v>0</v>
      </c>
      <c r="E11" s="238"/>
      <c r="F11" s="238"/>
      <c r="G11" s="237">
        <f>IF(A11="","",D11-E11)</f>
        <v>0</v>
      </c>
    </row>
    <row r="12" spans="1:7" ht="8.25" customHeight="1" x14ac:dyDescent="0.25">
      <c r="A12" s="380"/>
      <c r="B12" s="238"/>
      <c r="C12" s="238"/>
      <c r="D12" s="239" t="str">
        <f>IF(A12="","",B12+C12)</f>
        <v/>
      </c>
      <c r="E12" s="238"/>
      <c r="F12" s="238"/>
      <c r="G12" s="237" t="str">
        <f>IF(A12="","",D12-E12)</f>
        <v/>
      </c>
    </row>
    <row r="13" spans="1:7" ht="25.5" x14ac:dyDescent="0.25">
      <c r="A13" s="380" t="s">
        <v>350</v>
      </c>
      <c r="B13" s="238"/>
      <c r="C13" s="238"/>
      <c r="D13" s="239">
        <f>IF(A13="","",B13+C13)</f>
        <v>0</v>
      </c>
      <c r="E13" s="238"/>
      <c r="F13" s="238"/>
      <c r="G13" s="237">
        <f>IF(A13="","",D13-E13)</f>
        <v>0</v>
      </c>
    </row>
    <row r="14" spans="1:7" ht="8.25" customHeight="1" x14ac:dyDescent="0.25">
      <c r="A14" s="380"/>
      <c r="B14" s="238"/>
      <c r="C14" s="238"/>
      <c r="D14" s="239" t="str">
        <f>IF(A14="","",B14+C14)</f>
        <v/>
      </c>
      <c r="E14" s="238"/>
      <c r="F14" s="238"/>
      <c r="G14" s="237" t="str">
        <f>IF(A14="","",D14-E14)</f>
        <v/>
      </c>
    </row>
    <row r="15" spans="1:7" ht="25.5" x14ac:dyDescent="0.25">
      <c r="A15" s="380" t="s">
        <v>349</v>
      </c>
      <c r="B15" s="238"/>
      <c r="C15" s="238"/>
      <c r="D15" s="239">
        <f>IF(A15="","",B15+C15)</f>
        <v>0</v>
      </c>
      <c r="E15" s="238"/>
      <c r="F15" s="238"/>
      <c r="G15" s="237">
        <f>IF(A15="","",D15-E15)</f>
        <v>0</v>
      </c>
    </row>
    <row r="16" spans="1:7" ht="8.25" customHeight="1" x14ac:dyDescent="0.25">
      <c r="A16" s="380"/>
      <c r="B16" s="238"/>
      <c r="C16" s="238"/>
      <c r="D16" s="239" t="str">
        <f>IF(A16="","",B16+C16)</f>
        <v/>
      </c>
      <c r="E16" s="238"/>
      <c r="F16" s="238"/>
      <c r="G16" s="237" t="str">
        <f>IF(A16="","",D16-E16)</f>
        <v/>
      </c>
    </row>
    <row r="17" spans="1:8" ht="25.5" x14ac:dyDescent="0.25">
      <c r="A17" s="380" t="s">
        <v>348</v>
      </c>
      <c r="B17" s="238"/>
      <c r="C17" s="238"/>
      <c r="D17" s="239">
        <f>IF(A17="","",B17+C17)</f>
        <v>0</v>
      </c>
      <c r="E17" s="238"/>
      <c r="F17" s="238"/>
      <c r="G17" s="237">
        <f>IF(A17="","",D17-E17)</f>
        <v>0</v>
      </c>
    </row>
    <row r="18" spans="1:8" ht="8.25" customHeight="1" x14ac:dyDescent="0.25">
      <c r="A18" s="380"/>
      <c r="B18" s="238"/>
      <c r="C18" s="238"/>
      <c r="D18" s="239" t="str">
        <f>IF(A18="","",B18+C18)</f>
        <v/>
      </c>
      <c r="E18" s="238"/>
      <c r="F18" s="238"/>
      <c r="G18" s="237" t="str">
        <f>IF(A18="","",D18-E18)</f>
        <v/>
      </c>
    </row>
    <row r="19" spans="1:8" ht="25.5" x14ac:dyDescent="0.25">
      <c r="A19" s="380" t="s">
        <v>347</v>
      </c>
      <c r="B19" s="238"/>
      <c r="C19" s="238"/>
      <c r="D19" s="239">
        <f>IF(A19="","",B19+C19)</f>
        <v>0</v>
      </c>
      <c r="E19" s="238"/>
      <c r="F19" s="238"/>
      <c r="G19" s="237">
        <f>IF(A19="","",D19-E19)</f>
        <v>0</v>
      </c>
    </row>
    <row r="20" spans="1:8" ht="8.25" customHeight="1" x14ac:dyDescent="0.25">
      <c r="A20" s="380"/>
      <c r="B20" s="238"/>
      <c r="C20" s="238"/>
      <c r="D20" s="239" t="str">
        <f>IF(A20="","",B20+C20)</f>
        <v/>
      </c>
      <c r="E20" s="238"/>
      <c r="F20" s="238"/>
      <c r="G20" s="237" t="str">
        <f>IF(A20="","",D20-E20)</f>
        <v/>
      </c>
    </row>
    <row r="21" spans="1:8" ht="26.25" thickBot="1" x14ac:dyDescent="0.3">
      <c r="A21" s="380" t="s">
        <v>346</v>
      </c>
      <c r="B21" s="238"/>
      <c r="C21" s="238"/>
      <c r="D21" s="239">
        <f>IF(A21="","",B21+C21)</f>
        <v>0</v>
      </c>
      <c r="E21" s="238"/>
      <c r="F21" s="238"/>
      <c r="G21" s="237">
        <f>IF(A21="","",D21-E21)</f>
        <v>0</v>
      </c>
    </row>
    <row r="22" spans="1:8" ht="24.95" customHeight="1" thickBot="1" x14ac:dyDescent="0.3">
      <c r="A22" s="323" t="s">
        <v>130</v>
      </c>
      <c r="B22" s="231">
        <f>SUM(B9:B21)</f>
        <v>623389417.66593051</v>
      </c>
      <c r="C22" s="231">
        <f>SUM(C9:C21)</f>
        <v>182226125.19999996</v>
      </c>
      <c r="D22" s="231">
        <f>IF(A22="","",B22+C22)</f>
        <v>805615542.86593044</v>
      </c>
      <c r="E22" s="231">
        <f>SUM(E9:E21)</f>
        <v>458746265.13999999</v>
      </c>
      <c r="F22" s="231">
        <f>SUM(F9:F21)</f>
        <v>414066339.92000002</v>
      </c>
      <c r="G22" s="230">
        <f>IF(A22="","",D22-E22)</f>
        <v>346869277.72593045</v>
      </c>
      <c r="H22" s="106" t="str">
        <f>IF((B22-'ETCA II-04'!B80)&gt;0.9,"ERROR!!!!! EL MONTO NO COINCIDE CON LO REPORTADO EN EL FORMATO ETCA-II-04 EN EL TOTAL APROBADO ANUAL DEL ANALÍTICO DE EGRESOS","")</f>
        <v/>
      </c>
    </row>
    <row r="23" spans="1:8" ht="24.95" customHeight="1" x14ac:dyDescent="0.25">
      <c r="A23" s="379"/>
      <c r="B23" s="378"/>
      <c r="C23" s="378"/>
      <c r="D23" s="378"/>
      <c r="E23" s="378"/>
      <c r="F23" s="378"/>
      <c r="G23" s="378"/>
      <c r="H23" s="106" t="str">
        <f>IF((C22-'ETCA II-04'!C80)&gt;0.9,"ERROR!!!!! EL MONTO NO COINCIDE CON LO REPORTADO EN EL FORMATO ETCA-II-04 EN EL TOTAL APROBADO ANUAL DEL ANALÍTICO DE EGRESOS","")</f>
        <v/>
      </c>
    </row>
    <row r="24" spans="1:8" ht="24.95" customHeight="1" x14ac:dyDescent="0.25">
      <c r="A24" s="375"/>
      <c r="B24" s="228"/>
      <c r="C24" s="228"/>
      <c r="D24" s="228"/>
      <c r="E24" s="228"/>
      <c r="F24" s="228"/>
      <c r="G24" s="228"/>
      <c r="H24" s="106" t="str">
        <f>IF((D22-'ETCA II-04'!D80)&gt;0.9,"ERROR!!!!! EL MONTO NO COINCIDE CON LO REPORTADO EN EL FORMATO ETCA-II-04 EN EL TOTAL APROBADO ANUAL DEL ANALÍTICO DE EGRESOS","")</f>
        <v/>
      </c>
    </row>
    <row r="25" spans="1:8" ht="24.95" customHeight="1" x14ac:dyDescent="0.25">
      <c r="A25" s="87"/>
      <c r="B25" s="377"/>
      <c r="C25" s="377"/>
      <c r="D25" s="376"/>
      <c r="E25" s="377"/>
      <c r="F25" s="377"/>
      <c r="G25" s="376"/>
      <c r="H25" s="106" t="str">
        <f>IF((E22-'ETCA II-04'!E80)&gt;0.9,"ERROR!!!!! EL MONTO NO COINCIDE CON LO REPORTADO EN EL FORMATO ETCA-II-04 EN EL TOTAL APROBADO ANUAL DEL ANALÍTICO DE EGRESOS","")</f>
        <v/>
      </c>
    </row>
    <row r="26" spans="1:8" ht="24.95" customHeight="1" x14ac:dyDescent="0.25">
      <c r="A26" s="87"/>
      <c r="B26" s="377"/>
      <c r="C26" s="377"/>
      <c r="D26" s="376"/>
      <c r="E26" s="377"/>
      <c r="F26" s="377"/>
      <c r="G26" s="376"/>
      <c r="H26" s="106" t="str">
        <f>IF((F22-'ETCA II-04'!F80)&gt;0.9,"ERROR!!!!! EL MONTO NO COINCIDE CON LO REPORTADO EN EL FORMATO ETCA-II-04 EN EL TOTAL APROBADO ANUAL DEL ANALÍTICO DE EGRESOS","")</f>
        <v/>
      </c>
    </row>
    <row r="27" spans="1:8" ht="25.5" customHeight="1" x14ac:dyDescent="0.25">
      <c r="A27" s="375"/>
      <c r="B27" s="228"/>
      <c r="C27" s="228"/>
      <c r="D27" s="228"/>
      <c r="E27" s="228"/>
      <c r="F27" s="228"/>
      <c r="G27" s="228"/>
      <c r="H27" s="106" t="str">
        <f>IF((G22-'ETCA II-04'!G80)&gt;0.9,"ERROR!!!!! EL MONTO NO COINCIDE CON LO REPORTADO EN EL FORMATO ETCA-II-04 EN EL TOTAL APROBADO ANUAL DEL ANALÍTICO DE EGRESOS","")</f>
        <v/>
      </c>
    </row>
    <row r="29" spans="1:8" x14ac:dyDescent="0.25">
      <c r="F29" s="331"/>
    </row>
    <row r="30" spans="1:8" x14ac:dyDescent="0.25">
      <c r="F30" s="331"/>
    </row>
  </sheetData>
  <sheetProtection formatColumns="0" formatRows="0" insertHyperlinks="0"/>
  <mergeCells count="6">
    <mergeCell ref="A6:A7"/>
    <mergeCell ref="A1:G1"/>
    <mergeCell ref="A2:G2"/>
    <mergeCell ref="A3:G3"/>
    <mergeCell ref="A4:G4"/>
    <mergeCell ref="A5:E5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7E0A8-EDFA-4C22-BFAF-A3BB18D56A7E}">
  <sheetPr>
    <tabColor theme="0" tint="-0.14999847407452621"/>
  </sheetPr>
  <dimension ref="A1:H48"/>
  <sheetViews>
    <sheetView view="pageBreakPreview" topLeftCell="A28" zoomScale="90" zoomScaleNormal="100" zoomScaleSheetLayoutView="90" workbookViewId="0">
      <selection activeCell="D30" sqref="D30"/>
    </sheetView>
  </sheetViews>
  <sheetFormatPr baseColWidth="10" defaultRowHeight="15" x14ac:dyDescent="0.25"/>
  <cols>
    <col min="1" max="1" width="35.7109375" customWidth="1"/>
    <col min="4" max="4" width="11.7109375" bestFit="1" customWidth="1"/>
    <col min="6" max="6" width="11.85546875" customWidth="1"/>
  </cols>
  <sheetData>
    <row r="1" spans="1:7" ht="16.5" x14ac:dyDescent="0.25">
      <c r="A1" s="374" t="str">
        <f>'[1]ETCA-I-01'!A1:G1</f>
        <v xml:space="preserve">Comision Estatal del Agua </v>
      </c>
      <c r="B1" s="374"/>
      <c r="C1" s="374"/>
      <c r="D1" s="374"/>
      <c r="E1" s="374"/>
      <c r="F1" s="374"/>
      <c r="G1" s="374"/>
    </row>
    <row r="2" spans="1:7" ht="16.5" x14ac:dyDescent="0.25">
      <c r="A2" s="374" t="s">
        <v>213</v>
      </c>
      <c r="B2" s="374"/>
      <c r="C2" s="374"/>
      <c r="D2" s="374"/>
      <c r="E2" s="374"/>
      <c r="F2" s="374"/>
      <c r="G2" s="374"/>
    </row>
    <row r="3" spans="1:7" ht="16.5" x14ac:dyDescent="0.25">
      <c r="A3" s="374" t="s">
        <v>386</v>
      </c>
      <c r="B3" s="374"/>
      <c r="C3" s="374"/>
      <c r="D3" s="374"/>
      <c r="E3" s="374"/>
      <c r="F3" s="374"/>
      <c r="G3" s="374"/>
    </row>
    <row r="4" spans="1:7" ht="16.5" x14ac:dyDescent="0.25">
      <c r="A4" s="104" t="str">
        <f>'[1]ETCA-I-03'!A3:D3</f>
        <v>Del 01 de enero  al 30 de Septiembre de 2020</v>
      </c>
      <c r="B4" s="104"/>
      <c r="C4" s="104"/>
      <c r="D4" s="104"/>
      <c r="E4" s="104"/>
      <c r="F4" s="104"/>
      <c r="G4" s="104"/>
    </row>
    <row r="5" spans="1:7" ht="17.25" thickBot="1" x14ac:dyDescent="0.3">
      <c r="A5" s="102"/>
      <c r="B5" s="405"/>
      <c r="C5" s="405"/>
      <c r="D5" s="405"/>
      <c r="E5" s="405"/>
      <c r="F5" s="404"/>
      <c r="G5" s="403"/>
    </row>
    <row r="6" spans="1:7" ht="40.5" x14ac:dyDescent="0.25">
      <c r="A6" s="388" t="s">
        <v>111</v>
      </c>
      <c r="B6" s="402" t="s">
        <v>209</v>
      </c>
      <c r="C6" s="402" t="s">
        <v>109</v>
      </c>
      <c r="D6" s="402" t="s">
        <v>208</v>
      </c>
      <c r="E6" s="402" t="s">
        <v>207</v>
      </c>
      <c r="F6" s="402" t="s">
        <v>206</v>
      </c>
      <c r="G6" s="401" t="s">
        <v>205</v>
      </c>
    </row>
    <row r="7" spans="1:7" ht="15.75" thickBot="1" x14ac:dyDescent="0.3">
      <c r="A7" s="385"/>
      <c r="B7" s="400" t="s">
        <v>26</v>
      </c>
      <c r="C7" s="400" t="s">
        <v>25</v>
      </c>
      <c r="D7" s="400" t="s">
        <v>204</v>
      </c>
      <c r="E7" s="400" t="s">
        <v>23</v>
      </c>
      <c r="F7" s="400" t="s">
        <v>22</v>
      </c>
      <c r="G7" s="399" t="s">
        <v>203</v>
      </c>
    </row>
    <row r="8" spans="1:7" ht="16.5" x14ac:dyDescent="0.25">
      <c r="A8" s="398"/>
      <c r="B8" s="397"/>
      <c r="C8" s="397"/>
      <c r="D8" s="397"/>
      <c r="E8" s="397"/>
      <c r="F8" s="397"/>
      <c r="G8" s="396"/>
    </row>
    <row r="9" spans="1:7" x14ac:dyDescent="0.25">
      <c r="A9" s="395" t="s">
        <v>385</v>
      </c>
      <c r="B9" s="394">
        <f>SUM(B10:B17)</f>
        <v>0</v>
      </c>
      <c r="C9" s="394">
        <f>SUM(C10:C17)</f>
        <v>0</v>
      </c>
      <c r="D9" s="394">
        <f>IF(A9="","",B9+C9)</f>
        <v>0</v>
      </c>
      <c r="E9" s="394">
        <f>SUM(E10:E17)</f>
        <v>0</v>
      </c>
      <c r="F9" s="394">
        <f>SUM(F10:F17)</f>
        <v>0</v>
      </c>
      <c r="G9" s="393">
        <f>IF(A9="","",D9-E9)</f>
        <v>0</v>
      </c>
    </row>
    <row r="10" spans="1:7" x14ac:dyDescent="0.25">
      <c r="A10" s="314" t="s">
        <v>384</v>
      </c>
      <c r="B10" s="238"/>
      <c r="C10" s="238"/>
      <c r="D10" s="239">
        <f>IF(A10="","",B10+C10)</f>
        <v>0</v>
      </c>
      <c r="E10" s="238"/>
      <c r="F10" s="238"/>
      <c r="G10" s="237">
        <f>IF(A10="","",D10-E10)</f>
        <v>0</v>
      </c>
    </row>
    <row r="11" spans="1:7" x14ac:dyDescent="0.25">
      <c r="A11" s="314" t="s">
        <v>383</v>
      </c>
      <c r="B11" s="238"/>
      <c r="C11" s="238"/>
      <c r="D11" s="239">
        <f>IF(A11="","",B11+C11)</f>
        <v>0</v>
      </c>
      <c r="E11" s="238"/>
      <c r="F11" s="238"/>
      <c r="G11" s="237">
        <f>IF(A11="","",D11-E11)</f>
        <v>0</v>
      </c>
    </row>
    <row r="12" spans="1:7" x14ac:dyDescent="0.25">
      <c r="A12" s="314" t="s">
        <v>382</v>
      </c>
      <c r="B12" s="238"/>
      <c r="C12" s="238"/>
      <c r="D12" s="239">
        <f>IF(A12="","",B12+C12)</f>
        <v>0</v>
      </c>
      <c r="E12" s="238"/>
      <c r="F12" s="238"/>
      <c r="G12" s="237">
        <f>IF(A12="","",D12-E12)</f>
        <v>0</v>
      </c>
    </row>
    <row r="13" spans="1:7" x14ac:dyDescent="0.25">
      <c r="A13" s="314" t="s">
        <v>381</v>
      </c>
      <c r="B13" s="238"/>
      <c r="C13" s="238"/>
      <c r="D13" s="239">
        <f>IF(A13="","",B13+C13)</f>
        <v>0</v>
      </c>
      <c r="E13" s="238"/>
      <c r="F13" s="238"/>
      <c r="G13" s="237">
        <f>IF(A13="","",D13-E13)</f>
        <v>0</v>
      </c>
    </row>
    <row r="14" spans="1:7" x14ac:dyDescent="0.25">
      <c r="A14" s="314" t="s">
        <v>380</v>
      </c>
      <c r="B14" s="238"/>
      <c r="C14" s="238"/>
      <c r="D14" s="239">
        <f>IF(A14="","",B14+C14)</f>
        <v>0</v>
      </c>
      <c r="E14" s="238"/>
      <c r="F14" s="238"/>
      <c r="G14" s="237">
        <f>IF(A14="","",D14-E14)</f>
        <v>0</v>
      </c>
    </row>
    <row r="15" spans="1:7" x14ac:dyDescent="0.25">
      <c r="A15" s="314" t="s">
        <v>379</v>
      </c>
      <c r="B15" s="238"/>
      <c r="C15" s="238"/>
      <c r="D15" s="239">
        <f>IF(A15="","",B15+C15)</f>
        <v>0</v>
      </c>
      <c r="E15" s="238"/>
      <c r="F15" s="238"/>
      <c r="G15" s="237">
        <f>IF(A15="","",D15-E15)</f>
        <v>0</v>
      </c>
    </row>
    <row r="16" spans="1:7" x14ac:dyDescent="0.25">
      <c r="A16" s="314" t="s">
        <v>378</v>
      </c>
      <c r="B16" s="238"/>
      <c r="C16" s="238"/>
      <c r="D16" s="239">
        <f>IF(A16="","",B16+C16)</f>
        <v>0</v>
      </c>
      <c r="E16" s="238"/>
      <c r="F16" s="238"/>
      <c r="G16" s="237">
        <f>IF(A16="","",D16-E16)</f>
        <v>0</v>
      </c>
    </row>
    <row r="17" spans="1:7" x14ac:dyDescent="0.25">
      <c r="A17" s="314" t="s">
        <v>175</v>
      </c>
      <c r="B17" s="238"/>
      <c r="C17" s="238"/>
      <c r="D17" s="239">
        <f>IF(A17="","",B17+C17)</f>
        <v>0</v>
      </c>
      <c r="E17" s="238"/>
      <c r="F17" s="238"/>
      <c r="G17" s="237">
        <f>IF(A17="","",D17-E17)</f>
        <v>0</v>
      </c>
    </row>
    <row r="18" spans="1:7" x14ac:dyDescent="0.25">
      <c r="A18" s="384"/>
      <c r="B18" s="238"/>
      <c r="C18" s="238"/>
      <c r="D18" s="239" t="str">
        <f>IF(A18="","",B18+C18)</f>
        <v/>
      </c>
      <c r="E18" s="238"/>
      <c r="F18" s="238"/>
      <c r="G18" s="237" t="str">
        <f>IF(A18="","",D18-E18)</f>
        <v/>
      </c>
    </row>
    <row r="19" spans="1:7" x14ac:dyDescent="0.25">
      <c r="A19" s="395" t="s">
        <v>377</v>
      </c>
      <c r="B19" s="394">
        <f>SUM(B20:B26)</f>
        <v>623389417.66593051</v>
      </c>
      <c r="C19" s="394">
        <f>SUM(C20:C26)</f>
        <v>182226125.19999996</v>
      </c>
      <c r="D19" s="394">
        <f>IF(A19="","",B19+C19)</f>
        <v>805615542.86593044</v>
      </c>
      <c r="E19" s="394">
        <f>SUM(E20:E26)</f>
        <v>458746265.13999999</v>
      </c>
      <c r="F19" s="394">
        <f>SUM(F20:F26)</f>
        <v>414066339.92000002</v>
      </c>
      <c r="G19" s="393">
        <f>IF(A19="","",D19-E19)</f>
        <v>346869277.72593045</v>
      </c>
    </row>
    <row r="20" spans="1:7" x14ac:dyDescent="0.25">
      <c r="A20" s="314" t="s">
        <v>376</v>
      </c>
      <c r="B20" s="238"/>
      <c r="C20" s="238"/>
      <c r="D20" s="239">
        <f>IF(A20="","",B20+C20)</f>
        <v>0</v>
      </c>
      <c r="E20" s="238"/>
      <c r="F20" s="238"/>
      <c r="G20" s="237">
        <f>IF(A20="","",D20-E20)</f>
        <v>0</v>
      </c>
    </row>
    <row r="21" spans="1:7" x14ac:dyDescent="0.25">
      <c r="A21" s="314" t="s">
        <v>375</v>
      </c>
      <c r="B21" s="238">
        <v>623389417.66593051</v>
      </c>
      <c r="C21" s="238">
        <v>182226125.19999996</v>
      </c>
      <c r="D21" s="239">
        <f>IF(A21="","",B21+C21)</f>
        <v>805615542.86593044</v>
      </c>
      <c r="E21" s="238">
        <v>458746265.13999999</v>
      </c>
      <c r="F21" s="238">
        <v>414066339.92000002</v>
      </c>
      <c r="G21" s="237">
        <f>IF(A21="","",D21-E21)</f>
        <v>346869277.72593045</v>
      </c>
    </row>
    <row r="22" spans="1:7" x14ac:dyDescent="0.25">
      <c r="A22" s="314" t="s">
        <v>374</v>
      </c>
      <c r="B22" s="238"/>
      <c r="C22" s="238"/>
      <c r="D22" s="239">
        <f>IF(A22="","",B22+C22)</f>
        <v>0</v>
      </c>
      <c r="E22" s="238"/>
      <c r="F22" s="238"/>
      <c r="G22" s="237">
        <f>IF(A22="","",D22-E22)</f>
        <v>0</v>
      </c>
    </row>
    <row r="23" spans="1:7" ht="25.5" x14ac:dyDescent="0.25">
      <c r="A23" s="314" t="s">
        <v>373</v>
      </c>
      <c r="B23" s="238"/>
      <c r="C23" s="238"/>
      <c r="D23" s="239">
        <f>IF(A23="","",B23+C23)</f>
        <v>0</v>
      </c>
      <c r="E23" s="238"/>
      <c r="F23" s="238"/>
      <c r="G23" s="237">
        <f>IF(A23="","",D23-E23)</f>
        <v>0</v>
      </c>
    </row>
    <row r="24" spans="1:7" x14ac:dyDescent="0.25">
      <c r="A24" s="314" t="s">
        <v>372</v>
      </c>
      <c r="B24" s="238"/>
      <c r="C24" s="238"/>
      <c r="D24" s="239">
        <f>IF(A24="","",B24+C24)</f>
        <v>0</v>
      </c>
      <c r="E24" s="238"/>
      <c r="F24" s="238"/>
      <c r="G24" s="237">
        <f>IF(A24="","",D24-E24)</f>
        <v>0</v>
      </c>
    </row>
    <row r="25" spans="1:7" x14ac:dyDescent="0.25">
      <c r="A25" s="314" t="s">
        <v>371</v>
      </c>
      <c r="B25" s="238"/>
      <c r="C25" s="238"/>
      <c r="D25" s="239">
        <f>IF(A25="","",B25+C25)</f>
        <v>0</v>
      </c>
      <c r="E25" s="238"/>
      <c r="F25" s="238"/>
      <c r="G25" s="237">
        <f>IF(A25="","",D25-E25)</f>
        <v>0</v>
      </c>
    </row>
    <row r="26" spans="1:7" x14ac:dyDescent="0.25">
      <c r="A26" s="314" t="s">
        <v>370</v>
      </c>
      <c r="B26" s="238"/>
      <c r="C26" s="238"/>
      <c r="D26" s="239">
        <f>IF(A26="","",B26+C26)</f>
        <v>0</v>
      </c>
      <c r="E26" s="238"/>
      <c r="F26" s="238"/>
      <c r="G26" s="237">
        <f>IF(A26="","",D26-E26)</f>
        <v>0</v>
      </c>
    </row>
    <row r="27" spans="1:7" x14ac:dyDescent="0.25">
      <c r="A27" s="384"/>
      <c r="B27" s="238"/>
      <c r="C27" s="238"/>
      <c r="D27" s="239" t="str">
        <f>IF(A27="","",B27+C27)</f>
        <v/>
      </c>
      <c r="E27" s="238"/>
      <c r="F27" s="238"/>
      <c r="G27" s="237" t="str">
        <f>IF(A27="","",D27-E27)</f>
        <v/>
      </c>
    </row>
    <row r="28" spans="1:7" x14ac:dyDescent="0.25">
      <c r="A28" s="395" t="s">
        <v>369</v>
      </c>
      <c r="B28" s="394">
        <f>SUM(B29:B37)</f>
        <v>0</v>
      </c>
      <c r="C28" s="394">
        <f>SUM(C29:C37)</f>
        <v>0</v>
      </c>
      <c r="D28" s="394">
        <f>IF(A28="","",B28+C28)</f>
        <v>0</v>
      </c>
      <c r="E28" s="394">
        <f>SUM(E29:E37)</f>
        <v>0</v>
      </c>
      <c r="F28" s="394">
        <f>SUM(F29:F37)</f>
        <v>0</v>
      </c>
      <c r="G28" s="393">
        <f>IF(A28="","",D28-E28)</f>
        <v>0</v>
      </c>
    </row>
    <row r="29" spans="1:7" ht="25.5" x14ac:dyDescent="0.25">
      <c r="A29" s="314" t="s">
        <v>368</v>
      </c>
      <c r="B29" s="238"/>
      <c r="C29" s="238"/>
      <c r="D29" s="239">
        <f>IF(A29="","",B29+C29)</f>
        <v>0</v>
      </c>
      <c r="E29" s="238"/>
      <c r="F29" s="238"/>
      <c r="G29" s="237">
        <f>IF(A29="","",D29-E29)</f>
        <v>0</v>
      </c>
    </row>
    <row r="30" spans="1:7" x14ac:dyDescent="0.25">
      <c r="A30" s="314" t="s">
        <v>367</v>
      </c>
      <c r="B30" s="238"/>
      <c r="C30" s="238"/>
      <c r="D30" s="239">
        <f>IF(A30="","",B30+C30)</f>
        <v>0</v>
      </c>
      <c r="E30" s="238"/>
      <c r="F30" s="238"/>
      <c r="G30" s="237">
        <f>IF(A30="","",D30-E30)</f>
        <v>0</v>
      </c>
    </row>
    <row r="31" spans="1:7" x14ac:dyDescent="0.25">
      <c r="A31" s="314" t="s">
        <v>366</v>
      </c>
      <c r="B31" s="238"/>
      <c r="C31" s="238"/>
      <c r="D31" s="239">
        <f>IF(A31="","",B31+C31)</f>
        <v>0</v>
      </c>
      <c r="E31" s="238"/>
      <c r="F31" s="238"/>
      <c r="G31" s="237">
        <f>IF(A31="","",D31-E31)</f>
        <v>0</v>
      </c>
    </row>
    <row r="32" spans="1:7" x14ac:dyDescent="0.25">
      <c r="A32" s="314" t="s">
        <v>365</v>
      </c>
      <c r="B32" s="238"/>
      <c r="C32" s="238"/>
      <c r="D32" s="239">
        <f>IF(A32="","",B32+C32)</f>
        <v>0</v>
      </c>
      <c r="E32" s="238"/>
      <c r="F32" s="238"/>
      <c r="G32" s="237">
        <f>IF(A32="","",D32-E32)</f>
        <v>0</v>
      </c>
    </row>
    <row r="33" spans="1:8" x14ac:dyDescent="0.25">
      <c r="A33" s="314" t="s">
        <v>364</v>
      </c>
      <c r="B33" s="238"/>
      <c r="C33" s="238"/>
      <c r="D33" s="239">
        <f>IF(A33="","",B33+C33)</f>
        <v>0</v>
      </c>
      <c r="E33" s="238"/>
      <c r="F33" s="238"/>
      <c r="G33" s="237">
        <f>IF(A33="","",D33-E33)</f>
        <v>0</v>
      </c>
    </row>
    <row r="34" spans="1:8" x14ac:dyDescent="0.25">
      <c r="A34" s="314" t="s">
        <v>363</v>
      </c>
      <c r="B34" s="238"/>
      <c r="C34" s="238"/>
      <c r="D34" s="239">
        <f>IF(A34="","",B34+C34)</f>
        <v>0</v>
      </c>
      <c r="E34" s="238"/>
      <c r="F34" s="238"/>
      <c r="G34" s="237">
        <f>IF(A34="","",D34-E34)</f>
        <v>0</v>
      </c>
    </row>
    <row r="35" spans="1:8" x14ac:dyDescent="0.25">
      <c r="A35" s="314" t="s">
        <v>362</v>
      </c>
      <c r="B35" s="238"/>
      <c r="C35" s="238"/>
      <c r="D35" s="239">
        <f>IF(A35="","",B35+C35)</f>
        <v>0</v>
      </c>
      <c r="E35" s="238"/>
      <c r="F35" s="238"/>
      <c r="G35" s="237">
        <f>IF(A35="","",D35-E35)</f>
        <v>0</v>
      </c>
    </row>
    <row r="36" spans="1:8" x14ac:dyDescent="0.25">
      <c r="A36" s="314" t="s">
        <v>361</v>
      </c>
      <c r="B36" s="238"/>
      <c r="C36" s="238"/>
      <c r="D36" s="239">
        <f>IF(A36="","",B36+C36)</f>
        <v>0</v>
      </c>
      <c r="E36" s="238"/>
      <c r="F36" s="238"/>
      <c r="G36" s="237">
        <f>IF(A36="","",D36-E36)</f>
        <v>0</v>
      </c>
    </row>
    <row r="37" spans="1:8" x14ac:dyDescent="0.25">
      <c r="A37" s="314" t="s">
        <v>360</v>
      </c>
      <c r="B37" s="238"/>
      <c r="C37" s="238"/>
      <c r="D37" s="239">
        <f>IF(A37="","",B37+C37)</f>
        <v>0</v>
      </c>
      <c r="E37" s="238"/>
      <c r="F37" s="238"/>
      <c r="G37" s="237">
        <f>IF(A37="","",D37-E37)</f>
        <v>0</v>
      </c>
    </row>
    <row r="38" spans="1:8" x14ac:dyDescent="0.25">
      <c r="A38" s="384"/>
      <c r="B38" s="238"/>
      <c r="C38" s="238"/>
      <c r="D38" s="239" t="str">
        <f>IF(A38="","",B38+C38)</f>
        <v/>
      </c>
      <c r="E38" s="238"/>
      <c r="F38" s="238"/>
      <c r="G38" s="237" t="str">
        <f>IF(A38="","",D38-E38)</f>
        <v/>
      </c>
    </row>
    <row r="39" spans="1:8" ht="25.5" x14ac:dyDescent="0.25">
      <c r="A39" s="395" t="s">
        <v>359</v>
      </c>
      <c r="B39" s="394">
        <f>SUM(B40:B43)</f>
        <v>0</v>
      </c>
      <c r="C39" s="394">
        <f>SUM(C40:C43)</f>
        <v>0</v>
      </c>
      <c r="D39" s="394">
        <f>IF(A39="","",B39+C39)</f>
        <v>0</v>
      </c>
      <c r="E39" s="394">
        <f>SUM(E40:E43)</f>
        <v>0</v>
      </c>
      <c r="F39" s="394">
        <f>SUM(F40:F43)</f>
        <v>0</v>
      </c>
      <c r="G39" s="393">
        <f>IF(A39="","",D39-E39)</f>
        <v>0</v>
      </c>
    </row>
    <row r="40" spans="1:8" ht="25.5" x14ac:dyDescent="0.25">
      <c r="A40" s="392" t="s">
        <v>358</v>
      </c>
      <c r="B40" s="238">
        <v>0</v>
      </c>
      <c r="C40" s="238">
        <v>0</v>
      </c>
      <c r="D40" s="239">
        <f>IF(A40="","",B40+C40)</f>
        <v>0</v>
      </c>
      <c r="E40" s="238">
        <v>0</v>
      </c>
      <c r="F40" s="238">
        <v>0</v>
      </c>
      <c r="G40" s="237">
        <f>IF(A40="","",D40-E40)</f>
        <v>0</v>
      </c>
    </row>
    <row r="41" spans="1:8" ht="38.25" x14ac:dyDescent="0.25">
      <c r="A41" s="392" t="s">
        <v>357</v>
      </c>
      <c r="B41" s="238"/>
      <c r="C41" s="238"/>
      <c r="D41" s="239">
        <f>IF(A41="","",B41+C41)</f>
        <v>0</v>
      </c>
      <c r="E41" s="238"/>
      <c r="F41" s="238"/>
      <c r="G41" s="237">
        <f>IF(A41="","",D41-E41)</f>
        <v>0</v>
      </c>
    </row>
    <row r="42" spans="1:8" x14ac:dyDescent="0.25">
      <c r="A42" s="314" t="s">
        <v>356</v>
      </c>
      <c r="B42" s="238"/>
      <c r="C42" s="238"/>
      <c r="D42" s="239">
        <f>IF(A42="","",B42+C42)</f>
        <v>0</v>
      </c>
      <c r="E42" s="238"/>
      <c r="F42" s="238"/>
      <c r="G42" s="237">
        <f>IF(A42="","",D42-E42)</f>
        <v>0</v>
      </c>
    </row>
    <row r="43" spans="1:8" ht="15.75" thickBot="1" x14ac:dyDescent="0.3">
      <c r="A43" s="314" t="s">
        <v>355</v>
      </c>
      <c r="B43" s="238"/>
      <c r="C43" s="238"/>
      <c r="D43" s="239">
        <f>IF(A43="","",B43+C43)</f>
        <v>0</v>
      </c>
      <c r="E43" s="238"/>
      <c r="F43" s="238"/>
      <c r="G43" s="237">
        <f>IF(A43="","",D43-E43)</f>
        <v>0</v>
      </c>
    </row>
    <row r="44" spans="1:8" ht="15.75" thickBot="1" x14ac:dyDescent="0.3">
      <c r="A44" s="323" t="s">
        <v>130</v>
      </c>
      <c r="B44" s="391">
        <f>SUM(B9,B19,B28,B39)</f>
        <v>623389417.66593051</v>
      </c>
      <c r="C44" s="391">
        <f>SUM(C9,C19,C28,C39)</f>
        <v>182226125.19999996</v>
      </c>
      <c r="D44" s="391">
        <f>IF(A44="","",B44+C44)</f>
        <v>805615542.86593044</v>
      </c>
      <c r="E44" s="391">
        <f>SUM(E9,E19,E28,E39)</f>
        <v>458746265.13999999</v>
      </c>
      <c r="F44" s="391">
        <f>SUM(F9,F19,F28,F39)</f>
        <v>414066339.92000002</v>
      </c>
      <c r="G44" s="390">
        <f>IF(A44="","",D44-E44)</f>
        <v>346869277.72593045</v>
      </c>
      <c r="H44" s="106" t="str">
        <f>IF((B44-'ETCA II-04'!B80)&gt;0.9,"ERROR!!!!! EL MONTO NO COINCIDE CON LO REPORTADO EN EL FORMATO ETCA-II-04 EN EL TOTAL APROBADO ANUAL DEL ANALÍTICO DE EGRESOS","")</f>
        <v/>
      </c>
    </row>
    <row r="45" spans="1:8" ht="9" customHeight="1" x14ac:dyDescent="0.25">
      <c r="A45" s="375"/>
      <c r="B45" s="376"/>
      <c r="C45" s="376"/>
      <c r="D45" s="376"/>
      <c r="E45" s="376"/>
      <c r="F45" s="376"/>
      <c r="G45" s="376"/>
      <c r="H45" s="106" t="str">
        <f>IF((C44-'ETCA II-04'!C80)&gt;0.9,"ERROR!!!!! EL MONTO NO COINCIDE CON LO REPORTADO EN EL FORMATO ETCA-II-04 EN EL TOTAL DE AMPLIACIONES/REDUCCIONES PRESENTADO EN EL ANALÍTICO DE EGRESOS","")</f>
        <v/>
      </c>
    </row>
    <row r="46" spans="1:8" x14ac:dyDescent="0.25">
      <c r="A46" s="389"/>
      <c r="B46" s="377"/>
      <c r="C46" s="377"/>
      <c r="D46" s="376"/>
      <c r="E46" s="377"/>
      <c r="F46" s="377"/>
      <c r="G46" s="376"/>
      <c r="H46" s="106" t="str">
        <f>IF((E44-'ETCA II-04'!E80)&gt;0.9,"ERROR!!!!! EL MONTO NO COINCIDE CON LO REPORTADO EN EL FORMATO ETCA-II-04 EN EL TOTAL DEVENGADO ANUAL PRESENTADO EN EL ANALÍTICO DE EGRESOS","")</f>
        <v/>
      </c>
    </row>
    <row r="47" spans="1:8" x14ac:dyDescent="0.25">
      <c r="A47" s="375"/>
      <c r="B47" s="376"/>
      <c r="C47" s="376"/>
      <c r="D47" s="376"/>
      <c r="E47" s="376"/>
      <c r="F47" s="376"/>
      <c r="G47" s="376"/>
      <c r="H47" s="106" t="str">
        <f>IF((F44-'ETCA II-04'!F80)&gt;0.9,"ERROR!!!!! EL MONTO NO COINCIDE CON LO REPORTADO EN EL FORMATO ETCA-II-04 EN EL TOTAL PAGADO ANUAL PRESENTADO EN EL ANALÍTICO DE EGRESOS","")</f>
        <v/>
      </c>
    </row>
    <row r="48" spans="1:8" x14ac:dyDescent="0.25">
      <c r="H48" s="106" t="str">
        <f>IF((G44-'ETCA II-04'!G80)&gt;0.9,"ERROR!!!!! EL MONTO NO COINCIDE CON LO REPORTADO EN EL FORMATO ETCA-II-04 EN EL TOTAL SUBEJERCICIO PRESENTADO EN EL ANALÍTICO DE EGRESOS","")</f>
        <v/>
      </c>
    </row>
  </sheetData>
  <sheetProtection formatColumns="0" formatRows="0"/>
  <mergeCells count="6">
    <mergeCell ref="A6:A7"/>
    <mergeCell ref="A1:G1"/>
    <mergeCell ref="A2:G2"/>
    <mergeCell ref="A3:G3"/>
    <mergeCell ref="A4:G4"/>
    <mergeCell ref="B5:E5"/>
  </mergeCells>
  <pageMargins left="0.70866141732283472" right="0.70866141732283472" top="0.74803149606299213" bottom="0.74803149606299213" header="0.31496062992125984" footer="0.31496062992125984"/>
  <pageSetup scale="86" orientation="portrait" horizontalDpi="1200" verticalDpi="1200" r:id="rId1"/>
  <colBreaks count="1" manualBreakCount="1">
    <brk id="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1EFBE-4EC3-4BC1-812C-B52CAF5CBB83}">
  <sheetPr>
    <tabColor theme="0" tint="-0.14999847407452621"/>
  </sheetPr>
  <dimension ref="A1:I88"/>
  <sheetViews>
    <sheetView view="pageBreakPreview" topLeftCell="B65" zoomScale="90" zoomScaleNormal="100" zoomScaleSheetLayoutView="90" workbookViewId="0">
      <selection activeCell="D30" sqref="D30"/>
    </sheetView>
  </sheetViews>
  <sheetFormatPr baseColWidth="10" defaultColWidth="11.42578125" defaultRowHeight="15" x14ac:dyDescent="0.25"/>
  <cols>
    <col min="1" max="1" width="4.42578125" customWidth="1"/>
    <col min="2" max="2" width="40.140625" customWidth="1"/>
    <col min="3" max="3" width="16" customWidth="1"/>
    <col min="4" max="4" width="14.5703125" customWidth="1"/>
    <col min="5" max="5" width="14.5703125" bestFit="1" customWidth="1"/>
    <col min="6" max="7" width="14.28515625" bestFit="1" customWidth="1"/>
    <col min="8" max="8" width="15.42578125" bestFit="1" customWidth="1"/>
  </cols>
  <sheetData>
    <row r="1" spans="1:8" ht="15.75" x14ac:dyDescent="0.25">
      <c r="A1" s="293" t="str">
        <f>'[1]ETCA-I-01'!A1:G1</f>
        <v xml:space="preserve">Comision Estatal del Agua </v>
      </c>
      <c r="B1" s="292"/>
      <c r="C1" s="292"/>
      <c r="D1" s="292"/>
      <c r="E1" s="292"/>
      <c r="F1" s="292"/>
      <c r="G1" s="292"/>
      <c r="H1" s="291"/>
    </row>
    <row r="2" spans="1:8" x14ac:dyDescent="0.25">
      <c r="A2" s="436" t="s">
        <v>299</v>
      </c>
      <c r="B2" s="435"/>
      <c r="C2" s="435"/>
      <c r="D2" s="435"/>
      <c r="E2" s="435"/>
      <c r="F2" s="435"/>
      <c r="G2" s="435"/>
      <c r="H2" s="434"/>
    </row>
    <row r="3" spans="1:8" ht="11.25" customHeight="1" x14ac:dyDescent="0.25">
      <c r="A3" s="436" t="s">
        <v>386</v>
      </c>
      <c r="B3" s="435"/>
      <c r="C3" s="435"/>
      <c r="D3" s="435"/>
      <c r="E3" s="435"/>
      <c r="F3" s="435"/>
      <c r="G3" s="435"/>
      <c r="H3" s="434"/>
    </row>
    <row r="4" spans="1:8" ht="11.25" customHeight="1" x14ac:dyDescent="0.25">
      <c r="A4" s="436" t="str">
        <f>'[1]ETCA-I-03'!A3:D3</f>
        <v>Del 01 de enero  al 30 de Septiembre de 2020</v>
      </c>
      <c r="B4" s="435"/>
      <c r="C4" s="435"/>
      <c r="D4" s="435"/>
      <c r="E4" s="435"/>
      <c r="F4" s="435"/>
      <c r="G4" s="435"/>
      <c r="H4" s="434"/>
    </row>
    <row r="5" spans="1:8" ht="12.75" customHeight="1" thickBot="1" x14ac:dyDescent="0.3">
      <c r="A5" s="429" t="s">
        <v>297</v>
      </c>
      <c r="B5" s="433"/>
      <c r="C5" s="433"/>
      <c r="D5" s="433"/>
      <c r="E5" s="433"/>
      <c r="F5" s="433"/>
      <c r="G5" s="433"/>
      <c r="H5" s="432"/>
    </row>
    <row r="6" spans="1:8" ht="15.75" thickBot="1" x14ac:dyDescent="0.3">
      <c r="A6" s="431" t="s">
        <v>296</v>
      </c>
      <c r="B6" s="430"/>
      <c r="C6" s="352" t="s">
        <v>295</v>
      </c>
      <c r="D6" s="351"/>
      <c r="E6" s="351"/>
      <c r="F6" s="351"/>
      <c r="G6" s="350"/>
      <c r="H6" s="349" t="s">
        <v>294</v>
      </c>
    </row>
    <row r="7" spans="1:8" ht="26.25" thickBot="1" x14ac:dyDescent="0.3">
      <c r="A7" s="429"/>
      <c r="B7" s="428"/>
      <c r="C7" s="348" t="s">
        <v>293</v>
      </c>
      <c r="D7" s="348" t="s">
        <v>292</v>
      </c>
      <c r="E7" s="348" t="s">
        <v>291</v>
      </c>
      <c r="F7" s="348" t="s">
        <v>108</v>
      </c>
      <c r="G7" s="348" t="s">
        <v>338</v>
      </c>
      <c r="H7" s="347"/>
    </row>
    <row r="8" spans="1:8" x14ac:dyDescent="0.25">
      <c r="A8" s="427"/>
      <c r="B8" s="426"/>
      <c r="C8" s="425"/>
      <c r="D8" s="425"/>
      <c r="E8" s="425"/>
      <c r="F8" s="425"/>
      <c r="G8" s="425"/>
      <c r="H8" s="425"/>
    </row>
    <row r="9" spans="1:8" ht="16.5" customHeight="1" x14ac:dyDescent="0.25">
      <c r="A9" s="424" t="s">
        <v>420</v>
      </c>
      <c r="B9" s="423"/>
      <c r="C9" s="339">
        <f>+C10+C20+C29+C40</f>
        <v>535114183.66593051</v>
      </c>
      <c r="D9" s="339">
        <f>+D10+D20+D29+D40</f>
        <v>122754839.20999998</v>
      </c>
      <c r="E9" s="339">
        <f>+E10+E20+E29+E40</f>
        <v>657869022.87593055</v>
      </c>
      <c r="F9" s="339">
        <f>+F10+F20+F29+F40</f>
        <v>428501865.69</v>
      </c>
      <c r="G9" s="339">
        <f>+G10+G20+G29+G40</f>
        <v>384363661.44</v>
      </c>
      <c r="H9" s="339">
        <f>+H10+H20+H29+H40</f>
        <v>229367157.18593055</v>
      </c>
    </row>
    <row r="10" spans="1:8" x14ac:dyDescent="0.25">
      <c r="A10" s="418" t="s">
        <v>418</v>
      </c>
      <c r="B10" s="417"/>
      <c r="C10" s="412">
        <f>SUM(C11:C18)</f>
        <v>0</v>
      </c>
      <c r="D10" s="412">
        <f>SUM(D11:D18)</f>
        <v>0</v>
      </c>
      <c r="E10" s="412">
        <f>SUM(E11:E18)</f>
        <v>0</v>
      </c>
      <c r="F10" s="412">
        <f>SUM(F11:F18)</f>
        <v>0</v>
      </c>
      <c r="G10" s="412">
        <f>SUM(G11:G18)</f>
        <v>0</v>
      </c>
      <c r="H10" s="412">
        <f>SUM(H11:H18)</f>
        <v>0</v>
      </c>
    </row>
    <row r="11" spans="1:8" x14ac:dyDescent="0.25">
      <c r="A11" s="415"/>
      <c r="B11" s="414" t="s">
        <v>417</v>
      </c>
      <c r="C11" s="413"/>
      <c r="D11" s="413"/>
      <c r="E11" s="412">
        <f>C11+D11</f>
        <v>0</v>
      </c>
      <c r="F11" s="413"/>
      <c r="G11" s="413"/>
      <c r="H11" s="412">
        <f>+E11-F11</f>
        <v>0</v>
      </c>
    </row>
    <row r="12" spans="1:8" x14ac:dyDescent="0.25">
      <c r="A12" s="415"/>
      <c r="B12" s="414" t="s">
        <v>416</v>
      </c>
      <c r="C12" s="413"/>
      <c r="D12" s="413"/>
      <c r="E12" s="412">
        <f>C12+D12</f>
        <v>0</v>
      </c>
      <c r="F12" s="413"/>
      <c r="G12" s="413"/>
      <c r="H12" s="412">
        <f>+E12-F12</f>
        <v>0</v>
      </c>
    </row>
    <row r="13" spans="1:8" x14ac:dyDescent="0.25">
      <c r="A13" s="415"/>
      <c r="B13" s="414" t="s">
        <v>415</v>
      </c>
      <c r="C13" s="413"/>
      <c r="D13" s="413"/>
      <c r="E13" s="412">
        <f>C13+D13</f>
        <v>0</v>
      </c>
      <c r="F13" s="413"/>
      <c r="G13" s="413"/>
      <c r="H13" s="412">
        <f>+E13-F13</f>
        <v>0</v>
      </c>
    </row>
    <row r="14" spans="1:8" x14ac:dyDescent="0.25">
      <c r="A14" s="415"/>
      <c r="B14" s="414" t="s">
        <v>414</v>
      </c>
      <c r="C14" s="413"/>
      <c r="D14" s="413"/>
      <c r="E14" s="412">
        <f>C14+D14</f>
        <v>0</v>
      </c>
      <c r="F14" s="413"/>
      <c r="G14" s="413"/>
      <c r="H14" s="412">
        <f>+E14-F14</f>
        <v>0</v>
      </c>
    </row>
    <row r="15" spans="1:8" x14ac:dyDescent="0.25">
      <c r="A15" s="415"/>
      <c r="B15" s="414" t="s">
        <v>413</v>
      </c>
      <c r="C15" s="413"/>
      <c r="D15" s="413"/>
      <c r="E15" s="412">
        <f>C15+D15</f>
        <v>0</v>
      </c>
      <c r="F15" s="413"/>
      <c r="G15" s="413"/>
      <c r="H15" s="412">
        <f>+E15-F15</f>
        <v>0</v>
      </c>
    </row>
    <row r="16" spans="1:8" x14ac:dyDescent="0.25">
      <c r="A16" s="415"/>
      <c r="B16" s="414" t="s">
        <v>412</v>
      </c>
      <c r="C16" s="413"/>
      <c r="D16" s="413"/>
      <c r="E16" s="412">
        <f>C16+D16</f>
        <v>0</v>
      </c>
      <c r="F16" s="413"/>
      <c r="G16" s="413"/>
      <c r="H16" s="412">
        <f>+E16-F16</f>
        <v>0</v>
      </c>
    </row>
    <row r="17" spans="1:8" x14ac:dyDescent="0.25">
      <c r="A17" s="415"/>
      <c r="B17" s="414" t="s">
        <v>411</v>
      </c>
      <c r="C17" s="413"/>
      <c r="D17" s="413"/>
      <c r="E17" s="412">
        <f>C17+D17</f>
        <v>0</v>
      </c>
      <c r="F17" s="413"/>
      <c r="G17" s="413"/>
      <c r="H17" s="412">
        <f>+E17-F17</f>
        <v>0</v>
      </c>
    </row>
    <row r="18" spans="1:8" x14ac:dyDescent="0.25">
      <c r="A18" s="415"/>
      <c r="B18" s="414" t="s">
        <v>410</v>
      </c>
      <c r="C18" s="413"/>
      <c r="D18" s="413"/>
      <c r="E18" s="412">
        <f>C18+D18</f>
        <v>0</v>
      </c>
      <c r="F18" s="413"/>
      <c r="G18" s="413"/>
      <c r="H18" s="412">
        <f>+E18-F18</f>
        <v>0</v>
      </c>
    </row>
    <row r="19" spans="1:8" x14ac:dyDescent="0.25">
      <c r="A19" s="421"/>
      <c r="B19" s="420"/>
      <c r="C19" s="422"/>
      <c r="D19" s="422"/>
      <c r="E19" s="422"/>
      <c r="F19" s="422"/>
      <c r="G19" s="422"/>
      <c r="H19" s="412" t="s">
        <v>44</v>
      </c>
    </row>
    <row r="20" spans="1:8" x14ac:dyDescent="0.25">
      <c r="A20" s="418" t="s">
        <v>409</v>
      </c>
      <c r="B20" s="417"/>
      <c r="C20" s="412">
        <f>SUM(C21:C27)</f>
        <v>535114183.66593051</v>
      </c>
      <c r="D20" s="412">
        <f>SUM(D21:D27)</f>
        <v>122754839.20999998</v>
      </c>
      <c r="E20" s="412">
        <f>SUM(E21:E27)</f>
        <v>657869022.87593055</v>
      </c>
      <c r="F20" s="412">
        <f>SUM(F21:F27)</f>
        <v>428501865.69</v>
      </c>
      <c r="G20" s="412">
        <f>SUM(G21:G27)</f>
        <v>384363661.44</v>
      </c>
      <c r="H20" s="412">
        <f>SUM(H21:H27)</f>
        <v>229367157.18593055</v>
      </c>
    </row>
    <row r="21" spans="1:8" x14ac:dyDescent="0.25">
      <c r="A21" s="415"/>
      <c r="B21" s="414" t="s">
        <v>408</v>
      </c>
      <c r="C21" s="413"/>
      <c r="D21" s="413"/>
      <c r="E21" s="412">
        <f>C21+D21</f>
        <v>0</v>
      </c>
      <c r="F21" s="413"/>
      <c r="G21" s="413"/>
      <c r="H21" s="412">
        <f>+E21-F21</f>
        <v>0</v>
      </c>
    </row>
    <row r="22" spans="1:8" x14ac:dyDescent="0.25">
      <c r="A22" s="415"/>
      <c r="B22" s="414" t="s">
        <v>407</v>
      </c>
      <c r="C22" s="413">
        <v>535114183.66593051</v>
      </c>
      <c r="D22" s="413">
        <v>122754839.20999998</v>
      </c>
      <c r="E22" s="412">
        <f>C22+D22</f>
        <v>657869022.87593055</v>
      </c>
      <c r="F22" s="413">
        <v>428501865.69</v>
      </c>
      <c r="G22" s="413">
        <v>384363661.44</v>
      </c>
      <c r="H22" s="412">
        <f>+E22-F22</f>
        <v>229367157.18593055</v>
      </c>
    </row>
    <row r="23" spans="1:8" x14ac:dyDescent="0.25">
      <c r="A23" s="415"/>
      <c r="B23" s="414" t="s">
        <v>406</v>
      </c>
      <c r="C23" s="413"/>
      <c r="D23" s="413"/>
      <c r="E23" s="412">
        <f>C23+D23</f>
        <v>0</v>
      </c>
      <c r="F23" s="413"/>
      <c r="G23" s="413"/>
      <c r="H23" s="412">
        <f>+E23-F23</f>
        <v>0</v>
      </c>
    </row>
    <row r="24" spans="1:8" x14ac:dyDescent="0.25">
      <c r="A24" s="415"/>
      <c r="B24" s="414" t="s">
        <v>405</v>
      </c>
      <c r="C24" s="413"/>
      <c r="D24" s="413"/>
      <c r="E24" s="412">
        <f>C24+D24</f>
        <v>0</v>
      </c>
      <c r="F24" s="413"/>
      <c r="G24" s="413"/>
      <c r="H24" s="412">
        <f>+E24-F24</f>
        <v>0</v>
      </c>
    </row>
    <row r="25" spans="1:8" x14ac:dyDescent="0.25">
      <c r="A25" s="415"/>
      <c r="B25" s="414" t="s">
        <v>404</v>
      </c>
      <c r="C25" s="413"/>
      <c r="D25" s="413"/>
      <c r="E25" s="412">
        <f>C25+D25</f>
        <v>0</v>
      </c>
      <c r="F25" s="413"/>
      <c r="G25" s="413"/>
      <c r="H25" s="412">
        <f>+E25-F25</f>
        <v>0</v>
      </c>
    </row>
    <row r="26" spans="1:8" x14ac:dyDescent="0.25">
      <c r="A26" s="415"/>
      <c r="B26" s="414" t="s">
        <v>403</v>
      </c>
      <c r="C26" s="413"/>
      <c r="D26" s="413"/>
      <c r="E26" s="412">
        <f>C26+D26</f>
        <v>0</v>
      </c>
      <c r="F26" s="413"/>
      <c r="G26" s="413"/>
      <c r="H26" s="412">
        <f>+E26-F26</f>
        <v>0</v>
      </c>
    </row>
    <row r="27" spans="1:8" x14ac:dyDescent="0.25">
      <c r="A27" s="415"/>
      <c r="B27" s="414" t="s">
        <v>402</v>
      </c>
      <c r="C27" s="413"/>
      <c r="D27" s="413"/>
      <c r="E27" s="412">
        <f>C27+D27</f>
        <v>0</v>
      </c>
      <c r="F27" s="413"/>
      <c r="G27" s="413"/>
      <c r="H27" s="412">
        <f>+E27-F27</f>
        <v>0</v>
      </c>
    </row>
    <row r="28" spans="1:8" x14ac:dyDescent="0.25">
      <c r="A28" s="421"/>
      <c r="B28" s="420"/>
      <c r="C28" s="419"/>
      <c r="D28" s="419"/>
      <c r="E28" s="419"/>
      <c r="F28" s="419"/>
      <c r="G28" s="419"/>
      <c r="H28" s="419"/>
    </row>
    <row r="29" spans="1:8" x14ac:dyDescent="0.25">
      <c r="A29" s="418" t="s">
        <v>401</v>
      </c>
      <c r="B29" s="417"/>
      <c r="C29" s="412">
        <f>SUM(C30:C38)</f>
        <v>0</v>
      </c>
      <c r="D29" s="412">
        <f>SUM(D30:D38)</f>
        <v>0</v>
      </c>
      <c r="E29" s="412">
        <f>SUM(E30:E38)</f>
        <v>0</v>
      </c>
      <c r="F29" s="412">
        <f>SUM(F30:F38)</f>
        <v>0</v>
      </c>
      <c r="G29" s="412">
        <f>SUM(G30:G38)</f>
        <v>0</v>
      </c>
      <c r="H29" s="412">
        <f>SUM(H30:H38)</f>
        <v>0</v>
      </c>
    </row>
    <row r="30" spans="1:8" x14ac:dyDescent="0.25">
      <c r="A30" s="415"/>
      <c r="B30" s="414" t="s">
        <v>400</v>
      </c>
      <c r="C30" s="413"/>
      <c r="D30" s="413"/>
      <c r="E30" s="412">
        <f>C30+D30</f>
        <v>0</v>
      </c>
      <c r="F30" s="413"/>
      <c r="G30" s="413"/>
      <c r="H30" s="412">
        <f>+E30-F30</f>
        <v>0</v>
      </c>
    </row>
    <row r="31" spans="1:8" x14ac:dyDescent="0.25">
      <c r="A31" s="415"/>
      <c r="B31" s="414" t="s">
        <v>399</v>
      </c>
      <c r="C31" s="413"/>
      <c r="D31" s="413"/>
      <c r="E31" s="412">
        <f>C31+D31</f>
        <v>0</v>
      </c>
      <c r="F31" s="413"/>
      <c r="G31" s="413"/>
      <c r="H31" s="412">
        <f>+E31-F31</f>
        <v>0</v>
      </c>
    </row>
    <row r="32" spans="1:8" x14ac:dyDescent="0.25">
      <c r="A32" s="415"/>
      <c r="B32" s="414" t="s">
        <v>398</v>
      </c>
      <c r="C32" s="413"/>
      <c r="D32" s="413"/>
      <c r="E32" s="412">
        <f>C32+D32</f>
        <v>0</v>
      </c>
      <c r="F32" s="413"/>
      <c r="G32" s="413"/>
      <c r="H32" s="412">
        <f>+E32-F32</f>
        <v>0</v>
      </c>
    </row>
    <row r="33" spans="1:8" ht="15.75" thickBot="1" x14ac:dyDescent="0.3">
      <c r="A33" s="411"/>
      <c r="B33" s="410" t="s">
        <v>397</v>
      </c>
      <c r="C33" s="416"/>
      <c r="D33" s="416"/>
      <c r="E33" s="409">
        <f>C33+D33</f>
        <v>0</v>
      </c>
      <c r="F33" s="416"/>
      <c r="G33" s="416"/>
      <c r="H33" s="409">
        <f>+E33-F33</f>
        <v>0</v>
      </c>
    </row>
    <row r="34" spans="1:8" x14ac:dyDescent="0.25">
      <c r="A34" s="415"/>
      <c r="B34" s="414" t="s">
        <v>396</v>
      </c>
      <c r="C34" s="413"/>
      <c r="D34" s="413"/>
      <c r="E34" s="412">
        <f>C34+D34</f>
        <v>0</v>
      </c>
      <c r="F34" s="413"/>
      <c r="G34" s="413"/>
      <c r="H34" s="412">
        <f>+E34-F34</f>
        <v>0</v>
      </c>
    </row>
    <row r="35" spans="1:8" x14ac:dyDescent="0.25">
      <c r="A35" s="415"/>
      <c r="B35" s="414" t="s">
        <v>395</v>
      </c>
      <c r="C35" s="413"/>
      <c r="D35" s="413"/>
      <c r="E35" s="412">
        <f>C35+D35</f>
        <v>0</v>
      </c>
      <c r="F35" s="413"/>
      <c r="G35" s="413"/>
      <c r="H35" s="412">
        <f>+E35-F35</f>
        <v>0</v>
      </c>
    </row>
    <row r="36" spans="1:8" x14ac:dyDescent="0.25">
      <c r="A36" s="415"/>
      <c r="B36" s="414" t="s">
        <v>394</v>
      </c>
      <c r="C36" s="413"/>
      <c r="D36" s="413"/>
      <c r="E36" s="412">
        <f>C36+D36</f>
        <v>0</v>
      </c>
      <c r="F36" s="413"/>
      <c r="G36" s="413"/>
      <c r="H36" s="412">
        <f>+E36-F36</f>
        <v>0</v>
      </c>
    </row>
    <row r="37" spans="1:8" x14ac:dyDescent="0.25">
      <c r="A37" s="415"/>
      <c r="B37" s="414" t="s">
        <v>393</v>
      </c>
      <c r="C37" s="413"/>
      <c r="D37" s="413"/>
      <c r="E37" s="412">
        <f>C37+D37</f>
        <v>0</v>
      </c>
      <c r="F37" s="413"/>
      <c r="G37" s="413"/>
      <c r="H37" s="412">
        <f>+E37-F37</f>
        <v>0</v>
      </c>
    </row>
    <row r="38" spans="1:8" x14ac:dyDescent="0.25">
      <c r="A38" s="415"/>
      <c r="B38" s="414" t="s">
        <v>392</v>
      </c>
      <c r="C38" s="413"/>
      <c r="D38" s="413"/>
      <c r="E38" s="412">
        <f>C38+D38</f>
        <v>0</v>
      </c>
      <c r="F38" s="413"/>
      <c r="G38" s="413"/>
      <c r="H38" s="412">
        <f>+E38-F38</f>
        <v>0</v>
      </c>
    </row>
    <row r="39" spans="1:8" x14ac:dyDescent="0.25">
      <c r="A39" s="415"/>
      <c r="B39" s="414"/>
      <c r="C39" s="413"/>
      <c r="D39" s="413"/>
      <c r="E39" s="412"/>
      <c r="F39" s="413"/>
      <c r="G39" s="413"/>
      <c r="H39" s="412"/>
    </row>
    <row r="40" spans="1:8" x14ac:dyDescent="0.25">
      <c r="A40" s="415" t="s">
        <v>391</v>
      </c>
      <c r="B40" s="414"/>
      <c r="C40" s="412">
        <f>SUM(C41:C44)</f>
        <v>0</v>
      </c>
      <c r="D40" s="412">
        <f>SUM(D41:D44)</f>
        <v>0</v>
      </c>
      <c r="E40" s="412">
        <f>SUM(E41:E44)</f>
        <v>0</v>
      </c>
      <c r="F40" s="412">
        <f>SUM(F41:F44)</f>
        <v>0</v>
      </c>
      <c r="G40" s="412">
        <f>SUM(G41:G44)</f>
        <v>0</v>
      </c>
      <c r="H40" s="412">
        <f>SUM(H41:H44)</f>
        <v>0</v>
      </c>
    </row>
    <row r="41" spans="1:8" x14ac:dyDescent="0.25">
      <c r="A41" s="415"/>
      <c r="B41" s="414" t="s">
        <v>390</v>
      </c>
      <c r="C41" s="413"/>
      <c r="D41" s="413"/>
      <c r="E41" s="412">
        <f>C41+D41</f>
        <v>0</v>
      </c>
      <c r="F41" s="413"/>
      <c r="G41" s="413"/>
      <c r="H41" s="412">
        <f>+E41-F41</f>
        <v>0</v>
      </c>
    </row>
    <row r="42" spans="1:8" x14ac:dyDescent="0.25">
      <c r="A42" s="415"/>
      <c r="B42" s="414" t="s">
        <v>389</v>
      </c>
      <c r="C42" s="413"/>
      <c r="D42" s="413"/>
      <c r="E42" s="412">
        <f>C42+D42</f>
        <v>0</v>
      </c>
      <c r="F42" s="413"/>
      <c r="G42" s="413"/>
      <c r="H42" s="412">
        <f>+E42-F42</f>
        <v>0</v>
      </c>
    </row>
    <row r="43" spans="1:8" x14ac:dyDescent="0.25">
      <c r="A43" s="415"/>
      <c r="B43" s="414" t="s">
        <v>388</v>
      </c>
      <c r="C43" s="413"/>
      <c r="D43" s="413"/>
      <c r="E43" s="412">
        <f>C43+D43</f>
        <v>0</v>
      </c>
      <c r="F43" s="413"/>
      <c r="G43" s="413"/>
      <c r="H43" s="412">
        <f>+E43-F43</f>
        <v>0</v>
      </c>
    </row>
    <row r="44" spans="1:8" x14ac:dyDescent="0.25">
      <c r="A44" s="415"/>
      <c r="B44" s="414" t="s">
        <v>387</v>
      </c>
      <c r="C44" s="413"/>
      <c r="D44" s="413"/>
      <c r="E44" s="412">
        <f>C44+D44</f>
        <v>0</v>
      </c>
      <c r="F44" s="413"/>
      <c r="G44" s="413"/>
      <c r="H44" s="412">
        <f>+E44-F44</f>
        <v>0</v>
      </c>
    </row>
    <row r="45" spans="1:8" x14ac:dyDescent="0.25">
      <c r="A45" s="415"/>
      <c r="B45" s="414"/>
      <c r="C45" s="413"/>
      <c r="D45" s="413"/>
      <c r="E45" s="412"/>
      <c r="F45" s="413"/>
      <c r="G45" s="413"/>
      <c r="H45" s="412"/>
    </row>
    <row r="46" spans="1:8" x14ac:dyDescent="0.25">
      <c r="A46" s="415" t="s">
        <v>419</v>
      </c>
      <c r="B46" s="414"/>
      <c r="C46" s="412">
        <f>+C47+C57+C65+C76</f>
        <v>88275234</v>
      </c>
      <c r="D46" s="412">
        <f>+D47+D57+D65+D76</f>
        <v>59471285.989999987</v>
      </c>
      <c r="E46" s="412">
        <f>+E47+E57+E65+E76</f>
        <v>147746519.98999998</v>
      </c>
      <c r="F46" s="412">
        <f>+F47+F57+F65+F76</f>
        <v>30244399.449999996</v>
      </c>
      <c r="G46" s="412">
        <f>+G47+G57+G65+G76</f>
        <v>29702678.48</v>
      </c>
      <c r="H46" s="412">
        <f>+H47+H57+H65+H76</f>
        <v>117502120.53999999</v>
      </c>
    </row>
    <row r="47" spans="1:8" x14ac:dyDescent="0.25">
      <c r="A47" s="415" t="s">
        <v>418</v>
      </c>
      <c r="B47" s="414"/>
      <c r="C47" s="412">
        <f>SUM(C48:C55)</f>
        <v>0</v>
      </c>
      <c r="D47" s="412">
        <f>SUM(D48:D55)</f>
        <v>0</v>
      </c>
      <c r="E47" s="412">
        <f>SUM(E48:E55)</f>
        <v>0</v>
      </c>
      <c r="F47" s="412">
        <f>SUM(F48:F55)</f>
        <v>0</v>
      </c>
      <c r="G47" s="412">
        <f>SUM(G48:G55)</f>
        <v>0</v>
      </c>
      <c r="H47" s="412">
        <f>SUM(H48:H55)</f>
        <v>0</v>
      </c>
    </row>
    <row r="48" spans="1:8" x14ac:dyDescent="0.25">
      <c r="A48" s="415"/>
      <c r="B48" s="414" t="s">
        <v>417</v>
      </c>
      <c r="C48" s="413"/>
      <c r="D48" s="413"/>
      <c r="E48" s="412">
        <f>C48+D48</f>
        <v>0</v>
      </c>
      <c r="F48" s="413"/>
      <c r="G48" s="413"/>
      <c r="H48" s="412">
        <f>+E48-F48</f>
        <v>0</v>
      </c>
    </row>
    <row r="49" spans="1:8" x14ac:dyDescent="0.25">
      <c r="A49" s="415"/>
      <c r="B49" s="414" t="s">
        <v>416</v>
      </c>
      <c r="C49" s="413"/>
      <c r="D49" s="413"/>
      <c r="E49" s="412">
        <f>C49+D49</f>
        <v>0</v>
      </c>
      <c r="F49" s="413"/>
      <c r="G49" s="413"/>
      <c r="H49" s="412">
        <f>+E49-F49</f>
        <v>0</v>
      </c>
    </row>
    <row r="50" spans="1:8" x14ac:dyDescent="0.25">
      <c r="A50" s="415"/>
      <c r="B50" s="414" t="s">
        <v>415</v>
      </c>
      <c r="C50" s="413"/>
      <c r="D50" s="413"/>
      <c r="E50" s="412">
        <f>C50+D50</f>
        <v>0</v>
      </c>
      <c r="F50" s="413"/>
      <c r="G50" s="413"/>
      <c r="H50" s="412">
        <f>+E50-F50</f>
        <v>0</v>
      </c>
    </row>
    <row r="51" spans="1:8" x14ac:dyDescent="0.25">
      <c r="A51" s="415"/>
      <c r="B51" s="414" t="s">
        <v>414</v>
      </c>
      <c r="C51" s="413"/>
      <c r="D51" s="413"/>
      <c r="E51" s="412">
        <f>C51+D51</f>
        <v>0</v>
      </c>
      <c r="F51" s="413"/>
      <c r="G51" s="413"/>
      <c r="H51" s="412">
        <f>+E51-F51</f>
        <v>0</v>
      </c>
    </row>
    <row r="52" spans="1:8" x14ac:dyDescent="0.25">
      <c r="A52" s="415"/>
      <c r="B52" s="414" t="s">
        <v>413</v>
      </c>
      <c r="C52" s="413"/>
      <c r="D52" s="413"/>
      <c r="E52" s="412">
        <f>C52+D52</f>
        <v>0</v>
      </c>
      <c r="F52" s="413"/>
      <c r="G52" s="413"/>
      <c r="H52" s="412">
        <f>+E52-F52</f>
        <v>0</v>
      </c>
    </row>
    <row r="53" spans="1:8" x14ac:dyDescent="0.25">
      <c r="A53" s="415"/>
      <c r="B53" s="414" t="s">
        <v>412</v>
      </c>
      <c r="C53" s="413"/>
      <c r="D53" s="413"/>
      <c r="E53" s="412">
        <f>C53+D53</f>
        <v>0</v>
      </c>
      <c r="F53" s="413"/>
      <c r="G53" s="413"/>
      <c r="H53" s="412">
        <f>+E53-F53</f>
        <v>0</v>
      </c>
    </row>
    <row r="54" spans="1:8" x14ac:dyDescent="0.25">
      <c r="A54" s="415"/>
      <c r="B54" s="414" t="s">
        <v>411</v>
      </c>
      <c r="C54" s="413"/>
      <c r="D54" s="413"/>
      <c r="E54" s="412">
        <f>C54+D54</f>
        <v>0</v>
      </c>
      <c r="F54" s="413"/>
      <c r="G54" s="413"/>
      <c r="H54" s="412">
        <f>+E54-F54</f>
        <v>0</v>
      </c>
    </row>
    <row r="55" spans="1:8" x14ac:dyDescent="0.25">
      <c r="A55" s="415"/>
      <c r="B55" s="414" t="s">
        <v>410</v>
      </c>
      <c r="C55" s="413"/>
      <c r="D55" s="413"/>
      <c r="E55" s="412">
        <f>C55+D55</f>
        <v>0</v>
      </c>
      <c r="F55" s="413"/>
      <c r="G55" s="413"/>
      <c r="H55" s="412">
        <f>+E55-F55</f>
        <v>0</v>
      </c>
    </row>
    <row r="56" spans="1:8" x14ac:dyDescent="0.25">
      <c r="A56" s="415"/>
      <c r="B56" s="414"/>
      <c r="C56" s="413"/>
      <c r="D56" s="413"/>
      <c r="E56" s="412"/>
      <c r="F56" s="413"/>
      <c r="G56" s="413"/>
      <c r="H56" s="412"/>
    </row>
    <row r="57" spans="1:8" x14ac:dyDescent="0.25">
      <c r="A57" s="415" t="s">
        <v>409</v>
      </c>
      <c r="B57" s="414"/>
      <c r="C57" s="412">
        <f>SUM(C58:C64)</f>
        <v>88275234</v>
      </c>
      <c r="D57" s="412">
        <f>SUM(D58:D64)</f>
        <v>59471285.989999987</v>
      </c>
      <c r="E57" s="412">
        <f>SUM(E58:E64)</f>
        <v>147746519.98999998</v>
      </c>
      <c r="F57" s="412">
        <f>SUM(F58:F64)</f>
        <v>30244399.449999996</v>
      </c>
      <c r="G57" s="412">
        <f>SUM(G58:G64)</f>
        <v>29702678.48</v>
      </c>
      <c r="H57" s="412">
        <f>SUM(H58:H64)</f>
        <v>117502120.53999999</v>
      </c>
    </row>
    <row r="58" spans="1:8" x14ac:dyDescent="0.25">
      <c r="A58" s="415"/>
      <c r="B58" s="414" t="s">
        <v>408</v>
      </c>
      <c r="C58" s="413"/>
      <c r="D58" s="413"/>
      <c r="E58" s="412">
        <f>C58+D58</f>
        <v>0</v>
      </c>
      <c r="F58" s="413"/>
      <c r="G58" s="413"/>
      <c r="H58" s="412">
        <f>+E58-F58</f>
        <v>0</v>
      </c>
    </row>
    <row r="59" spans="1:8" x14ac:dyDescent="0.25">
      <c r="A59" s="415"/>
      <c r="B59" s="414" t="s">
        <v>407</v>
      </c>
      <c r="C59" s="413">
        <v>88275234</v>
      </c>
      <c r="D59" s="413">
        <v>59471285.989999987</v>
      </c>
      <c r="E59" s="412">
        <f>C59+D59</f>
        <v>147746519.98999998</v>
      </c>
      <c r="F59" s="413">
        <v>30244399.449999996</v>
      </c>
      <c r="G59" s="413">
        <v>29702678.48</v>
      </c>
      <c r="H59" s="412">
        <f>+E59-F59</f>
        <v>117502120.53999999</v>
      </c>
    </row>
    <row r="60" spans="1:8" x14ac:dyDescent="0.25">
      <c r="A60" s="415"/>
      <c r="B60" s="414" t="s">
        <v>406</v>
      </c>
      <c r="C60" s="413"/>
      <c r="D60" s="413"/>
      <c r="E60" s="412">
        <f>C60+D60</f>
        <v>0</v>
      </c>
      <c r="F60" s="413"/>
      <c r="G60" s="413"/>
      <c r="H60" s="412">
        <f>+E60-F60</f>
        <v>0</v>
      </c>
    </row>
    <row r="61" spans="1:8" x14ac:dyDescent="0.25">
      <c r="A61" s="415"/>
      <c r="B61" s="414" t="s">
        <v>405</v>
      </c>
      <c r="C61" s="413"/>
      <c r="D61" s="413"/>
      <c r="E61" s="412">
        <f>C61+D61</f>
        <v>0</v>
      </c>
      <c r="F61" s="413"/>
      <c r="G61" s="413"/>
      <c r="H61" s="412">
        <f>+E61-F61</f>
        <v>0</v>
      </c>
    </row>
    <row r="62" spans="1:8" x14ac:dyDescent="0.25">
      <c r="A62" s="415"/>
      <c r="B62" s="414" t="s">
        <v>404</v>
      </c>
      <c r="C62" s="413"/>
      <c r="D62" s="413"/>
      <c r="E62" s="412">
        <f>C62+D62</f>
        <v>0</v>
      </c>
      <c r="F62" s="413"/>
      <c r="G62" s="413"/>
      <c r="H62" s="412">
        <f>+E62-F62</f>
        <v>0</v>
      </c>
    </row>
    <row r="63" spans="1:8" x14ac:dyDescent="0.25">
      <c r="A63" s="415"/>
      <c r="B63" s="414" t="s">
        <v>403</v>
      </c>
      <c r="C63" s="413"/>
      <c r="D63" s="413"/>
      <c r="E63" s="412">
        <f>C63+D63</f>
        <v>0</v>
      </c>
      <c r="F63" s="413"/>
      <c r="G63" s="413"/>
      <c r="H63" s="412">
        <f>+E63-F63</f>
        <v>0</v>
      </c>
    </row>
    <row r="64" spans="1:8" ht="15.75" thickBot="1" x14ac:dyDescent="0.3">
      <c r="A64" s="411"/>
      <c r="B64" s="410" t="s">
        <v>402</v>
      </c>
      <c r="C64" s="416"/>
      <c r="D64" s="416"/>
      <c r="E64" s="409">
        <f>C64+D64</f>
        <v>0</v>
      </c>
      <c r="F64" s="416"/>
      <c r="G64" s="416"/>
      <c r="H64" s="409">
        <f>+E64-F64</f>
        <v>0</v>
      </c>
    </row>
    <row r="65" spans="1:8" x14ac:dyDescent="0.25">
      <c r="A65" s="415" t="s">
        <v>401</v>
      </c>
      <c r="B65" s="414"/>
      <c r="C65" s="412">
        <f>SUM(C66:C74)</f>
        <v>0</v>
      </c>
      <c r="D65" s="412">
        <f>SUM(D66:D74)</f>
        <v>0</v>
      </c>
      <c r="E65" s="412">
        <f>SUM(E66:E74)</f>
        <v>0</v>
      </c>
      <c r="F65" s="412">
        <f>SUM(F66:F74)</f>
        <v>0</v>
      </c>
      <c r="G65" s="412">
        <f>SUM(G66:G74)</f>
        <v>0</v>
      </c>
      <c r="H65" s="412">
        <f>SUM(H66:H74)</f>
        <v>0</v>
      </c>
    </row>
    <row r="66" spans="1:8" x14ac:dyDescent="0.25">
      <c r="A66" s="415"/>
      <c r="B66" s="414" t="s">
        <v>400</v>
      </c>
      <c r="C66" s="413"/>
      <c r="D66" s="413"/>
      <c r="E66" s="412">
        <f>C66+D66</f>
        <v>0</v>
      </c>
      <c r="F66" s="413"/>
      <c r="G66" s="413"/>
      <c r="H66" s="412">
        <f>+E66-F66</f>
        <v>0</v>
      </c>
    </row>
    <row r="67" spans="1:8" x14ac:dyDescent="0.25">
      <c r="A67" s="415"/>
      <c r="B67" s="414" t="s">
        <v>399</v>
      </c>
      <c r="C67" s="413"/>
      <c r="D67" s="413"/>
      <c r="E67" s="412"/>
      <c r="F67" s="413"/>
      <c r="G67" s="413"/>
      <c r="H67" s="412">
        <f>+E67-F67</f>
        <v>0</v>
      </c>
    </row>
    <row r="68" spans="1:8" x14ac:dyDescent="0.25">
      <c r="A68" s="415"/>
      <c r="B68" s="414" t="s">
        <v>398</v>
      </c>
      <c r="C68" s="413"/>
      <c r="D68" s="413"/>
      <c r="E68" s="412">
        <f>C68+D68</f>
        <v>0</v>
      </c>
      <c r="F68" s="413"/>
      <c r="G68" s="413"/>
      <c r="H68" s="412">
        <f>+E68-F68</f>
        <v>0</v>
      </c>
    </row>
    <row r="69" spans="1:8" x14ac:dyDescent="0.25">
      <c r="A69" s="415"/>
      <c r="B69" s="414" t="s">
        <v>397</v>
      </c>
      <c r="C69" s="413"/>
      <c r="D69" s="413"/>
      <c r="E69" s="412">
        <f>C69+D69</f>
        <v>0</v>
      </c>
      <c r="F69" s="413"/>
      <c r="G69" s="413"/>
      <c r="H69" s="412">
        <f>+E69-F69</f>
        <v>0</v>
      </c>
    </row>
    <row r="70" spans="1:8" x14ac:dyDescent="0.25">
      <c r="A70" s="415"/>
      <c r="B70" s="414" t="s">
        <v>396</v>
      </c>
      <c r="C70" s="413"/>
      <c r="D70" s="413"/>
      <c r="E70" s="412">
        <f>C70+D70</f>
        <v>0</v>
      </c>
      <c r="F70" s="413"/>
      <c r="G70" s="413"/>
      <c r="H70" s="412">
        <f>+E70-F70</f>
        <v>0</v>
      </c>
    </row>
    <row r="71" spans="1:8" x14ac:dyDescent="0.25">
      <c r="A71" s="415"/>
      <c r="B71" s="414" t="s">
        <v>395</v>
      </c>
      <c r="C71" s="413"/>
      <c r="D71" s="413"/>
      <c r="E71" s="412">
        <f>C71+D71</f>
        <v>0</v>
      </c>
      <c r="F71" s="413"/>
      <c r="G71" s="413"/>
      <c r="H71" s="412">
        <f>+E71-F71</f>
        <v>0</v>
      </c>
    </row>
    <row r="72" spans="1:8" x14ac:dyDescent="0.25">
      <c r="A72" s="415"/>
      <c r="B72" s="414" t="s">
        <v>394</v>
      </c>
      <c r="C72" s="413"/>
      <c r="D72" s="413"/>
      <c r="E72" s="412">
        <f>C72+D72</f>
        <v>0</v>
      </c>
      <c r="F72" s="413"/>
      <c r="G72" s="413"/>
      <c r="H72" s="412">
        <f>+E72-F72</f>
        <v>0</v>
      </c>
    </row>
    <row r="73" spans="1:8" x14ac:dyDescent="0.25">
      <c r="A73" s="415"/>
      <c r="B73" s="414" t="s">
        <v>393</v>
      </c>
      <c r="C73" s="413"/>
      <c r="D73" s="413"/>
      <c r="E73" s="412">
        <f>C73+D73</f>
        <v>0</v>
      </c>
      <c r="F73" s="413"/>
      <c r="G73" s="413"/>
      <c r="H73" s="412">
        <f>+E73-F73</f>
        <v>0</v>
      </c>
    </row>
    <row r="74" spans="1:8" x14ac:dyDescent="0.25">
      <c r="A74" s="415"/>
      <c r="B74" s="414" t="s">
        <v>392</v>
      </c>
      <c r="C74" s="413"/>
      <c r="D74" s="413"/>
      <c r="E74" s="412">
        <f>C74+D74</f>
        <v>0</v>
      </c>
      <c r="F74" s="413"/>
      <c r="G74" s="413"/>
      <c r="H74" s="412">
        <f>+E74-F74</f>
        <v>0</v>
      </c>
    </row>
    <row r="75" spans="1:8" x14ac:dyDescent="0.25">
      <c r="A75" s="415"/>
      <c r="B75" s="414"/>
      <c r="C75" s="413"/>
      <c r="D75" s="413"/>
      <c r="E75" s="412"/>
      <c r="F75" s="413"/>
      <c r="G75" s="413"/>
      <c r="H75" s="412"/>
    </row>
    <row r="76" spans="1:8" x14ac:dyDescent="0.25">
      <c r="A76" s="415" t="s">
        <v>391</v>
      </c>
      <c r="B76" s="414"/>
      <c r="C76" s="412">
        <f>SUM(C77:C80)</f>
        <v>0</v>
      </c>
      <c r="D76" s="412">
        <f>SUM(D77:D80)</f>
        <v>0</v>
      </c>
      <c r="E76" s="412">
        <f>SUM(E77:E80)</f>
        <v>0</v>
      </c>
      <c r="F76" s="412">
        <f>SUM(F77:F80)</f>
        <v>0</v>
      </c>
      <c r="G76" s="412">
        <f>SUM(G77:G80)</f>
        <v>0</v>
      </c>
      <c r="H76" s="412">
        <f>SUM(H77:H80)</f>
        <v>0</v>
      </c>
    </row>
    <row r="77" spans="1:8" x14ac:dyDescent="0.25">
      <c r="A77" s="415"/>
      <c r="B77" s="414" t="s">
        <v>390</v>
      </c>
      <c r="C77" s="413">
        <v>0</v>
      </c>
      <c r="D77" s="413"/>
      <c r="E77" s="412">
        <f>C77+D77</f>
        <v>0</v>
      </c>
      <c r="F77" s="413"/>
      <c r="G77" s="413"/>
      <c r="H77" s="412">
        <f>+E77-F77</f>
        <v>0</v>
      </c>
    </row>
    <row r="78" spans="1:8" x14ac:dyDescent="0.25">
      <c r="A78" s="415"/>
      <c r="B78" s="414" t="s">
        <v>389</v>
      </c>
      <c r="C78" s="413">
        <v>0</v>
      </c>
      <c r="D78" s="413"/>
      <c r="E78" s="412">
        <f>C78+D78</f>
        <v>0</v>
      </c>
      <c r="F78" s="413"/>
      <c r="G78" s="413"/>
      <c r="H78" s="412">
        <f>+E78-F78</f>
        <v>0</v>
      </c>
    </row>
    <row r="79" spans="1:8" x14ac:dyDescent="0.25">
      <c r="A79" s="415"/>
      <c r="B79" s="414" t="s">
        <v>388</v>
      </c>
      <c r="C79" s="413">
        <v>0</v>
      </c>
      <c r="D79" s="413"/>
      <c r="E79" s="412">
        <f>C79+D79</f>
        <v>0</v>
      </c>
      <c r="F79" s="413"/>
      <c r="G79" s="413"/>
      <c r="H79" s="412">
        <f>+E79-F79</f>
        <v>0</v>
      </c>
    </row>
    <row r="80" spans="1:8" x14ac:dyDescent="0.25">
      <c r="A80" s="415"/>
      <c r="B80" s="414" t="s">
        <v>387</v>
      </c>
      <c r="C80" s="413"/>
      <c r="D80" s="413"/>
      <c r="E80" s="412">
        <f>C80+D80</f>
        <v>0</v>
      </c>
      <c r="F80" s="413"/>
      <c r="G80" s="413"/>
      <c r="H80" s="412">
        <f>+E80-F80</f>
        <v>0</v>
      </c>
    </row>
    <row r="81" spans="1:9" x14ac:dyDescent="0.25">
      <c r="A81" s="415"/>
      <c r="B81" s="414"/>
      <c r="C81" s="413"/>
      <c r="D81" s="413"/>
      <c r="E81" s="412"/>
      <c r="F81" s="413"/>
      <c r="G81" s="413"/>
      <c r="H81" s="412"/>
    </row>
    <row r="82" spans="1:9" ht="15.75" thickBot="1" x14ac:dyDescent="0.3">
      <c r="A82" s="411" t="s">
        <v>214</v>
      </c>
      <c r="B82" s="410"/>
      <c r="C82" s="409">
        <f>+C9+C46</f>
        <v>623389417.66593051</v>
      </c>
      <c r="D82" s="409">
        <f>+D9+D46</f>
        <v>182226125.19999996</v>
      </c>
      <c r="E82" s="409">
        <f>+E9+E46</f>
        <v>805615542.86593056</v>
      </c>
      <c r="F82" s="409">
        <f>+F9+F46</f>
        <v>458746265.13999999</v>
      </c>
      <c r="G82" s="409">
        <f>+G9+G46</f>
        <v>414066339.92000002</v>
      </c>
      <c r="H82" s="409">
        <f>+H9+H46</f>
        <v>346869277.72593057</v>
      </c>
      <c r="I82" s="106" t="str">
        <f>IF((C82-'ETCA-II-11'!B44)&gt;0.9,"ERROR!!!!! EL MONTO NO COINCIDE CON LO REPORTADO EN EL FORMATO ETCA-II-11 EN EL TOTAL DEL GASTO","")</f>
        <v/>
      </c>
    </row>
    <row r="83" spans="1:9" x14ac:dyDescent="0.25">
      <c r="A83" s="408"/>
      <c r="B83" s="408"/>
      <c r="C83" s="407"/>
      <c r="D83" s="407"/>
      <c r="E83" s="406"/>
      <c r="F83" s="407"/>
      <c r="G83" s="407"/>
      <c r="H83" s="406"/>
      <c r="I83" s="106" t="str">
        <f>IF((D82-'ETCA-II-11'!C44)&gt;0.9,"ERROR!!!!! EL MONTO NO COINCIDE CON LO REPORTADO EN EL FORMATO ETCA-II-11 EN EL TOTAL DEL GASTO","")</f>
        <v/>
      </c>
    </row>
    <row r="84" spans="1:9" x14ac:dyDescent="0.25">
      <c r="A84" s="408"/>
      <c r="B84" s="408"/>
      <c r="C84" s="407"/>
      <c r="D84" s="407"/>
      <c r="E84" s="406"/>
      <c r="F84" s="407"/>
      <c r="G84" s="407"/>
      <c r="H84" s="406"/>
    </row>
    <row r="85" spans="1:9" x14ac:dyDescent="0.25">
      <c r="A85" s="408"/>
      <c r="B85" s="408"/>
      <c r="C85" s="407"/>
      <c r="D85" s="407"/>
      <c r="E85" s="406"/>
      <c r="F85" s="407"/>
      <c r="G85" s="407"/>
      <c r="H85" s="406"/>
      <c r="I85" t="str">
        <f>IF((F82-'ETCA-II-11'!E44)&gt;0.9,"ERROR!!!!! EL MONTO NO COINCIDE CON LO REPORTADO EN EL FORMATO ETCA-II-11 EN EL TOTAL DEL GASTO","")</f>
        <v/>
      </c>
    </row>
    <row r="86" spans="1:9" x14ac:dyDescent="0.25">
      <c r="A86" s="408"/>
      <c r="B86" s="408"/>
      <c r="C86" s="407"/>
      <c r="D86" s="407"/>
      <c r="E86" s="406"/>
      <c r="F86" s="407"/>
      <c r="G86" s="407"/>
      <c r="H86" s="406"/>
      <c r="I86" t="str">
        <f>IF((G82-'ETCA-II-11'!F44)&gt;0.9,"ERROR!!!!! EL MONTO NO COINCIDE CON LO REPORTADO EN EL FORMATO ETCA-II-11 EN EL TOTAL DEL GASTO","")</f>
        <v/>
      </c>
    </row>
    <row r="87" spans="1:9" x14ac:dyDescent="0.25">
      <c r="A87" s="408"/>
      <c r="B87" s="408"/>
      <c r="C87" s="407"/>
      <c r="D87" s="407"/>
      <c r="E87" s="406"/>
      <c r="F87" s="407"/>
      <c r="G87" s="407"/>
      <c r="H87" s="406"/>
      <c r="I87" t="str">
        <f>IF((H82-'ETCA-II-11'!G44)&gt;0.9,"ERROR!!!!! EL MONTO NO COINCIDE CON LO REPORTADO EN EL FORMATO ETCA-II-11 EN EL TOTAL DEL GASTO","")</f>
        <v/>
      </c>
    </row>
    <row r="88" spans="1:9" x14ac:dyDescent="0.25">
      <c r="A88" s="408"/>
      <c r="B88" s="408"/>
      <c r="C88" s="407"/>
      <c r="D88" s="407"/>
      <c r="E88" s="406"/>
      <c r="F88" s="407"/>
      <c r="G88" s="407"/>
      <c r="H88" s="406"/>
    </row>
  </sheetData>
  <sheetProtection formatColumns="0" formatRows="0" insertHyperlinks="0"/>
  <mergeCells count="13">
    <mergeCell ref="C6:G6"/>
    <mergeCell ref="H6:H7"/>
    <mergeCell ref="A1:H1"/>
    <mergeCell ref="A2:H2"/>
    <mergeCell ref="A3:H3"/>
    <mergeCell ref="A4:H4"/>
    <mergeCell ref="A5:H5"/>
    <mergeCell ref="A8:B8"/>
    <mergeCell ref="A9:B9"/>
    <mergeCell ref="A10:B10"/>
    <mergeCell ref="A20:B20"/>
    <mergeCell ref="A29:B29"/>
    <mergeCell ref="A6:B7"/>
  </mergeCells>
  <pageMargins left="0.19685039370078741" right="0.31496062992125984" top="0.74803149606299213" bottom="0.74803149606299213" header="0.31496062992125984" footer="0.31496062992125984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7969A-4482-4802-8F37-1C2C69E28489}">
  <sheetPr>
    <tabColor theme="0" tint="-0.14999847407452621"/>
  </sheetPr>
  <dimension ref="A1:J401"/>
  <sheetViews>
    <sheetView view="pageBreakPreview" topLeftCell="A380" zoomScaleNormal="100" zoomScaleSheetLayoutView="100" workbookViewId="0">
      <selection activeCell="D30" sqref="D30"/>
    </sheetView>
  </sheetViews>
  <sheetFormatPr baseColWidth="10" defaultRowHeight="15" x14ac:dyDescent="0.25"/>
  <cols>
    <col min="1" max="1" width="14.28515625" customWidth="1"/>
    <col min="2" max="2" width="44.7109375" customWidth="1"/>
    <col min="3" max="3" width="16.140625" style="439" customWidth="1"/>
    <col min="4" max="4" width="15" style="439" customWidth="1"/>
    <col min="5" max="5" width="12.7109375" style="439" customWidth="1"/>
    <col min="6" max="6" width="18" style="439" customWidth="1"/>
    <col min="7" max="7" width="16.140625" style="439" customWidth="1"/>
    <col min="8" max="8" width="14.5703125" style="438" customWidth="1"/>
    <col min="9" max="9" width="9.42578125" style="437" customWidth="1"/>
    <col min="10" max="10" width="12.5703125" bestFit="1" customWidth="1"/>
  </cols>
  <sheetData>
    <row r="1" spans="1:9" x14ac:dyDescent="0.25">
      <c r="A1" s="493" t="s">
        <v>715</v>
      </c>
      <c r="B1" s="493"/>
      <c r="C1" s="493"/>
      <c r="D1" s="493"/>
      <c r="E1" s="493"/>
      <c r="F1" s="493"/>
      <c r="G1" s="493"/>
      <c r="H1" s="493"/>
      <c r="I1" s="493"/>
    </row>
    <row r="2" spans="1:9" x14ac:dyDescent="0.25">
      <c r="A2" s="492" t="s">
        <v>213</v>
      </c>
      <c r="B2" s="492"/>
      <c r="C2" s="492"/>
      <c r="D2" s="492"/>
      <c r="E2" s="492"/>
      <c r="F2" s="492"/>
      <c r="G2" s="492"/>
      <c r="H2" s="492"/>
      <c r="I2" s="492"/>
    </row>
    <row r="3" spans="1:9" x14ac:dyDescent="0.25">
      <c r="A3" s="492" t="s">
        <v>714</v>
      </c>
      <c r="B3" s="492"/>
      <c r="C3" s="492"/>
      <c r="D3" s="492"/>
      <c r="E3" s="492"/>
      <c r="F3" s="492"/>
      <c r="G3" s="492"/>
      <c r="H3" s="492"/>
      <c r="I3" s="492"/>
    </row>
    <row r="4" spans="1:9" x14ac:dyDescent="0.25">
      <c r="A4" s="492" t="s">
        <v>713</v>
      </c>
      <c r="B4" s="492"/>
      <c r="C4" s="492"/>
      <c r="D4" s="492"/>
      <c r="E4" s="492"/>
      <c r="F4" s="492"/>
      <c r="G4" s="492"/>
      <c r="H4" s="492"/>
      <c r="I4" s="492"/>
    </row>
    <row r="5" spans="1:9" x14ac:dyDescent="0.25">
      <c r="A5" s="492" t="s">
        <v>712</v>
      </c>
      <c r="B5" s="492"/>
      <c r="C5" s="492"/>
      <c r="D5" s="492"/>
      <c r="E5" s="492"/>
      <c r="F5" s="492"/>
      <c r="G5" s="492"/>
      <c r="H5" s="492"/>
      <c r="I5" s="492"/>
    </row>
    <row r="6" spans="1:9" ht="15.75" customHeight="1" thickBot="1" x14ac:dyDescent="0.3">
      <c r="A6" s="437"/>
      <c r="B6" s="437"/>
      <c r="D6" s="439" t="s">
        <v>297</v>
      </c>
      <c r="H6" s="491"/>
      <c r="I6" s="491"/>
    </row>
    <row r="7" spans="1:9" ht="15.75" thickTop="1" x14ac:dyDescent="0.25">
      <c r="A7" s="490" t="s">
        <v>711</v>
      </c>
      <c r="B7" s="489" t="s">
        <v>710</v>
      </c>
      <c r="C7" s="487" t="s">
        <v>709</v>
      </c>
      <c r="D7" s="487" t="s">
        <v>708</v>
      </c>
      <c r="E7" s="488" t="s">
        <v>707</v>
      </c>
      <c r="F7" s="487" t="s">
        <v>706</v>
      </c>
      <c r="G7" s="487" t="s">
        <v>705</v>
      </c>
      <c r="H7" s="486" t="s">
        <v>704</v>
      </c>
      <c r="I7" s="485" t="s">
        <v>703</v>
      </c>
    </row>
    <row r="8" spans="1:9" ht="36" customHeight="1" x14ac:dyDescent="0.25">
      <c r="A8" s="484"/>
      <c r="B8" s="483"/>
      <c r="C8" s="480"/>
      <c r="D8" s="480"/>
      <c r="E8" s="482"/>
      <c r="F8" s="481"/>
      <c r="G8" s="480"/>
      <c r="H8" s="479"/>
      <c r="I8" s="478"/>
    </row>
    <row r="9" spans="1:9" x14ac:dyDescent="0.25">
      <c r="A9" s="464">
        <v>1000</v>
      </c>
      <c r="B9" s="475" t="s">
        <v>702</v>
      </c>
      <c r="C9" s="453">
        <f>C10+C20+C23+C35+C45+C67</f>
        <v>204443147.32279521</v>
      </c>
      <c r="D9" s="453">
        <f>D10+D20+D23+D35+D45+D67</f>
        <v>384364.13</v>
      </c>
      <c r="E9" s="453">
        <f>+C9+D9</f>
        <v>204827511.45279521</v>
      </c>
      <c r="F9" s="453">
        <v>162114545.16</v>
      </c>
      <c r="G9" s="453">
        <v>149095499.43000001</v>
      </c>
      <c r="H9" s="453">
        <f>+E9-F9</f>
        <v>42712966.292795211</v>
      </c>
      <c r="I9" s="452">
        <f>+F9/E9</f>
        <v>0.79146860697646615</v>
      </c>
    </row>
    <row r="10" spans="1:9" x14ac:dyDescent="0.25">
      <c r="A10" s="472">
        <v>1100</v>
      </c>
      <c r="B10" s="475" t="s">
        <v>701</v>
      </c>
      <c r="C10" s="453">
        <f>C11</f>
        <v>115843503.13592325</v>
      </c>
      <c r="D10" s="453">
        <f>D11</f>
        <v>-3980514.0500000003</v>
      </c>
      <c r="E10" s="453">
        <f>+C10+D10</f>
        <v>111862989.08592325</v>
      </c>
      <c r="F10" s="453">
        <v>93403111.169999987</v>
      </c>
      <c r="G10" s="453">
        <v>82507747.289999992</v>
      </c>
      <c r="H10" s="453">
        <f>+E10-F10</f>
        <v>18459877.915923268</v>
      </c>
      <c r="I10" s="452">
        <f>+F10/E10</f>
        <v>0.83497778785667864</v>
      </c>
    </row>
    <row r="11" spans="1:9" x14ac:dyDescent="0.25">
      <c r="A11" s="471">
        <v>113</v>
      </c>
      <c r="B11" s="475" t="s">
        <v>700</v>
      </c>
      <c r="C11" s="453">
        <f>SUM(C12:C19)</f>
        <v>115843503.13592325</v>
      </c>
      <c r="D11" s="453">
        <f>SUM(D12:D19)</f>
        <v>-3980514.0500000003</v>
      </c>
      <c r="E11" s="453">
        <f>+C11+D11</f>
        <v>111862989.08592325</v>
      </c>
      <c r="F11" s="453">
        <v>93403111.169999987</v>
      </c>
      <c r="G11" s="453">
        <v>82507747.289999992</v>
      </c>
      <c r="H11" s="453">
        <f>+E11-F11</f>
        <v>18459877.915923268</v>
      </c>
      <c r="I11" s="452">
        <f>+F11/E11</f>
        <v>0.83497778785667864</v>
      </c>
    </row>
    <row r="12" spans="1:9" x14ac:dyDescent="0.25">
      <c r="A12" s="468">
        <v>11301</v>
      </c>
      <c r="B12" s="467" t="s">
        <v>699</v>
      </c>
      <c r="C12" s="454">
        <v>54789445.173276708</v>
      </c>
      <c r="D12" s="454">
        <v>-534976.41</v>
      </c>
      <c r="E12" s="453">
        <f>+C12+D12</f>
        <v>54254468.763276711</v>
      </c>
      <c r="F12" s="454">
        <v>48738052.580000006</v>
      </c>
      <c r="G12" s="454">
        <v>48738052.580000006</v>
      </c>
      <c r="H12" s="453">
        <f>+E12-F12</f>
        <v>5516416.1832767054</v>
      </c>
      <c r="I12" s="452">
        <f>+F12/E12</f>
        <v>0.89832328453263544</v>
      </c>
    </row>
    <row r="13" spans="1:9" x14ac:dyDescent="0.25">
      <c r="A13" s="468">
        <v>11302</v>
      </c>
      <c r="B13" s="467" t="s">
        <v>698</v>
      </c>
      <c r="C13" s="454"/>
      <c r="D13" s="454">
        <v>444952</v>
      </c>
      <c r="E13" s="453">
        <f>+C13+D13</f>
        <v>444952</v>
      </c>
      <c r="F13" s="454">
        <v>444951.86</v>
      </c>
      <c r="G13" s="454">
        <v>444951.86</v>
      </c>
      <c r="H13" s="453">
        <f>+E13-F13</f>
        <v>0.14000000001396984</v>
      </c>
      <c r="I13" s="452">
        <f>+F13/E13</f>
        <v>0.9999996853593196</v>
      </c>
    </row>
    <row r="14" spans="1:9" x14ac:dyDescent="0.25">
      <c r="A14" s="468">
        <v>11303</v>
      </c>
      <c r="B14" s="467" t="s">
        <v>697</v>
      </c>
      <c r="C14" s="454">
        <v>1188605.3668761486</v>
      </c>
      <c r="D14" s="454">
        <v>111</v>
      </c>
      <c r="E14" s="453">
        <f>+C14+D14</f>
        <v>1188716.3668761486</v>
      </c>
      <c r="F14" s="454">
        <v>473404.19999999995</v>
      </c>
      <c r="G14" s="454">
        <v>473404.19999999995</v>
      </c>
      <c r="H14" s="453">
        <f>+E14-F14</f>
        <v>715312.16687614867</v>
      </c>
      <c r="I14" s="452">
        <f>+F14/E14</f>
        <v>0.39824823918599545</v>
      </c>
    </row>
    <row r="15" spans="1:9" x14ac:dyDescent="0.25">
      <c r="A15" s="468">
        <v>11304</v>
      </c>
      <c r="B15" s="467" t="s">
        <v>696</v>
      </c>
      <c r="C15" s="454">
        <v>779339.53</v>
      </c>
      <c r="D15" s="454">
        <v>0</v>
      </c>
      <c r="E15" s="453">
        <f>+C15+D15</f>
        <v>779339.53</v>
      </c>
      <c r="F15" s="454">
        <v>0</v>
      </c>
      <c r="G15" s="454">
        <v>0</v>
      </c>
      <c r="H15" s="453">
        <f>+E15-F15</f>
        <v>779339.53</v>
      </c>
      <c r="I15" s="452">
        <f>+F15/E15</f>
        <v>0</v>
      </c>
    </row>
    <row r="16" spans="1:9" x14ac:dyDescent="0.25">
      <c r="A16" s="468">
        <v>11306</v>
      </c>
      <c r="B16" s="467" t="s">
        <v>695</v>
      </c>
      <c r="C16" s="454">
        <v>39234835.581377797</v>
      </c>
      <c r="D16" s="454">
        <v>-2237311.94</v>
      </c>
      <c r="E16" s="453">
        <f>+C16+D16</f>
        <v>36997523.641377799</v>
      </c>
      <c r="F16" s="454">
        <v>30430572.880000003</v>
      </c>
      <c r="G16" s="454">
        <v>19535209</v>
      </c>
      <c r="H16" s="453">
        <f>+E16-F16</f>
        <v>6566950.7613777965</v>
      </c>
      <c r="I16" s="452">
        <f>+F16/E16</f>
        <v>0.82250296465698158</v>
      </c>
    </row>
    <row r="17" spans="1:9" x14ac:dyDescent="0.25">
      <c r="A17" s="468">
        <v>11307</v>
      </c>
      <c r="B17" s="467" t="s">
        <v>694</v>
      </c>
      <c r="C17" s="454">
        <v>11625339.585183397</v>
      </c>
      <c r="D17" s="454">
        <v>-736552.17999999993</v>
      </c>
      <c r="E17" s="453">
        <f>+C17+D17</f>
        <v>10888787.405183397</v>
      </c>
      <c r="F17" s="454">
        <v>7891791.3799999999</v>
      </c>
      <c r="G17" s="454">
        <v>7891791.3799999999</v>
      </c>
      <c r="H17" s="453">
        <f>+E17-F17</f>
        <v>2996996.0251833973</v>
      </c>
      <c r="I17" s="452">
        <f>+F17/E17</f>
        <v>0.72476310596745275</v>
      </c>
    </row>
    <row r="18" spans="1:9" x14ac:dyDescent="0.25">
      <c r="A18" s="468">
        <v>11308</v>
      </c>
      <c r="B18" s="467" t="s">
        <v>693</v>
      </c>
      <c r="C18" s="454">
        <v>16199.049186517554</v>
      </c>
      <c r="D18" s="454">
        <v>0</v>
      </c>
      <c r="E18" s="453">
        <f>+C18+D18</f>
        <v>16199.049186517554</v>
      </c>
      <c r="F18" s="454">
        <v>10865</v>
      </c>
      <c r="G18" s="454">
        <v>10865</v>
      </c>
      <c r="H18" s="453">
        <f>+E18-F18</f>
        <v>5334.0491865175536</v>
      </c>
      <c r="I18" s="452">
        <f>+F18/E18</f>
        <v>0.67071837827635739</v>
      </c>
    </row>
    <row r="19" spans="1:9" x14ac:dyDescent="0.25">
      <c r="A19" s="468">
        <v>11310</v>
      </c>
      <c r="B19" s="467" t="s">
        <v>692</v>
      </c>
      <c r="C19" s="454">
        <v>8209738.8500226913</v>
      </c>
      <c r="D19" s="454">
        <v>-916736.52</v>
      </c>
      <c r="E19" s="453">
        <f>+C19+D19</f>
        <v>7293002.3300226908</v>
      </c>
      <c r="F19" s="454">
        <v>5413473.2699999996</v>
      </c>
      <c r="G19" s="454">
        <v>5413473.2699999996</v>
      </c>
      <c r="H19" s="453">
        <f>+E19-F19</f>
        <v>1879529.0600226913</v>
      </c>
      <c r="I19" s="452">
        <f>+F19/E19</f>
        <v>0.74228322233144772</v>
      </c>
    </row>
    <row r="20" spans="1:9" x14ac:dyDescent="0.25">
      <c r="A20" s="472">
        <v>1200</v>
      </c>
      <c r="B20" s="475" t="s">
        <v>691</v>
      </c>
      <c r="C20" s="453">
        <f>C21</f>
        <v>1883200.3508860434</v>
      </c>
      <c r="D20" s="453">
        <f>D21</f>
        <v>0</v>
      </c>
      <c r="E20" s="453">
        <f>+C20+D20</f>
        <v>1883200.3508860434</v>
      </c>
      <c r="F20" s="453">
        <v>1438696.2799999998</v>
      </c>
      <c r="G20" s="453">
        <v>1433678.0799999998</v>
      </c>
      <c r="H20" s="453">
        <f>+E20-F20</f>
        <v>444504.0708860436</v>
      </c>
      <c r="I20" s="452">
        <f>+F20/E20</f>
        <v>0.76396347277818577</v>
      </c>
    </row>
    <row r="21" spans="1:9" x14ac:dyDescent="0.25">
      <c r="A21" s="471">
        <v>121</v>
      </c>
      <c r="B21" s="475" t="s">
        <v>690</v>
      </c>
      <c r="C21" s="453">
        <f>C22</f>
        <v>1883200.3508860434</v>
      </c>
      <c r="D21" s="453">
        <f>D22</f>
        <v>0</v>
      </c>
      <c r="E21" s="453">
        <f>+C21+D21</f>
        <v>1883200.3508860434</v>
      </c>
      <c r="F21" s="453">
        <v>1438696.2799999998</v>
      </c>
      <c r="G21" s="453">
        <v>1433678.0799999998</v>
      </c>
      <c r="H21" s="453">
        <f>+E21-F21</f>
        <v>444504.0708860436</v>
      </c>
      <c r="I21" s="452">
        <f>+F21/E21</f>
        <v>0.76396347277818577</v>
      </c>
    </row>
    <row r="22" spans="1:9" x14ac:dyDescent="0.25">
      <c r="A22" s="468">
        <v>12101</v>
      </c>
      <c r="B22" s="467" t="s">
        <v>689</v>
      </c>
      <c r="C22" s="454">
        <v>1883200.3508860434</v>
      </c>
      <c r="D22" s="454">
        <v>0</v>
      </c>
      <c r="E22" s="453">
        <f>+C22+D22</f>
        <v>1883200.3508860434</v>
      </c>
      <c r="F22" s="454">
        <v>1438696.2799999998</v>
      </c>
      <c r="G22" s="454">
        <v>1433678.0799999998</v>
      </c>
      <c r="H22" s="453">
        <f>+E22-F22</f>
        <v>444504.0708860436</v>
      </c>
      <c r="I22" s="452">
        <f>+F22/E22</f>
        <v>0.76396347277818577</v>
      </c>
    </row>
    <row r="23" spans="1:9" x14ac:dyDescent="0.25">
      <c r="A23" s="472">
        <v>1300</v>
      </c>
      <c r="B23" s="475" t="s">
        <v>688</v>
      </c>
      <c r="C23" s="453">
        <f>C24+C26+C31+C33</f>
        <v>10262941.40592527</v>
      </c>
      <c r="D23" s="453">
        <f>D24+D26+D31+D33</f>
        <v>2474006</v>
      </c>
      <c r="E23" s="453">
        <f>+C23+D23</f>
        <v>12736947.40592527</v>
      </c>
      <c r="F23" s="453">
        <v>8292897.3899999997</v>
      </c>
      <c r="G23" s="453">
        <v>7641020.4799999995</v>
      </c>
      <c r="H23" s="453">
        <f>+E23-F23</f>
        <v>4444050.0159252705</v>
      </c>
      <c r="I23" s="452">
        <f>+F23/E23</f>
        <v>0.65108986680294501</v>
      </c>
    </row>
    <row r="24" spans="1:9" x14ac:dyDescent="0.25">
      <c r="A24" s="471">
        <v>131</v>
      </c>
      <c r="B24" s="475" t="s">
        <v>687</v>
      </c>
      <c r="C24" s="453">
        <f>C25</f>
        <v>2984342.6136914436</v>
      </c>
      <c r="D24" s="453">
        <f>D25</f>
        <v>94477</v>
      </c>
      <c r="E24" s="453">
        <f>+C24+D24</f>
        <v>3078819.6136914436</v>
      </c>
      <c r="F24" s="453">
        <v>3009200.7600000002</v>
      </c>
      <c r="G24" s="453">
        <v>3009200.7600000002</v>
      </c>
      <c r="H24" s="453">
        <f>+E24-F24</f>
        <v>69618.853691443335</v>
      </c>
      <c r="I24" s="452">
        <f>+F24/E24</f>
        <v>0.97738781012637121</v>
      </c>
    </row>
    <row r="25" spans="1:9" x14ac:dyDescent="0.25">
      <c r="A25" s="468">
        <v>13101</v>
      </c>
      <c r="B25" s="467" t="s">
        <v>687</v>
      </c>
      <c r="C25" s="454">
        <v>2984342.6136914436</v>
      </c>
      <c r="D25" s="454">
        <v>94477</v>
      </c>
      <c r="E25" s="453">
        <f>+C25+D25</f>
        <v>3078819.6136914436</v>
      </c>
      <c r="F25" s="454">
        <v>3009200.7600000002</v>
      </c>
      <c r="G25" s="454">
        <v>3009200.7600000002</v>
      </c>
      <c r="H25" s="453">
        <f>+E25-F25</f>
        <v>69618.853691443335</v>
      </c>
      <c r="I25" s="452">
        <f>+F25/E25</f>
        <v>0.97738781012637121</v>
      </c>
    </row>
    <row r="26" spans="1:9" ht="22.5" x14ac:dyDescent="0.25">
      <c r="A26" s="471">
        <v>132</v>
      </c>
      <c r="B26" s="475" t="s">
        <v>686</v>
      </c>
      <c r="C26" s="453">
        <f>C27+C28+C29+C30</f>
        <v>6197735.4397429833</v>
      </c>
      <c r="D26" s="453">
        <f>D27+D28+D29+D30</f>
        <v>4089</v>
      </c>
      <c r="E26" s="453">
        <f>+C26+D26</f>
        <v>6201824.4397429833</v>
      </c>
      <c r="F26" s="453">
        <v>1856793.69</v>
      </c>
      <c r="G26" s="453">
        <v>1204916.78</v>
      </c>
      <c r="H26" s="453">
        <f>+E26-F26</f>
        <v>4345030.7497429829</v>
      </c>
      <c r="I26" s="452">
        <f>+F26/E26</f>
        <v>0.29939475198639282</v>
      </c>
    </row>
    <row r="27" spans="1:9" x14ac:dyDescent="0.25">
      <c r="A27" s="468">
        <v>13201</v>
      </c>
      <c r="B27" s="467" t="s">
        <v>685</v>
      </c>
      <c r="C27" s="454">
        <v>4542217.0013376875</v>
      </c>
      <c r="D27" s="454">
        <v>4089</v>
      </c>
      <c r="E27" s="453">
        <f>+C27+D27</f>
        <v>4546306.0013376875</v>
      </c>
      <c r="F27" s="454">
        <v>1307658.6200000001</v>
      </c>
      <c r="G27" s="454">
        <v>1204916.78</v>
      </c>
      <c r="H27" s="453">
        <f>+E27-F27</f>
        <v>3238647.3813376874</v>
      </c>
      <c r="I27" s="452">
        <f>+F27/E27</f>
        <v>0.28763101727319712</v>
      </c>
    </row>
    <row r="28" spans="1:9" x14ac:dyDescent="0.25">
      <c r="A28" s="468">
        <v>13202</v>
      </c>
      <c r="B28" s="467" t="s">
        <v>684</v>
      </c>
      <c r="C28" s="454">
        <v>1486153.9684052961</v>
      </c>
      <c r="D28" s="454">
        <v>0</v>
      </c>
      <c r="E28" s="453">
        <f>+C28+D28</f>
        <v>1486153.9684052961</v>
      </c>
      <c r="F28" s="454">
        <v>488119.99</v>
      </c>
      <c r="G28" s="454">
        <v>0</v>
      </c>
      <c r="H28" s="453">
        <f>+E28-F28</f>
        <v>998033.9784052961</v>
      </c>
      <c r="I28" s="452">
        <f>+F28/E28</f>
        <v>0.32844510082880085</v>
      </c>
    </row>
    <row r="29" spans="1:9" x14ac:dyDescent="0.25">
      <c r="A29" s="468">
        <v>13203</v>
      </c>
      <c r="B29" s="467" t="s">
        <v>683</v>
      </c>
      <c r="C29" s="454">
        <v>87500.160000000003</v>
      </c>
      <c r="D29" s="454">
        <v>0</v>
      </c>
      <c r="E29" s="453">
        <f>+C29+D29</f>
        <v>87500.160000000003</v>
      </c>
      <c r="F29" s="454">
        <v>0</v>
      </c>
      <c r="G29" s="454">
        <v>0</v>
      </c>
      <c r="H29" s="453">
        <f>+E29-F29</f>
        <v>87500.160000000003</v>
      </c>
      <c r="I29" s="452">
        <f>+F29/E29</f>
        <v>0</v>
      </c>
    </row>
    <row r="30" spans="1:9" x14ac:dyDescent="0.25">
      <c r="A30" s="468">
        <v>13204</v>
      </c>
      <c r="B30" s="467" t="s">
        <v>682</v>
      </c>
      <c r="C30" s="454">
        <v>81864.31</v>
      </c>
      <c r="D30" s="454">
        <v>0</v>
      </c>
      <c r="E30" s="453">
        <f>+C30+D30</f>
        <v>81864.31</v>
      </c>
      <c r="F30" s="454">
        <v>61015.08</v>
      </c>
      <c r="G30" s="454">
        <v>0</v>
      </c>
      <c r="H30" s="453">
        <f>+E30-F30</f>
        <v>20849.229999999996</v>
      </c>
      <c r="I30" s="452">
        <f>+F30/E30</f>
        <v>0.74531966372159009</v>
      </c>
    </row>
    <row r="31" spans="1:9" x14ac:dyDescent="0.25">
      <c r="A31" s="471">
        <v>133</v>
      </c>
      <c r="B31" s="475" t="s">
        <v>681</v>
      </c>
      <c r="C31" s="453">
        <f>C32</f>
        <v>963263.35249084188</v>
      </c>
      <c r="D31" s="453">
        <f>D32</f>
        <v>2375440</v>
      </c>
      <c r="E31" s="453">
        <f>+C31+D31</f>
        <v>3338703.3524908419</v>
      </c>
      <c r="F31" s="453">
        <v>3338702.94</v>
      </c>
      <c r="G31" s="453">
        <v>3338702.94</v>
      </c>
      <c r="H31" s="453">
        <f>+E31-F31</f>
        <v>0.41249084193259478</v>
      </c>
      <c r="I31" s="452">
        <f>+F31/E31</f>
        <v>0.99999987645178434</v>
      </c>
    </row>
    <row r="32" spans="1:9" x14ac:dyDescent="0.25">
      <c r="A32" s="468">
        <v>13301</v>
      </c>
      <c r="B32" s="467" t="s">
        <v>680</v>
      </c>
      <c r="C32" s="454">
        <v>963263.35249084188</v>
      </c>
      <c r="D32" s="454">
        <v>2375440</v>
      </c>
      <c r="E32" s="453">
        <f>+C32+D32</f>
        <v>3338703.3524908419</v>
      </c>
      <c r="F32" s="454">
        <v>3338702.94</v>
      </c>
      <c r="G32" s="454">
        <v>3338702.94</v>
      </c>
      <c r="H32" s="453">
        <f>+E32-F32</f>
        <v>0.41249084193259478</v>
      </c>
      <c r="I32" s="452">
        <f>+F32/E32</f>
        <v>0.99999987645178434</v>
      </c>
    </row>
    <row r="33" spans="1:9" x14ac:dyDescent="0.25">
      <c r="A33" s="471">
        <v>134</v>
      </c>
      <c r="B33" s="475" t="s">
        <v>679</v>
      </c>
      <c r="C33" s="453">
        <f>C34</f>
        <v>117600</v>
      </c>
      <c r="D33" s="453">
        <f>D34</f>
        <v>0</v>
      </c>
      <c r="E33" s="453">
        <f>+C33+D33</f>
        <v>117600</v>
      </c>
      <c r="F33" s="453">
        <v>88200</v>
      </c>
      <c r="G33" s="453">
        <v>88200</v>
      </c>
      <c r="H33" s="453">
        <f>+E33-F33</f>
        <v>29400</v>
      </c>
      <c r="I33" s="452">
        <f>+F33/E33</f>
        <v>0.75</v>
      </c>
    </row>
    <row r="34" spans="1:9" x14ac:dyDescent="0.25">
      <c r="A34" s="468">
        <v>13403</v>
      </c>
      <c r="B34" s="467" t="s">
        <v>678</v>
      </c>
      <c r="C34" s="454">
        <v>117600</v>
      </c>
      <c r="D34" s="454">
        <v>0</v>
      </c>
      <c r="E34" s="453">
        <f>+C34+D34</f>
        <v>117600</v>
      </c>
      <c r="F34" s="454">
        <v>88200</v>
      </c>
      <c r="G34" s="454">
        <v>88200</v>
      </c>
      <c r="H34" s="453">
        <f>+E34-F34</f>
        <v>29400</v>
      </c>
      <c r="I34" s="452">
        <f>+F34/E34</f>
        <v>0.75</v>
      </c>
    </row>
    <row r="35" spans="1:9" x14ac:dyDescent="0.25">
      <c r="A35" s="472">
        <v>1400</v>
      </c>
      <c r="B35" s="475" t="s">
        <v>198</v>
      </c>
      <c r="C35" s="453">
        <f>C36+C39+C41</f>
        <v>39796179.374640383</v>
      </c>
      <c r="D35" s="453">
        <f>D36+D39+D41</f>
        <v>88648</v>
      </c>
      <c r="E35" s="453">
        <f>+C35+D35</f>
        <v>39884827.374640383</v>
      </c>
      <c r="F35" s="453">
        <v>31391582.390000004</v>
      </c>
      <c r="G35" s="453">
        <v>30107658.32</v>
      </c>
      <c r="H35" s="453">
        <f>+E35-F35</f>
        <v>8493244.9846403785</v>
      </c>
      <c r="I35" s="452">
        <f>+F35/E35</f>
        <v>0.78705574165175995</v>
      </c>
    </row>
    <row r="36" spans="1:9" x14ac:dyDescent="0.25">
      <c r="A36" s="471">
        <v>141</v>
      </c>
      <c r="B36" s="475" t="s">
        <v>677</v>
      </c>
      <c r="C36" s="453">
        <f>C37+C38</f>
        <v>36185061.691328228</v>
      </c>
      <c r="D36" s="453">
        <f>D37+D38</f>
        <v>-313635</v>
      </c>
      <c r="E36" s="453">
        <f>+C36+D36</f>
        <v>35871426.691328228</v>
      </c>
      <c r="F36" s="453">
        <v>27986037.530000005</v>
      </c>
      <c r="G36" s="453">
        <v>26759359.120000001</v>
      </c>
      <c r="H36" s="453">
        <f>+E36-F36</f>
        <v>7885389.1613282226</v>
      </c>
      <c r="I36" s="452">
        <f>+F36/E36</f>
        <v>0.78017631611974658</v>
      </c>
    </row>
    <row r="37" spans="1:9" x14ac:dyDescent="0.25">
      <c r="A37" s="468">
        <v>14106</v>
      </c>
      <c r="B37" s="467" t="s">
        <v>676</v>
      </c>
      <c r="C37" s="454">
        <v>22662579.121978931</v>
      </c>
      <c r="D37" s="454">
        <v>-402283</v>
      </c>
      <c r="E37" s="453">
        <f>+C37+D37</f>
        <v>22260296.121978931</v>
      </c>
      <c r="F37" s="454">
        <v>17468690.560000002</v>
      </c>
      <c r="G37" s="454">
        <v>16616949.539999999</v>
      </c>
      <c r="H37" s="453">
        <f>+E37-F37</f>
        <v>4791605.5619789287</v>
      </c>
      <c r="I37" s="452">
        <f>+F37/E37</f>
        <v>0.78474654893526385</v>
      </c>
    </row>
    <row r="38" spans="1:9" x14ac:dyDescent="0.25">
      <c r="A38" s="468">
        <v>14109</v>
      </c>
      <c r="B38" s="467" t="s">
        <v>675</v>
      </c>
      <c r="C38" s="454">
        <v>13522482.569349293</v>
      </c>
      <c r="D38" s="454">
        <v>88648</v>
      </c>
      <c r="E38" s="453">
        <f>+C38+D38</f>
        <v>13611130.569349293</v>
      </c>
      <c r="F38" s="454">
        <v>10517346.970000001</v>
      </c>
      <c r="G38" s="454">
        <v>10142409.58</v>
      </c>
      <c r="H38" s="453">
        <f>+E38-F38</f>
        <v>3093783.599349292</v>
      </c>
      <c r="I38" s="452">
        <f>+F38/E38</f>
        <v>0.77270193805089649</v>
      </c>
    </row>
    <row r="39" spans="1:9" x14ac:dyDescent="0.25">
      <c r="A39" s="471">
        <v>143</v>
      </c>
      <c r="B39" s="475" t="s">
        <v>674</v>
      </c>
      <c r="C39" s="453">
        <f>C40</f>
        <v>450243.82</v>
      </c>
      <c r="D39" s="453">
        <f>D40</f>
        <v>-32460</v>
      </c>
      <c r="E39" s="453">
        <f>+C39+D39</f>
        <v>417783.82</v>
      </c>
      <c r="F39" s="453">
        <v>364959.14</v>
      </c>
      <c r="G39" s="453">
        <v>364962.14</v>
      </c>
      <c r="H39" s="453">
        <f>+E39-F39</f>
        <v>52824.679999999993</v>
      </c>
      <c r="I39" s="452">
        <f>+F39/E39</f>
        <v>0.87355977548388541</v>
      </c>
    </row>
    <row r="40" spans="1:9" x14ac:dyDescent="0.25">
      <c r="A40" s="468">
        <v>14303</v>
      </c>
      <c r="B40" s="467" t="s">
        <v>673</v>
      </c>
      <c r="C40" s="454">
        <v>450243.82</v>
      </c>
      <c r="D40" s="454">
        <v>-32460</v>
      </c>
      <c r="E40" s="453">
        <f>+C40+D40</f>
        <v>417783.82</v>
      </c>
      <c r="F40" s="454">
        <v>364959.14</v>
      </c>
      <c r="G40" s="454">
        <v>364962.14</v>
      </c>
      <c r="H40" s="453">
        <f>+E40-F40</f>
        <v>52824.679999999993</v>
      </c>
      <c r="I40" s="452">
        <f>+F40/E40</f>
        <v>0.87355977548388541</v>
      </c>
    </row>
    <row r="41" spans="1:9" x14ac:dyDescent="0.25">
      <c r="A41" s="471">
        <v>144</v>
      </c>
      <c r="B41" s="475" t="s">
        <v>672</v>
      </c>
      <c r="C41" s="453">
        <f>C42+C43+C44</f>
        <v>3160873.8633121559</v>
      </c>
      <c r="D41" s="453">
        <f>D42+D43+D44</f>
        <v>434743</v>
      </c>
      <c r="E41" s="453">
        <f>+C41+D41</f>
        <v>3595616.8633121559</v>
      </c>
      <c r="F41" s="453">
        <v>3040585.72</v>
      </c>
      <c r="G41" s="453">
        <v>2983337.06</v>
      </c>
      <c r="H41" s="453">
        <f>+E41-F41</f>
        <v>555031.14331215573</v>
      </c>
      <c r="I41" s="452">
        <f>+F41/E41</f>
        <v>0.8456367392823716</v>
      </c>
    </row>
    <row r="42" spans="1:9" x14ac:dyDescent="0.25">
      <c r="A42" s="468">
        <v>14402</v>
      </c>
      <c r="B42" s="467" t="s">
        <v>671</v>
      </c>
      <c r="C42" s="454">
        <v>20856</v>
      </c>
      <c r="D42" s="454">
        <v>0</v>
      </c>
      <c r="E42" s="453">
        <f>+C42+D42</f>
        <v>20856</v>
      </c>
      <c r="F42" s="454">
        <v>15609</v>
      </c>
      <c r="G42" s="454">
        <v>15609</v>
      </c>
      <c r="H42" s="453">
        <f>+E42-F42</f>
        <v>5247</v>
      </c>
      <c r="I42" s="452">
        <f>+F42/E42</f>
        <v>0.74841772151898733</v>
      </c>
    </row>
    <row r="43" spans="1:9" x14ac:dyDescent="0.25">
      <c r="A43" s="468">
        <v>14403</v>
      </c>
      <c r="B43" s="467" t="s">
        <v>670</v>
      </c>
      <c r="C43" s="454">
        <v>3135643.8633121559</v>
      </c>
      <c r="D43" s="454">
        <v>434743</v>
      </c>
      <c r="E43" s="453">
        <f>+C43+D43</f>
        <v>3570386.8633121559</v>
      </c>
      <c r="F43" s="454">
        <v>3021817.72</v>
      </c>
      <c r="G43" s="454">
        <v>2964569.06</v>
      </c>
      <c r="H43" s="453">
        <f>+E43-F43</f>
        <v>548569.14331215573</v>
      </c>
      <c r="I43" s="452">
        <f>+F43/E43</f>
        <v>0.84635582520509778</v>
      </c>
    </row>
    <row r="44" spans="1:9" x14ac:dyDescent="0.25">
      <c r="A44" s="468">
        <v>14406</v>
      </c>
      <c r="B44" s="467" t="s">
        <v>669</v>
      </c>
      <c r="C44" s="454">
        <v>4374</v>
      </c>
      <c r="D44" s="454">
        <v>0</v>
      </c>
      <c r="E44" s="453">
        <f>+C44+D44</f>
        <v>4374</v>
      </c>
      <c r="F44" s="454">
        <v>3159</v>
      </c>
      <c r="G44" s="454">
        <v>3159</v>
      </c>
      <c r="H44" s="453">
        <f>+E44-F44</f>
        <v>1215</v>
      </c>
      <c r="I44" s="452">
        <f>+F44/E44</f>
        <v>0.72222222222222221</v>
      </c>
    </row>
    <row r="45" spans="1:9" x14ac:dyDescent="0.25">
      <c r="A45" s="472">
        <v>1500</v>
      </c>
      <c r="B45" s="475" t="s">
        <v>649</v>
      </c>
      <c r="C45" s="453">
        <f>C46+C48+C52+C65</f>
        <v>35786324.26935032</v>
      </c>
      <c r="D45" s="453">
        <f>D46+D48+D52+D65</f>
        <v>1570752.8200000003</v>
      </c>
      <c r="E45" s="453">
        <f>+C45+D45</f>
        <v>37357077.08935032</v>
      </c>
      <c r="F45" s="453">
        <v>26844947.379999999</v>
      </c>
      <c r="G45" s="453">
        <v>26662084.709999997</v>
      </c>
      <c r="H45" s="453">
        <f>+E45-F45</f>
        <v>10512129.709350321</v>
      </c>
      <c r="I45" s="452">
        <f>+F45/E45</f>
        <v>0.71860406304787972</v>
      </c>
    </row>
    <row r="46" spans="1:9" x14ac:dyDescent="0.25">
      <c r="A46" s="471">
        <v>151</v>
      </c>
      <c r="B46" s="475" t="s">
        <v>668</v>
      </c>
      <c r="C46" s="453">
        <f>C47</f>
        <v>5778675.6906861197</v>
      </c>
      <c r="D46" s="453">
        <f>D47</f>
        <v>23921</v>
      </c>
      <c r="E46" s="453">
        <f>+C46+D46</f>
        <v>5802596.6906861197</v>
      </c>
      <c r="F46" s="453">
        <v>4815725.3599999994</v>
      </c>
      <c r="G46" s="453">
        <v>4632862.6900000004</v>
      </c>
      <c r="H46" s="453">
        <f>+E46-F46</f>
        <v>986871.33068612032</v>
      </c>
      <c r="I46" s="452">
        <f>+F46/E46</f>
        <v>0.82992591363963486</v>
      </c>
    </row>
    <row r="47" spans="1:9" x14ac:dyDescent="0.25">
      <c r="A47" s="468">
        <v>15101</v>
      </c>
      <c r="B47" s="467" t="s">
        <v>667</v>
      </c>
      <c r="C47" s="454">
        <v>5778675.6906861197</v>
      </c>
      <c r="D47" s="454">
        <v>23921</v>
      </c>
      <c r="E47" s="453">
        <f>+C47+D47</f>
        <v>5802596.6906861197</v>
      </c>
      <c r="F47" s="454">
        <v>4815725.3599999994</v>
      </c>
      <c r="G47" s="454">
        <v>4632862.6900000004</v>
      </c>
      <c r="H47" s="453">
        <f>+E47-F47</f>
        <v>986871.33068612032</v>
      </c>
      <c r="I47" s="452">
        <f>+F47/E47</f>
        <v>0.82992591363963486</v>
      </c>
    </row>
    <row r="48" spans="1:9" x14ac:dyDescent="0.25">
      <c r="A48" s="471">
        <v>152</v>
      </c>
      <c r="B48" s="475" t="s">
        <v>666</v>
      </c>
      <c r="C48" s="453">
        <f>C49+C50+C51</f>
        <v>1438783.3229715917</v>
      </c>
      <c r="D48" s="453">
        <f>D49+D50+D51</f>
        <v>625000</v>
      </c>
      <c r="E48" s="453">
        <f>+C48+D48</f>
        <v>2063783.3229715917</v>
      </c>
      <c r="F48" s="453">
        <v>625000</v>
      </c>
      <c r="G48" s="453">
        <v>625000</v>
      </c>
      <c r="H48" s="453">
        <f>+E48-F48</f>
        <v>1438783.3229715917</v>
      </c>
      <c r="I48" s="452">
        <f>+F48/E48</f>
        <v>0.30284186961065157</v>
      </c>
    </row>
    <row r="49" spans="1:9" x14ac:dyDescent="0.25">
      <c r="A49" s="468">
        <v>15201</v>
      </c>
      <c r="B49" s="467" t="s">
        <v>665</v>
      </c>
      <c r="C49" s="454">
        <v>0</v>
      </c>
      <c r="D49" s="454">
        <v>0</v>
      </c>
      <c r="E49" s="453">
        <f>+C49+D49</f>
        <v>0</v>
      </c>
      <c r="F49" s="454">
        <v>0</v>
      </c>
      <c r="G49" s="454">
        <v>0</v>
      </c>
      <c r="H49" s="453">
        <f>+E49-F49</f>
        <v>0</v>
      </c>
      <c r="I49" s="452"/>
    </row>
    <row r="50" spans="1:9" x14ac:dyDescent="0.25">
      <c r="A50" s="468">
        <v>15202</v>
      </c>
      <c r="B50" s="467" t="s">
        <v>664</v>
      </c>
      <c r="C50" s="454">
        <v>1438783.3229715917</v>
      </c>
      <c r="D50" s="454">
        <v>0</v>
      </c>
      <c r="E50" s="453">
        <f>+C50+D50</f>
        <v>1438783.3229715917</v>
      </c>
      <c r="F50" s="454">
        <v>0</v>
      </c>
      <c r="G50" s="454">
        <v>0</v>
      </c>
      <c r="H50" s="453">
        <f>+E50-F50</f>
        <v>1438783.3229715917</v>
      </c>
      <c r="I50" s="452">
        <f>+F50/E50</f>
        <v>0</v>
      </c>
    </row>
    <row r="51" spans="1:9" x14ac:dyDescent="0.25">
      <c r="A51" s="468">
        <v>15203</v>
      </c>
      <c r="B51" s="467" t="s">
        <v>663</v>
      </c>
      <c r="C51" s="454"/>
      <c r="D51" s="454">
        <v>625000</v>
      </c>
      <c r="E51" s="453">
        <f>+C51+D51</f>
        <v>625000</v>
      </c>
      <c r="F51" s="454">
        <v>625000</v>
      </c>
      <c r="G51" s="454">
        <v>625000</v>
      </c>
      <c r="H51" s="453"/>
      <c r="I51" s="452"/>
    </row>
    <row r="52" spans="1:9" x14ac:dyDescent="0.25">
      <c r="A52" s="471">
        <v>154</v>
      </c>
      <c r="B52" s="475" t="s">
        <v>662</v>
      </c>
      <c r="C52" s="453">
        <f>SUM(C53:C64)</f>
        <v>2699386.6069024238</v>
      </c>
      <c r="D52" s="453">
        <f>SUM(D53:D64)</f>
        <v>1721338.82</v>
      </c>
      <c r="E52" s="453">
        <f>+C52+D52</f>
        <v>4420725.4269024236</v>
      </c>
      <c r="F52" s="453">
        <v>3802904.7699999996</v>
      </c>
      <c r="G52" s="453">
        <v>3802904.7699999996</v>
      </c>
      <c r="H52" s="453">
        <f>+E52-F52</f>
        <v>617820.65690242406</v>
      </c>
      <c r="I52" s="452">
        <f>+F52/E52</f>
        <v>0.86024450802968611</v>
      </c>
    </row>
    <row r="53" spans="1:9" ht="22.5" x14ac:dyDescent="0.25">
      <c r="A53" s="468">
        <v>15404</v>
      </c>
      <c r="B53" s="467" t="s">
        <v>661</v>
      </c>
      <c r="C53" s="453">
        <v>0</v>
      </c>
      <c r="D53" s="454">
        <v>13220.82</v>
      </c>
      <c r="E53" s="453">
        <f>+C53+D53</f>
        <v>13220.82</v>
      </c>
      <c r="F53" s="454">
        <v>11320.51</v>
      </c>
      <c r="G53" s="454">
        <v>11320.51</v>
      </c>
      <c r="H53" s="453">
        <f>+E53-F53</f>
        <v>1900.3099999999995</v>
      </c>
      <c r="I53" s="452"/>
    </row>
    <row r="54" spans="1:9" x14ac:dyDescent="0.25">
      <c r="A54" s="468">
        <v>15409</v>
      </c>
      <c r="B54" s="467" t="s">
        <v>660</v>
      </c>
      <c r="C54" s="454">
        <v>2299985.8332690885</v>
      </c>
      <c r="D54" s="454">
        <v>453600</v>
      </c>
      <c r="E54" s="453">
        <f>+C54+D54</f>
        <v>2753585.8332690885</v>
      </c>
      <c r="F54" s="454">
        <v>2441524.2599999998</v>
      </c>
      <c r="G54" s="454">
        <v>2441524.2599999998</v>
      </c>
      <c r="H54" s="453">
        <f>+E54-F54</f>
        <v>312061.57326908875</v>
      </c>
      <c r="I54" s="452">
        <f>+F54/E54</f>
        <v>0.88667083862114238</v>
      </c>
    </row>
    <row r="55" spans="1:9" x14ac:dyDescent="0.25">
      <c r="A55" s="468">
        <v>15413</v>
      </c>
      <c r="B55" s="467" t="s">
        <v>659</v>
      </c>
      <c r="C55" s="454">
        <v>0</v>
      </c>
      <c r="D55" s="454">
        <v>28320</v>
      </c>
      <c r="E55" s="453">
        <f>+C55+D55</f>
        <v>28320</v>
      </c>
      <c r="F55" s="454">
        <v>14160</v>
      </c>
      <c r="G55" s="454">
        <v>14160</v>
      </c>
      <c r="H55" s="453">
        <f>+E55-F55</f>
        <v>14160</v>
      </c>
      <c r="I55" s="452"/>
    </row>
    <row r="56" spans="1:9" x14ac:dyDescent="0.25">
      <c r="A56" s="468">
        <v>15416</v>
      </c>
      <c r="B56" s="467" t="s">
        <v>658</v>
      </c>
      <c r="C56" s="454">
        <v>0</v>
      </c>
      <c r="D56" s="454">
        <f>27200+6000</f>
        <v>33200</v>
      </c>
      <c r="E56" s="453">
        <f>+C56+D56</f>
        <v>33200</v>
      </c>
      <c r="F56" s="454">
        <v>32640</v>
      </c>
      <c r="G56" s="454">
        <v>32640</v>
      </c>
      <c r="H56" s="453">
        <f>+E56-F56</f>
        <v>560</v>
      </c>
      <c r="I56" s="452"/>
    </row>
    <row r="57" spans="1:9" x14ac:dyDescent="0.25">
      <c r="A57" s="468">
        <v>15417</v>
      </c>
      <c r="B57" s="467" t="s">
        <v>657</v>
      </c>
      <c r="C57" s="454">
        <v>0</v>
      </c>
      <c r="D57" s="454">
        <v>243360</v>
      </c>
      <c r="E57" s="453">
        <f>+C57+D57</f>
        <v>243360</v>
      </c>
      <c r="F57" s="454">
        <v>152776</v>
      </c>
      <c r="G57" s="454">
        <v>152776</v>
      </c>
      <c r="H57" s="453">
        <f>+E57-F57</f>
        <v>90584</v>
      </c>
      <c r="I57" s="452"/>
    </row>
    <row r="58" spans="1:9" x14ac:dyDescent="0.25">
      <c r="A58" s="468">
        <v>15419</v>
      </c>
      <c r="B58" s="467" t="s">
        <v>656</v>
      </c>
      <c r="C58" s="454">
        <v>399400.77363333531</v>
      </c>
      <c r="D58" s="454">
        <v>704523</v>
      </c>
      <c r="E58" s="453">
        <f>+C58+D58</f>
        <v>1103923.7736333353</v>
      </c>
      <c r="F58" s="454">
        <v>1003022</v>
      </c>
      <c r="G58" s="454">
        <v>1003022</v>
      </c>
      <c r="H58" s="453">
        <f>+E58-F58</f>
        <v>100901.77363333525</v>
      </c>
      <c r="I58" s="452">
        <f>+F58/E58</f>
        <v>0.9085971549455466</v>
      </c>
    </row>
    <row r="59" spans="1:9" x14ac:dyDescent="0.25">
      <c r="A59" s="468">
        <v>15420</v>
      </c>
      <c r="B59" s="467" t="s">
        <v>655</v>
      </c>
      <c r="C59" s="454">
        <v>0</v>
      </c>
      <c r="D59" s="454">
        <v>12960</v>
      </c>
      <c r="E59" s="453">
        <f>+C59+D59</f>
        <v>12960</v>
      </c>
      <c r="F59" s="454">
        <v>6480</v>
      </c>
      <c r="G59" s="454">
        <v>6480</v>
      </c>
      <c r="H59" s="453">
        <f>+E59-F59</f>
        <v>6480</v>
      </c>
      <c r="I59" s="452"/>
    </row>
    <row r="60" spans="1:9" x14ac:dyDescent="0.25">
      <c r="A60" s="468">
        <v>15423</v>
      </c>
      <c r="B60" s="467" t="s">
        <v>654</v>
      </c>
      <c r="C60" s="454">
        <v>0</v>
      </c>
      <c r="D60" s="454">
        <v>24190</v>
      </c>
      <c r="E60" s="453">
        <f>+C60+D60</f>
        <v>24190</v>
      </c>
      <c r="F60" s="454">
        <v>0</v>
      </c>
      <c r="G60" s="454">
        <v>0</v>
      </c>
      <c r="H60" s="453">
        <f>+E60-F60</f>
        <v>24190</v>
      </c>
      <c r="I60" s="452"/>
    </row>
    <row r="61" spans="1:9" x14ac:dyDescent="0.25">
      <c r="A61" s="468">
        <v>15424</v>
      </c>
      <c r="B61" s="467" t="s">
        <v>653</v>
      </c>
      <c r="C61" s="454">
        <v>0</v>
      </c>
      <c r="D61" s="454">
        <v>14250</v>
      </c>
      <c r="E61" s="453">
        <f>+C61+D61</f>
        <v>14250</v>
      </c>
      <c r="F61" s="454">
        <v>14250</v>
      </c>
      <c r="G61" s="454">
        <v>14250</v>
      </c>
      <c r="H61" s="453">
        <f>+E61-F61</f>
        <v>0</v>
      </c>
      <c r="I61" s="452"/>
    </row>
    <row r="62" spans="1:9" x14ac:dyDescent="0.25">
      <c r="A62" s="468">
        <v>15425</v>
      </c>
      <c r="B62" s="467" t="s">
        <v>652</v>
      </c>
      <c r="C62" s="454">
        <v>0</v>
      </c>
      <c r="D62" s="454">
        <v>132120</v>
      </c>
      <c r="E62" s="453">
        <f>+C62+D62</f>
        <v>132120</v>
      </c>
      <c r="F62" s="454">
        <v>82942</v>
      </c>
      <c r="G62" s="454">
        <v>82942</v>
      </c>
      <c r="H62" s="453">
        <f>+E62-F62</f>
        <v>49178</v>
      </c>
      <c r="I62" s="452"/>
    </row>
    <row r="63" spans="1:9" x14ac:dyDescent="0.25">
      <c r="A63" s="468">
        <v>15426</v>
      </c>
      <c r="B63" s="467" t="s">
        <v>651</v>
      </c>
      <c r="C63" s="454">
        <v>0</v>
      </c>
      <c r="D63" s="454">
        <v>22310</v>
      </c>
      <c r="E63" s="453">
        <f>+C63+D63</f>
        <v>22310</v>
      </c>
      <c r="F63" s="454">
        <v>4850</v>
      </c>
      <c r="G63" s="454">
        <v>4850</v>
      </c>
      <c r="H63" s="453">
        <f>+E63-F63</f>
        <v>17460</v>
      </c>
      <c r="I63" s="452"/>
    </row>
    <row r="64" spans="1:9" x14ac:dyDescent="0.25">
      <c r="A64" s="468">
        <v>15427</v>
      </c>
      <c r="B64" s="467" t="s">
        <v>650</v>
      </c>
      <c r="C64" s="454">
        <v>0</v>
      </c>
      <c r="D64" s="454">
        <f>36285+3000</f>
        <v>39285</v>
      </c>
      <c r="E64" s="453">
        <f>+C64+D64</f>
        <v>39285</v>
      </c>
      <c r="F64" s="454">
        <v>38940</v>
      </c>
      <c r="G64" s="454">
        <v>38940</v>
      </c>
      <c r="H64" s="453">
        <f>+E64-F64</f>
        <v>345</v>
      </c>
      <c r="I64" s="452"/>
    </row>
    <row r="65" spans="1:9" x14ac:dyDescent="0.25">
      <c r="A65" s="471">
        <v>159</v>
      </c>
      <c r="B65" s="475" t="s">
        <v>649</v>
      </c>
      <c r="C65" s="453">
        <f>C66</f>
        <v>25869478.648790181</v>
      </c>
      <c r="D65" s="453">
        <f>D66</f>
        <v>-799507</v>
      </c>
      <c r="E65" s="453">
        <f>+C65+D65</f>
        <v>25069971.648790181</v>
      </c>
      <c r="F65" s="453">
        <v>17601317.25</v>
      </c>
      <c r="G65" s="453">
        <v>17601317.25</v>
      </c>
      <c r="H65" s="453">
        <f>+E65-F65</f>
        <v>7468654.3987901807</v>
      </c>
      <c r="I65" s="452">
        <f>+F65/E65</f>
        <v>0.70208764080710073</v>
      </c>
    </row>
    <row r="66" spans="1:9" x14ac:dyDescent="0.25">
      <c r="A66" s="468">
        <v>15901</v>
      </c>
      <c r="B66" s="467" t="s">
        <v>648</v>
      </c>
      <c r="C66" s="454">
        <v>25869478.648790181</v>
      </c>
      <c r="D66" s="454">
        <f>-345555-444952-6000-3000</f>
        <v>-799507</v>
      </c>
      <c r="E66" s="453">
        <f>+C66+D66</f>
        <v>25069971.648790181</v>
      </c>
      <c r="F66" s="454">
        <v>17601317.25</v>
      </c>
      <c r="G66" s="454">
        <v>17601317.25</v>
      </c>
      <c r="H66" s="453">
        <f>+E66-F66</f>
        <v>7468654.3987901807</v>
      </c>
      <c r="I66" s="452">
        <f>+F66/E66</f>
        <v>0.70208764080710073</v>
      </c>
    </row>
    <row r="67" spans="1:9" x14ac:dyDescent="0.25">
      <c r="A67" s="474">
        <v>1700</v>
      </c>
      <c r="B67" s="475" t="s">
        <v>647</v>
      </c>
      <c r="C67" s="453">
        <f>C68</f>
        <v>870998.78606991796</v>
      </c>
      <c r="D67" s="453">
        <f>D68</f>
        <v>231471.35999999999</v>
      </c>
      <c r="E67" s="453">
        <f>+C67+D67</f>
        <v>1102470.1460699178</v>
      </c>
      <c r="F67" s="453">
        <v>743310.55</v>
      </c>
      <c r="G67" s="453">
        <v>743310.55</v>
      </c>
      <c r="H67" s="453">
        <f>+E67-F67</f>
        <v>359159.59606991778</v>
      </c>
      <c r="I67" s="452">
        <f>+F67/E67</f>
        <v>0.6742228373709267</v>
      </c>
    </row>
    <row r="68" spans="1:9" x14ac:dyDescent="0.25">
      <c r="A68" s="474">
        <v>171</v>
      </c>
      <c r="B68" s="475" t="s">
        <v>646</v>
      </c>
      <c r="C68" s="453">
        <f>SUM(C69:C71)</f>
        <v>870998.78606991796</v>
      </c>
      <c r="D68" s="453">
        <f>SUM(D69:D71)</f>
        <v>231471.35999999999</v>
      </c>
      <c r="E68" s="453">
        <f>+C68+D68</f>
        <v>1102470.1460699178</v>
      </c>
      <c r="F68" s="453">
        <v>743310.55</v>
      </c>
      <c r="G68" s="453">
        <v>743310.55</v>
      </c>
      <c r="H68" s="453">
        <f>+E68-F68</f>
        <v>359159.59606991778</v>
      </c>
      <c r="I68" s="452">
        <f>+F68/E68</f>
        <v>0.6742228373709267</v>
      </c>
    </row>
    <row r="69" spans="1:9" x14ac:dyDescent="0.25">
      <c r="A69" s="468">
        <v>17102</v>
      </c>
      <c r="B69" s="467" t="s">
        <v>645</v>
      </c>
      <c r="C69" s="454">
        <v>488195.04</v>
      </c>
      <c r="D69" s="454">
        <v>0</v>
      </c>
      <c r="E69" s="453">
        <f>+C69+D69</f>
        <v>488195.04</v>
      </c>
      <c r="F69" s="454">
        <v>366146.28</v>
      </c>
      <c r="G69" s="454">
        <v>366146.28</v>
      </c>
      <c r="H69" s="453">
        <f>+E69-F69</f>
        <v>122048.75999999995</v>
      </c>
      <c r="I69" s="452">
        <f>+F69/E69</f>
        <v>0.75000000000000011</v>
      </c>
    </row>
    <row r="70" spans="1:9" x14ac:dyDescent="0.25">
      <c r="A70" s="477">
        <v>17104</v>
      </c>
      <c r="B70" s="477" t="s">
        <v>644</v>
      </c>
      <c r="C70" s="454">
        <v>382803.74606991804</v>
      </c>
      <c r="D70" s="454">
        <v>70520</v>
      </c>
      <c r="E70" s="453">
        <f>+C70+D70</f>
        <v>453323.74606991804</v>
      </c>
      <c r="F70" s="454">
        <v>276569.67000000004</v>
      </c>
      <c r="G70" s="454">
        <v>276569.67000000004</v>
      </c>
      <c r="H70" s="453">
        <f>+E70-F70</f>
        <v>176754.076069918</v>
      </c>
      <c r="I70" s="452">
        <f>+F70/E70</f>
        <v>0.61009305688862703</v>
      </c>
    </row>
    <row r="71" spans="1:9" x14ac:dyDescent="0.25">
      <c r="A71" s="477">
        <v>17105</v>
      </c>
      <c r="B71" s="467" t="s">
        <v>643</v>
      </c>
      <c r="C71" s="454">
        <v>0</v>
      </c>
      <c r="D71" s="454">
        <v>160951.35999999999</v>
      </c>
      <c r="E71" s="453">
        <f>+C71+D71</f>
        <v>160951.35999999999</v>
      </c>
      <c r="F71" s="454">
        <v>100594.6</v>
      </c>
      <c r="G71" s="454">
        <v>100594.6</v>
      </c>
      <c r="H71" s="453">
        <f>+E71-F71</f>
        <v>60356.75999999998</v>
      </c>
      <c r="I71" s="452"/>
    </row>
    <row r="72" spans="1:9" x14ac:dyDescent="0.25">
      <c r="A72" s="468"/>
      <c r="B72" s="467"/>
      <c r="C72" s="454">
        <v>0</v>
      </c>
      <c r="D72" s="454"/>
      <c r="E72" s="453">
        <f>+C72+D72</f>
        <v>0</v>
      </c>
      <c r="F72" s="454"/>
      <c r="G72" s="454"/>
      <c r="H72" s="453">
        <f>+E72-F72</f>
        <v>0</v>
      </c>
      <c r="I72" s="452"/>
    </row>
    <row r="73" spans="1:9" x14ac:dyDescent="0.25">
      <c r="A73" s="464">
        <v>2000</v>
      </c>
      <c r="B73" s="475" t="s">
        <v>642</v>
      </c>
      <c r="C73" s="476">
        <f>C74+C90+C96+C99+C113+C124+C128+C133</f>
        <v>29390389.214226238</v>
      </c>
      <c r="D73" s="476">
        <f>D74+D90+D96+D99+D113+D124+D128+D133</f>
        <v>2093739.3400000003</v>
      </c>
      <c r="E73" s="453">
        <f>+C73+D73</f>
        <v>31484128.554226238</v>
      </c>
      <c r="F73" s="453">
        <v>17167615.539999999</v>
      </c>
      <c r="G73" s="453">
        <v>15197063.690000001</v>
      </c>
      <c r="H73" s="453">
        <f>+E73-F73</f>
        <v>14316513.014226239</v>
      </c>
      <c r="I73" s="452">
        <f>+F73/E73</f>
        <v>0.54527840941926031</v>
      </c>
    </row>
    <row r="74" spans="1:9" ht="22.5" x14ac:dyDescent="0.25">
      <c r="A74" s="472">
        <v>2100</v>
      </c>
      <c r="B74" s="475" t="s">
        <v>641</v>
      </c>
      <c r="C74" s="453">
        <f>C75+C77+C79+C81+C83+C85+C87</f>
        <v>2348248.1320336713</v>
      </c>
      <c r="D74" s="453">
        <f>D75+D77+D79+D81+D83+D85+D87</f>
        <v>-13855</v>
      </c>
      <c r="E74" s="453">
        <f>+C74+D74</f>
        <v>2334393.1320336713</v>
      </c>
      <c r="F74" s="453">
        <v>665108.14</v>
      </c>
      <c r="G74" s="453">
        <v>584611.31000000006</v>
      </c>
      <c r="H74" s="453">
        <f>+E74-F74</f>
        <v>1669284.9920336711</v>
      </c>
      <c r="I74" s="452">
        <f>+F74/E74</f>
        <v>0.28491693660037998</v>
      </c>
    </row>
    <row r="75" spans="1:9" x14ac:dyDescent="0.25">
      <c r="A75" s="471">
        <v>211</v>
      </c>
      <c r="B75" s="475" t="s">
        <v>640</v>
      </c>
      <c r="C75" s="453">
        <f>C76</f>
        <v>1225435.4062956315</v>
      </c>
      <c r="D75" s="453">
        <f>D76</f>
        <v>6357.89</v>
      </c>
      <c r="E75" s="453">
        <f>+C75+D75</f>
        <v>1231793.2962956314</v>
      </c>
      <c r="F75" s="453">
        <v>269438.59999999998</v>
      </c>
      <c r="G75" s="453">
        <v>200411.12999999998</v>
      </c>
      <c r="H75" s="453">
        <f>+E75-F75</f>
        <v>962354.69629563147</v>
      </c>
      <c r="I75" s="452">
        <f>+F75/E75</f>
        <v>0.21873686178540014</v>
      </c>
    </row>
    <row r="76" spans="1:9" x14ac:dyDescent="0.25">
      <c r="A76" s="468">
        <v>21101</v>
      </c>
      <c r="B76" s="467" t="s">
        <v>640</v>
      </c>
      <c r="C76" s="454">
        <v>1225435.4062956315</v>
      </c>
      <c r="D76" s="454">
        <v>6357.89</v>
      </c>
      <c r="E76" s="453">
        <f>+C76+D76</f>
        <v>1231793.2962956314</v>
      </c>
      <c r="F76" s="454">
        <v>269438.59999999998</v>
      </c>
      <c r="G76" s="454">
        <v>200411.12999999998</v>
      </c>
      <c r="H76" s="453">
        <f>+E76-F76</f>
        <v>962354.69629563147</v>
      </c>
      <c r="I76" s="452">
        <f>+F76/E76</f>
        <v>0.21873686178540014</v>
      </c>
    </row>
    <row r="77" spans="1:9" x14ac:dyDescent="0.25">
      <c r="A77" s="471">
        <v>212</v>
      </c>
      <c r="B77" s="475" t="s">
        <v>639</v>
      </c>
      <c r="C77" s="453">
        <f>C78</f>
        <v>216630.51210119019</v>
      </c>
      <c r="D77" s="453">
        <f>D78</f>
        <v>-32662.89</v>
      </c>
      <c r="E77" s="453">
        <f>+C77+D77</f>
        <v>183967.62210119021</v>
      </c>
      <c r="F77" s="453">
        <v>34241.78</v>
      </c>
      <c r="G77" s="453">
        <v>27123.18</v>
      </c>
      <c r="H77" s="453">
        <f>+E77-F77</f>
        <v>149725.84210119021</v>
      </c>
      <c r="I77" s="452">
        <f>+F77/E77</f>
        <v>0.18612938303439899</v>
      </c>
    </row>
    <row r="78" spans="1:9" x14ac:dyDescent="0.25">
      <c r="A78" s="468">
        <v>21201</v>
      </c>
      <c r="B78" s="467" t="s">
        <v>639</v>
      </c>
      <c r="C78" s="454">
        <v>216630.51210119019</v>
      </c>
      <c r="D78" s="454">
        <v>-32662.89</v>
      </c>
      <c r="E78" s="453">
        <f>+C78+D78</f>
        <v>183967.62210119021</v>
      </c>
      <c r="F78" s="454">
        <v>34241.78</v>
      </c>
      <c r="G78" s="454">
        <v>27123.18</v>
      </c>
      <c r="H78" s="453">
        <f>+E78-F78</f>
        <v>149725.84210119021</v>
      </c>
      <c r="I78" s="452">
        <f>+F78/E78</f>
        <v>0.18612938303439899</v>
      </c>
    </row>
    <row r="79" spans="1:9" ht="22.5" x14ac:dyDescent="0.25">
      <c r="A79" s="471">
        <v>214</v>
      </c>
      <c r="B79" s="475" t="s">
        <v>638</v>
      </c>
      <c r="C79" s="453">
        <f>C80</f>
        <v>450169.0015559491</v>
      </c>
      <c r="D79" s="453">
        <f>D80</f>
        <v>30908</v>
      </c>
      <c r="E79" s="453">
        <f>+C79+D79</f>
        <v>481077.0015559491</v>
      </c>
      <c r="F79" s="453">
        <v>67876.38</v>
      </c>
      <c r="G79" s="453">
        <v>67876.38</v>
      </c>
      <c r="H79" s="453">
        <f>+E79-F79</f>
        <v>413200.6215559491</v>
      </c>
      <c r="I79" s="452">
        <f>+F79/E79</f>
        <v>0.14109254813775587</v>
      </c>
    </row>
    <row r="80" spans="1:9" ht="22.5" x14ac:dyDescent="0.25">
      <c r="A80" s="468">
        <v>21401</v>
      </c>
      <c r="B80" s="467" t="s">
        <v>637</v>
      </c>
      <c r="C80" s="454">
        <v>450169.0015559491</v>
      </c>
      <c r="D80" s="454">
        <v>30908</v>
      </c>
      <c r="E80" s="453">
        <f>+C80+D80</f>
        <v>481077.0015559491</v>
      </c>
      <c r="F80" s="454">
        <v>67876.38</v>
      </c>
      <c r="G80" s="454">
        <v>67876.38</v>
      </c>
      <c r="H80" s="453">
        <f>+E80-F80</f>
        <v>413200.6215559491</v>
      </c>
      <c r="I80" s="452">
        <f>+F80/E80</f>
        <v>0.14109254813775587</v>
      </c>
    </row>
    <row r="81" spans="1:9" x14ac:dyDescent="0.25">
      <c r="A81" s="471">
        <v>215</v>
      </c>
      <c r="B81" s="475" t="s">
        <v>636</v>
      </c>
      <c r="C81" s="453">
        <f>C82</f>
        <v>2500</v>
      </c>
      <c r="D81" s="453">
        <f>D82</f>
        <v>0</v>
      </c>
      <c r="E81" s="453">
        <f>+C81+D81</f>
        <v>2500</v>
      </c>
      <c r="F81" s="453">
        <v>2149</v>
      </c>
      <c r="G81" s="453">
        <v>2149</v>
      </c>
      <c r="H81" s="453">
        <f>+E81-F81</f>
        <v>351</v>
      </c>
      <c r="I81" s="452">
        <f>+F81/E81</f>
        <v>0.85960000000000003</v>
      </c>
    </row>
    <row r="82" spans="1:9" x14ac:dyDescent="0.25">
      <c r="A82" s="468">
        <v>21501</v>
      </c>
      <c r="B82" s="467" t="s">
        <v>635</v>
      </c>
      <c r="C82" s="454">
        <v>2500</v>
      </c>
      <c r="D82" s="454">
        <v>0</v>
      </c>
      <c r="E82" s="453">
        <f>+C82+D82</f>
        <v>2500</v>
      </c>
      <c r="F82" s="454">
        <v>2149</v>
      </c>
      <c r="G82" s="454">
        <v>2149</v>
      </c>
      <c r="H82" s="453">
        <f>+E82-F82</f>
        <v>351</v>
      </c>
      <c r="I82" s="452">
        <f>+F82/E82</f>
        <v>0.85960000000000003</v>
      </c>
    </row>
    <row r="83" spans="1:9" x14ac:dyDescent="0.25">
      <c r="A83" s="471">
        <v>216</v>
      </c>
      <c r="B83" s="475" t="s">
        <v>634</v>
      </c>
      <c r="C83" s="453">
        <f>C84</f>
        <v>191367.96086570388</v>
      </c>
      <c r="D83" s="453">
        <f>D84</f>
        <v>-5422</v>
      </c>
      <c r="E83" s="453">
        <f>+C83+D83</f>
        <v>185945.96086570388</v>
      </c>
      <c r="F83" s="453">
        <v>101690.38</v>
      </c>
      <c r="G83" s="453">
        <v>97339.62000000001</v>
      </c>
      <c r="H83" s="453">
        <f>+E83-F83</f>
        <v>84255.580865703872</v>
      </c>
      <c r="I83" s="452">
        <f>+F83/E83</f>
        <v>0.54688136018960931</v>
      </c>
    </row>
    <row r="84" spans="1:9" x14ac:dyDescent="0.25">
      <c r="A84" s="468">
        <v>21601</v>
      </c>
      <c r="B84" s="467" t="s">
        <v>634</v>
      </c>
      <c r="C84" s="454">
        <v>191367.96086570388</v>
      </c>
      <c r="D84" s="454">
        <v>-5422</v>
      </c>
      <c r="E84" s="453">
        <f>+C84+D84</f>
        <v>185945.96086570388</v>
      </c>
      <c r="F84" s="454">
        <v>101690.38</v>
      </c>
      <c r="G84" s="454">
        <v>97339.62000000001</v>
      </c>
      <c r="H84" s="453">
        <f>+E84-F84</f>
        <v>84255.580865703872</v>
      </c>
      <c r="I84" s="452">
        <f>+F84/E84</f>
        <v>0.54688136018960931</v>
      </c>
    </row>
    <row r="85" spans="1:9" x14ac:dyDescent="0.25">
      <c r="A85" s="471">
        <v>217</v>
      </c>
      <c r="B85" s="475" t="s">
        <v>633</v>
      </c>
      <c r="C85" s="453">
        <f>C86</f>
        <v>0</v>
      </c>
      <c r="D85" s="453">
        <f>D86</f>
        <v>0</v>
      </c>
      <c r="E85" s="453">
        <f>+C85+D85</f>
        <v>0</v>
      </c>
      <c r="F85" s="453">
        <v>0</v>
      </c>
      <c r="G85" s="453">
        <v>0</v>
      </c>
      <c r="H85" s="453">
        <f>+E85-F85</f>
        <v>0</v>
      </c>
      <c r="I85" s="452"/>
    </row>
    <row r="86" spans="1:9" x14ac:dyDescent="0.25">
      <c r="A86" s="468">
        <v>21701</v>
      </c>
      <c r="B86" s="467" t="s">
        <v>632</v>
      </c>
      <c r="C86" s="454">
        <v>0</v>
      </c>
      <c r="D86" s="454">
        <v>0</v>
      </c>
      <c r="E86" s="453">
        <f>+C86+D86</f>
        <v>0</v>
      </c>
      <c r="F86" s="454">
        <v>0</v>
      </c>
      <c r="G86" s="454">
        <v>0</v>
      </c>
      <c r="H86" s="453">
        <f>+E86-F86</f>
        <v>0</v>
      </c>
      <c r="I86" s="452"/>
    </row>
    <row r="87" spans="1:9" ht="22.5" x14ac:dyDescent="0.25">
      <c r="A87" s="471">
        <v>218</v>
      </c>
      <c r="B87" s="475" t="s">
        <v>631</v>
      </c>
      <c r="C87" s="453">
        <f>C88+C89</f>
        <v>262145.25121519662</v>
      </c>
      <c r="D87" s="453">
        <f>D88+D89</f>
        <v>-13036</v>
      </c>
      <c r="E87" s="453">
        <f>+C87+D87</f>
        <v>249109.25121519662</v>
      </c>
      <c r="F87" s="453">
        <v>189712</v>
      </c>
      <c r="G87" s="453">
        <v>189712</v>
      </c>
      <c r="H87" s="453">
        <f>+E87-F87</f>
        <v>59397.251215196622</v>
      </c>
      <c r="I87" s="452">
        <f>+F87/E87</f>
        <v>0.7615614397078917</v>
      </c>
    </row>
    <row r="88" spans="1:9" x14ac:dyDescent="0.25">
      <c r="A88" s="468">
        <v>21801</v>
      </c>
      <c r="B88" s="467" t="s">
        <v>630</v>
      </c>
      <c r="C88" s="454">
        <v>262145.25121519662</v>
      </c>
      <c r="D88" s="454">
        <v>-13036</v>
      </c>
      <c r="E88" s="453">
        <f>+C88+D88</f>
        <v>249109.25121519662</v>
      </c>
      <c r="F88" s="454">
        <v>189712</v>
      </c>
      <c r="G88" s="454">
        <v>189712</v>
      </c>
      <c r="H88" s="453">
        <f>+E88-F88</f>
        <v>59397.251215196622</v>
      </c>
      <c r="I88" s="452">
        <f>+F88/E88</f>
        <v>0.7615614397078917</v>
      </c>
    </row>
    <row r="89" spans="1:9" x14ac:dyDescent="0.25">
      <c r="A89" s="468">
        <v>21802</v>
      </c>
      <c r="B89" s="467" t="s">
        <v>629</v>
      </c>
      <c r="C89" s="454">
        <v>0</v>
      </c>
      <c r="D89" s="454">
        <v>0</v>
      </c>
      <c r="E89" s="453">
        <f>+C89+D89</f>
        <v>0</v>
      </c>
      <c r="F89" s="454">
        <v>0</v>
      </c>
      <c r="G89" s="454">
        <v>0</v>
      </c>
      <c r="H89" s="453">
        <f>+E89-F89</f>
        <v>0</v>
      </c>
      <c r="I89" s="452"/>
    </row>
    <row r="90" spans="1:9" x14ac:dyDescent="0.25">
      <c r="A90" s="472">
        <v>2200</v>
      </c>
      <c r="B90" s="475" t="s">
        <v>628</v>
      </c>
      <c r="C90" s="453">
        <f>C91+C94</f>
        <v>495539.67176440824</v>
      </c>
      <c r="D90" s="453">
        <f>D91+D94</f>
        <v>49388</v>
      </c>
      <c r="E90" s="453">
        <f>+C90+D90</f>
        <v>544927.67176440824</v>
      </c>
      <c r="F90" s="453">
        <v>430963.68000000005</v>
      </c>
      <c r="G90" s="453">
        <v>359925.34</v>
      </c>
      <c r="H90" s="453">
        <f>+E90-F90</f>
        <v>113963.99176440819</v>
      </c>
      <c r="I90" s="452">
        <f>+F90/E90</f>
        <v>0.79086400329899398</v>
      </c>
    </row>
    <row r="91" spans="1:9" x14ac:dyDescent="0.25">
      <c r="A91" s="471">
        <v>221</v>
      </c>
      <c r="B91" s="475" t="s">
        <v>627</v>
      </c>
      <c r="C91" s="453">
        <f>C92+C93</f>
        <v>490156.01996440825</v>
      </c>
      <c r="D91" s="453">
        <f>D92+D93</f>
        <v>49247</v>
      </c>
      <c r="E91" s="453">
        <f>+C91+D91</f>
        <v>539403.01996440825</v>
      </c>
      <c r="F91" s="453">
        <v>429236.59</v>
      </c>
      <c r="G91" s="453">
        <v>358198.25</v>
      </c>
      <c r="H91" s="453">
        <f>+E91-F91</f>
        <v>110166.42996440822</v>
      </c>
      <c r="I91" s="452">
        <f>+F91/E91</f>
        <v>0.79576230409003379</v>
      </c>
    </row>
    <row r="92" spans="1:9" x14ac:dyDescent="0.25">
      <c r="A92" s="468">
        <v>22101</v>
      </c>
      <c r="B92" s="467" t="s">
        <v>626</v>
      </c>
      <c r="C92" s="454">
        <v>310460.56596368557</v>
      </c>
      <c r="D92" s="454">
        <v>49247</v>
      </c>
      <c r="E92" s="453">
        <f>+C92+D92</f>
        <v>359707.56596368557</v>
      </c>
      <c r="F92" s="454">
        <v>302986.59000000003</v>
      </c>
      <c r="G92" s="454">
        <v>273934.25</v>
      </c>
      <c r="H92" s="453">
        <f>+E92-F92</f>
        <v>56720.975963685545</v>
      </c>
      <c r="I92" s="452">
        <f>+F92/E92</f>
        <v>0.84231364216172244</v>
      </c>
    </row>
    <row r="93" spans="1:9" x14ac:dyDescent="0.25">
      <c r="A93" s="468">
        <v>22106</v>
      </c>
      <c r="B93" s="467" t="s">
        <v>625</v>
      </c>
      <c r="C93" s="454">
        <v>179695.45400072268</v>
      </c>
      <c r="D93" s="454">
        <v>0</v>
      </c>
      <c r="E93" s="453">
        <f>+C93+D93</f>
        <v>179695.45400072268</v>
      </c>
      <c r="F93" s="454">
        <v>126250</v>
      </c>
      <c r="G93" s="454">
        <v>84264</v>
      </c>
      <c r="H93" s="453">
        <f>+E93-F93</f>
        <v>53445.454000722675</v>
      </c>
      <c r="I93" s="452">
        <f>+F93/E93</f>
        <v>0.70257759553278554</v>
      </c>
    </row>
    <row r="94" spans="1:9" x14ac:dyDescent="0.25">
      <c r="A94" s="471">
        <v>223</v>
      </c>
      <c r="B94" s="475" t="s">
        <v>624</v>
      </c>
      <c r="C94" s="453">
        <f>C95</f>
        <v>5383.6517999999996</v>
      </c>
      <c r="D94" s="453">
        <f>D95</f>
        <v>141</v>
      </c>
      <c r="E94" s="453">
        <f>+C94+D94</f>
        <v>5524.6517999999996</v>
      </c>
      <c r="F94" s="453">
        <v>1727.0900000000001</v>
      </c>
      <c r="G94" s="453">
        <v>1727.0900000000001</v>
      </c>
      <c r="H94" s="453">
        <f>+E94-F94</f>
        <v>3797.5617999999995</v>
      </c>
      <c r="I94" s="452">
        <f>+F94/E94</f>
        <v>0.31261517694201113</v>
      </c>
    </row>
    <row r="95" spans="1:9" x14ac:dyDescent="0.25">
      <c r="A95" s="468">
        <v>22301</v>
      </c>
      <c r="B95" s="467" t="s">
        <v>624</v>
      </c>
      <c r="C95" s="454">
        <v>5383.6517999999996</v>
      </c>
      <c r="D95" s="454">
        <v>141</v>
      </c>
      <c r="E95" s="453">
        <f>+C95+D95</f>
        <v>5524.6517999999996</v>
      </c>
      <c r="F95" s="454">
        <v>1727.0900000000001</v>
      </c>
      <c r="G95" s="454">
        <v>1727.0900000000001</v>
      </c>
      <c r="H95" s="453">
        <f>+E95-F95</f>
        <v>3797.5617999999995</v>
      </c>
      <c r="I95" s="452">
        <f>+F95/E95</f>
        <v>0.31261517694201113</v>
      </c>
    </row>
    <row r="96" spans="1:9" ht="22.5" x14ac:dyDescent="0.25">
      <c r="A96" s="472">
        <v>2300</v>
      </c>
      <c r="B96" s="475" t="s">
        <v>623</v>
      </c>
      <c r="C96" s="453">
        <f>C97</f>
        <v>6451276.4820699999</v>
      </c>
      <c r="D96" s="453">
        <f>D97</f>
        <v>1092100.78</v>
      </c>
      <c r="E96" s="453">
        <f>+C96+D96</f>
        <v>7543377.2620700002</v>
      </c>
      <c r="F96" s="453">
        <v>3011934.0900000003</v>
      </c>
      <c r="G96" s="453">
        <v>2980405.8400000008</v>
      </c>
      <c r="H96" s="453">
        <f>+E96-F96</f>
        <v>4531443.1720700003</v>
      </c>
      <c r="I96" s="452">
        <f>+F96/E96</f>
        <v>0.39928191118648715</v>
      </c>
    </row>
    <row r="97" spans="1:9" x14ac:dyDescent="0.25">
      <c r="A97" s="471">
        <v>239</v>
      </c>
      <c r="B97" s="475" t="s">
        <v>622</v>
      </c>
      <c r="C97" s="453">
        <f>C98</f>
        <v>6451276.4820699999</v>
      </c>
      <c r="D97" s="453">
        <f>D98</f>
        <v>1092100.78</v>
      </c>
      <c r="E97" s="453">
        <f>+C97+D97</f>
        <v>7543377.2620700002</v>
      </c>
      <c r="F97" s="453">
        <v>3011934.0900000003</v>
      </c>
      <c r="G97" s="453">
        <v>2980405.8400000008</v>
      </c>
      <c r="H97" s="453">
        <f>+E97-F97</f>
        <v>4531443.1720700003</v>
      </c>
      <c r="I97" s="452">
        <f>+F97/E97</f>
        <v>0.39928191118648715</v>
      </c>
    </row>
    <row r="98" spans="1:9" x14ac:dyDescent="0.25">
      <c r="A98" s="468">
        <v>23901</v>
      </c>
      <c r="B98" s="467" t="s">
        <v>622</v>
      </c>
      <c r="C98" s="454">
        <v>6451276.4820699999</v>
      </c>
      <c r="D98" s="454">
        <v>1092100.78</v>
      </c>
      <c r="E98" s="453">
        <f>+C98+D98</f>
        <v>7543377.2620700002</v>
      </c>
      <c r="F98" s="454">
        <v>3011934.0900000003</v>
      </c>
      <c r="G98" s="454">
        <v>2980405.8400000008</v>
      </c>
      <c r="H98" s="453">
        <f>+E98-F98</f>
        <v>4531443.1720700003</v>
      </c>
      <c r="I98" s="452">
        <f>+F98/E98</f>
        <v>0.39928191118648715</v>
      </c>
    </row>
    <row r="99" spans="1:9" x14ac:dyDescent="0.25">
      <c r="A99" s="472">
        <v>2400</v>
      </c>
      <c r="B99" s="475" t="s">
        <v>621</v>
      </c>
      <c r="C99" s="453">
        <f>C100+C104+C106+C108+C111</f>
        <v>647543.79660407268</v>
      </c>
      <c r="D99" s="453">
        <f>D100+D104+D106+D108+D111</f>
        <v>-105387</v>
      </c>
      <c r="E99" s="453">
        <f>+C99+D99</f>
        <v>542156.79660407268</v>
      </c>
      <c r="F99" s="453">
        <v>319152.69</v>
      </c>
      <c r="G99" s="453">
        <v>314730.83</v>
      </c>
      <c r="H99" s="453">
        <f>+E99-F99</f>
        <v>223004.10660407267</v>
      </c>
      <c r="I99" s="452">
        <f>+F99/E99</f>
        <v>0.58867230291880202</v>
      </c>
    </row>
    <row r="100" spans="1:9" x14ac:dyDescent="0.25">
      <c r="A100" s="471">
        <v>242</v>
      </c>
      <c r="B100" s="475" t="s">
        <v>620</v>
      </c>
      <c r="C100" s="453">
        <f>C101</f>
        <v>126007.24592760553</v>
      </c>
      <c r="D100" s="453">
        <f>D101</f>
        <v>0</v>
      </c>
      <c r="E100" s="453">
        <f>+C100+D100</f>
        <v>126007.24592760553</v>
      </c>
      <c r="F100" s="453">
        <v>67332.740000000005</v>
      </c>
      <c r="G100" s="453">
        <v>67332.740000000005</v>
      </c>
      <c r="H100" s="453">
        <f>+E100-F100</f>
        <v>58674.505927605525</v>
      </c>
      <c r="I100" s="452">
        <f>+F100/E100</f>
        <v>0.53435609598740397</v>
      </c>
    </row>
    <row r="101" spans="1:9" x14ac:dyDescent="0.25">
      <c r="A101" s="468">
        <v>24201</v>
      </c>
      <c r="B101" s="467" t="s">
        <v>620</v>
      </c>
      <c r="C101" s="454">
        <v>126007.24592760553</v>
      </c>
      <c r="D101" s="454">
        <v>0</v>
      </c>
      <c r="E101" s="453">
        <f>+C101+D101</f>
        <v>126007.24592760553</v>
      </c>
      <c r="F101" s="454">
        <v>67332.740000000005</v>
      </c>
      <c r="G101" s="454">
        <v>67332.740000000005</v>
      </c>
      <c r="H101" s="453">
        <f>+E101-F101</f>
        <v>58674.505927605525</v>
      </c>
      <c r="I101" s="452">
        <f>+F101/E101</f>
        <v>0.53435609598740397</v>
      </c>
    </row>
    <row r="102" spans="1:9" x14ac:dyDescent="0.25">
      <c r="A102" s="471">
        <v>243</v>
      </c>
      <c r="B102" s="475" t="s">
        <v>619</v>
      </c>
      <c r="C102" s="453">
        <f>C103</f>
        <v>0</v>
      </c>
      <c r="D102" s="453">
        <v>0</v>
      </c>
      <c r="E102" s="453">
        <f>+C102+D102</f>
        <v>0</v>
      </c>
      <c r="F102" s="453">
        <v>0</v>
      </c>
      <c r="G102" s="453">
        <v>0</v>
      </c>
      <c r="H102" s="453">
        <f>+E102-F102</f>
        <v>0</v>
      </c>
      <c r="I102" s="452"/>
    </row>
    <row r="103" spans="1:9" x14ac:dyDescent="0.25">
      <c r="A103" s="468">
        <v>24301</v>
      </c>
      <c r="B103" s="467" t="s">
        <v>618</v>
      </c>
      <c r="C103" s="454">
        <v>0</v>
      </c>
      <c r="D103" s="454">
        <v>0</v>
      </c>
      <c r="E103" s="453">
        <f>+C103+D103</f>
        <v>0</v>
      </c>
      <c r="F103" s="454">
        <v>0</v>
      </c>
      <c r="G103" s="454">
        <v>0</v>
      </c>
      <c r="H103" s="453">
        <f>+E103-F103</f>
        <v>0</v>
      </c>
      <c r="I103" s="452"/>
    </row>
    <row r="104" spans="1:9" x14ac:dyDescent="0.25">
      <c r="A104" s="471">
        <v>244</v>
      </c>
      <c r="B104" s="475" t="s">
        <v>617</v>
      </c>
      <c r="C104" s="453">
        <f>C105</f>
        <v>0</v>
      </c>
      <c r="D104" s="453">
        <v>0</v>
      </c>
      <c r="E104" s="453">
        <f>+C104+D104</f>
        <v>0</v>
      </c>
      <c r="F104" s="453">
        <v>0</v>
      </c>
      <c r="G104" s="453">
        <v>0</v>
      </c>
      <c r="H104" s="453">
        <f>+E104-F104</f>
        <v>0</v>
      </c>
      <c r="I104" s="452"/>
    </row>
    <row r="105" spans="1:9" x14ac:dyDescent="0.25">
      <c r="A105" s="468">
        <v>24401</v>
      </c>
      <c r="B105" s="467" t="s">
        <v>617</v>
      </c>
      <c r="C105" s="454">
        <v>0</v>
      </c>
      <c r="D105" s="454">
        <v>0</v>
      </c>
      <c r="E105" s="453">
        <f>+C105+D105</f>
        <v>0</v>
      </c>
      <c r="F105" s="454">
        <v>0</v>
      </c>
      <c r="G105" s="454">
        <v>0</v>
      </c>
      <c r="H105" s="453">
        <f>+E105-F105</f>
        <v>0</v>
      </c>
      <c r="I105" s="452"/>
    </row>
    <row r="106" spans="1:9" x14ac:dyDescent="0.25">
      <c r="A106" s="471">
        <v>245</v>
      </c>
      <c r="B106" s="475" t="s">
        <v>616</v>
      </c>
      <c r="C106" s="453">
        <f>C107</f>
        <v>0</v>
      </c>
      <c r="D106" s="453">
        <v>0</v>
      </c>
      <c r="E106" s="453">
        <f>+C106+D106</f>
        <v>0</v>
      </c>
      <c r="F106" s="453">
        <v>0</v>
      </c>
      <c r="G106" s="453">
        <v>0</v>
      </c>
      <c r="H106" s="453">
        <f>+E106-F106</f>
        <v>0</v>
      </c>
      <c r="I106" s="452"/>
    </row>
    <row r="107" spans="1:9" x14ac:dyDescent="0.25">
      <c r="A107" s="468">
        <v>24501</v>
      </c>
      <c r="B107" s="467" t="s">
        <v>616</v>
      </c>
      <c r="C107" s="454">
        <v>0</v>
      </c>
      <c r="D107" s="454">
        <v>0</v>
      </c>
      <c r="E107" s="453">
        <f>+C107+D107</f>
        <v>0</v>
      </c>
      <c r="F107" s="454">
        <v>0</v>
      </c>
      <c r="G107" s="454">
        <v>0</v>
      </c>
      <c r="H107" s="453">
        <f>+E107-F107</f>
        <v>0</v>
      </c>
      <c r="I107" s="452"/>
    </row>
    <row r="108" spans="1:9" x14ac:dyDescent="0.25">
      <c r="A108" s="471">
        <v>246</v>
      </c>
      <c r="B108" s="475" t="s">
        <v>615</v>
      </c>
      <c r="C108" s="453">
        <f>C109+C110</f>
        <v>521536.55067646713</v>
      </c>
      <c r="D108" s="453">
        <f>D109+D110</f>
        <v>-105671</v>
      </c>
      <c r="E108" s="453">
        <f>+C108+D108</f>
        <v>415865.55067646713</v>
      </c>
      <c r="F108" s="453">
        <v>251570.97</v>
      </c>
      <c r="G108" s="453">
        <v>247149.11</v>
      </c>
      <c r="H108" s="453">
        <f>+E108-F108</f>
        <v>164294.58067646713</v>
      </c>
      <c r="I108" s="452">
        <f>+F108/E108</f>
        <v>0.60493342040662523</v>
      </c>
    </row>
    <row r="109" spans="1:9" x14ac:dyDescent="0.25">
      <c r="A109" s="468">
        <v>24601</v>
      </c>
      <c r="B109" s="467" t="s">
        <v>615</v>
      </c>
      <c r="C109" s="454">
        <v>521536.55067646713</v>
      </c>
      <c r="D109" s="454">
        <v>-112171</v>
      </c>
      <c r="E109" s="453">
        <f>+C109+D109</f>
        <v>409365.55067646713</v>
      </c>
      <c r="F109" s="454">
        <v>245084.97</v>
      </c>
      <c r="G109" s="454">
        <v>240663.11</v>
      </c>
      <c r="H109" s="453">
        <f>+E109-F109</f>
        <v>164280.58067646713</v>
      </c>
      <c r="I109" s="452">
        <f>+F109/E109</f>
        <v>0.59869466200808241</v>
      </c>
    </row>
    <row r="110" spans="1:9" x14ac:dyDescent="0.25">
      <c r="A110" s="468">
        <v>24801</v>
      </c>
      <c r="B110" s="467" t="s">
        <v>614</v>
      </c>
      <c r="C110" s="454">
        <v>0</v>
      </c>
      <c r="D110" s="454">
        <f>5500+1000</f>
        <v>6500</v>
      </c>
      <c r="E110" s="453">
        <f>+C110+D110</f>
        <v>6500</v>
      </c>
      <c r="F110" s="454">
        <v>6486</v>
      </c>
      <c r="G110" s="454">
        <v>6486</v>
      </c>
      <c r="H110" s="453">
        <f>+E110-F110</f>
        <v>14</v>
      </c>
      <c r="I110" s="452"/>
    </row>
    <row r="111" spans="1:9" ht="22.5" x14ac:dyDescent="0.25">
      <c r="A111" s="471">
        <v>249</v>
      </c>
      <c r="B111" s="475" t="s">
        <v>613</v>
      </c>
      <c r="C111" s="453">
        <f>C112</f>
        <v>0</v>
      </c>
      <c r="D111" s="453">
        <f>D112</f>
        <v>284</v>
      </c>
      <c r="E111" s="453">
        <f>+C111+D111</f>
        <v>284</v>
      </c>
      <c r="F111" s="453">
        <v>248.98</v>
      </c>
      <c r="G111" s="453">
        <v>248.98</v>
      </c>
      <c r="H111" s="453">
        <f>+E111-F111</f>
        <v>35.02000000000001</v>
      </c>
      <c r="I111" s="452"/>
    </row>
    <row r="112" spans="1:9" x14ac:dyDescent="0.25">
      <c r="A112" s="468">
        <v>24901</v>
      </c>
      <c r="B112" s="467" t="s">
        <v>613</v>
      </c>
      <c r="C112" s="454"/>
      <c r="D112" s="454">
        <f>184+100</f>
        <v>284</v>
      </c>
      <c r="E112" s="453">
        <f>+C112+D112</f>
        <v>284</v>
      </c>
      <c r="F112" s="454">
        <v>248.98</v>
      </c>
      <c r="G112" s="454">
        <v>248.98</v>
      </c>
      <c r="H112" s="453">
        <f>+E112-F112</f>
        <v>35.02000000000001</v>
      </c>
      <c r="I112" s="452"/>
    </row>
    <row r="113" spans="1:9" x14ac:dyDescent="0.25">
      <c r="A113" s="472">
        <v>2500</v>
      </c>
      <c r="B113" s="475" t="s">
        <v>612</v>
      </c>
      <c r="C113" s="453">
        <f>C114+C116+C118+C120+C122</f>
        <v>7668652.7501789946</v>
      </c>
      <c r="D113" s="453">
        <f>D114+D116+D118+D120+D122</f>
        <v>-2640795.9299999997</v>
      </c>
      <c r="E113" s="453">
        <f>+C113+D113</f>
        <v>5027856.8201789949</v>
      </c>
      <c r="F113" s="453">
        <v>466004.12</v>
      </c>
      <c r="G113" s="453">
        <v>351505.16</v>
      </c>
      <c r="H113" s="453">
        <f>+E113-F113</f>
        <v>4561852.7001789948</v>
      </c>
      <c r="I113" s="452">
        <f>+F113/E113</f>
        <v>9.2684445215249781E-2</v>
      </c>
    </row>
    <row r="114" spans="1:9" x14ac:dyDescent="0.25">
      <c r="A114" s="471">
        <v>251</v>
      </c>
      <c r="B114" s="475" t="s">
        <v>611</v>
      </c>
      <c r="C114" s="453">
        <f>C115</f>
        <v>0</v>
      </c>
      <c r="D114" s="453">
        <f>D115</f>
        <v>0</v>
      </c>
      <c r="E114" s="453">
        <f>+C114+D114</f>
        <v>0</v>
      </c>
      <c r="F114" s="453">
        <v>0</v>
      </c>
      <c r="G114" s="453">
        <v>0</v>
      </c>
      <c r="H114" s="453">
        <f>+E114-F114</f>
        <v>0</v>
      </c>
      <c r="I114" s="452"/>
    </row>
    <row r="115" spans="1:9" x14ac:dyDescent="0.25">
      <c r="A115" s="468">
        <v>25101</v>
      </c>
      <c r="B115" s="467" t="s">
        <v>611</v>
      </c>
      <c r="C115" s="453">
        <v>0</v>
      </c>
      <c r="D115" s="454">
        <v>0</v>
      </c>
      <c r="E115" s="453">
        <f>+C115+D115</f>
        <v>0</v>
      </c>
      <c r="F115" s="453">
        <v>0</v>
      </c>
      <c r="G115" s="453">
        <v>0</v>
      </c>
      <c r="H115" s="453">
        <f>+E115-F115</f>
        <v>0</v>
      </c>
      <c r="I115" s="452"/>
    </row>
    <row r="116" spans="1:9" x14ac:dyDescent="0.25">
      <c r="A116" s="471">
        <v>252</v>
      </c>
      <c r="B116" s="475" t="s">
        <v>610</v>
      </c>
      <c r="C116" s="453">
        <f>C117</f>
        <v>0</v>
      </c>
      <c r="D116" s="453">
        <v>0</v>
      </c>
      <c r="E116" s="453">
        <f>+C116+D116</f>
        <v>0</v>
      </c>
      <c r="F116" s="453">
        <v>0</v>
      </c>
      <c r="G116" s="453">
        <v>0</v>
      </c>
      <c r="H116" s="453">
        <f>+E116-F116</f>
        <v>0</v>
      </c>
      <c r="I116" s="452"/>
    </row>
    <row r="117" spans="1:9" x14ac:dyDescent="0.25">
      <c r="A117" s="468">
        <v>25201</v>
      </c>
      <c r="B117" s="467" t="s">
        <v>610</v>
      </c>
      <c r="C117" s="454">
        <v>0</v>
      </c>
      <c r="D117" s="454">
        <v>0</v>
      </c>
      <c r="E117" s="453">
        <f>+C117+D117</f>
        <v>0</v>
      </c>
      <c r="F117" s="454">
        <v>0</v>
      </c>
      <c r="G117" s="454">
        <v>0</v>
      </c>
      <c r="H117" s="453">
        <f>+E117-F117</f>
        <v>0</v>
      </c>
      <c r="I117" s="452"/>
    </row>
    <row r="118" spans="1:9" x14ac:dyDescent="0.25">
      <c r="A118" s="471">
        <v>253</v>
      </c>
      <c r="B118" s="475" t="s">
        <v>609</v>
      </c>
      <c r="C118" s="453">
        <f>C119</f>
        <v>17050.360216439713</v>
      </c>
      <c r="D118" s="453">
        <f>D119</f>
        <v>41499</v>
      </c>
      <c r="E118" s="453">
        <f>+C118+D118</f>
        <v>58549.360216439716</v>
      </c>
      <c r="F118" s="453">
        <v>58479.479999999996</v>
      </c>
      <c r="G118" s="453">
        <v>57195.360000000001</v>
      </c>
      <c r="H118" s="453">
        <f>+E118-F118</f>
        <v>69.880216439720243</v>
      </c>
      <c r="I118" s="452">
        <f>+F118/E118</f>
        <v>0.99880647344084728</v>
      </c>
    </row>
    <row r="119" spans="1:9" x14ac:dyDescent="0.25">
      <c r="A119" s="468">
        <v>25301</v>
      </c>
      <c r="B119" s="467" t="s">
        <v>609</v>
      </c>
      <c r="C119" s="454">
        <v>17050.360216439713</v>
      </c>
      <c r="D119" s="454">
        <f>41299+200</f>
        <v>41499</v>
      </c>
      <c r="E119" s="453">
        <f>+C119+D119</f>
        <v>58549.360216439716</v>
      </c>
      <c r="F119" s="454">
        <v>58479.479999999996</v>
      </c>
      <c r="G119" s="454">
        <v>57195.360000000001</v>
      </c>
      <c r="H119" s="453">
        <f>+E119-F119</f>
        <v>69.880216439720243</v>
      </c>
      <c r="I119" s="452">
        <f>+F119/E119</f>
        <v>0.99880647344084728</v>
      </c>
    </row>
    <row r="120" spans="1:9" x14ac:dyDescent="0.25">
      <c r="A120" s="471">
        <v>255</v>
      </c>
      <c r="B120" s="475" t="s">
        <v>608</v>
      </c>
      <c r="C120" s="453">
        <f>C121</f>
        <v>0</v>
      </c>
      <c r="D120" s="453">
        <v>0</v>
      </c>
      <c r="E120" s="453">
        <f>+C120+D120</f>
        <v>0</v>
      </c>
      <c r="F120" s="453">
        <v>0</v>
      </c>
      <c r="G120" s="453">
        <v>0</v>
      </c>
      <c r="H120" s="453">
        <f>+E120-F120</f>
        <v>0</v>
      </c>
      <c r="I120" s="452"/>
    </row>
    <row r="121" spans="1:9" x14ac:dyDescent="0.25">
      <c r="A121" s="468">
        <v>25501</v>
      </c>
      <c r="B121" s="467" t="s">
        <v>608</v>
      </c>
      <c r="C121" s="454"/>
      <c r="D121" s="454">
        <v>0</v>
      </c>
      <c r="E121" s="453">
        <f>+C121+D121</f>
        <v>0</v>
      </c>
      <c r="F121" s="454">
        <v>0</v>
      </c>
      <c r="G121" s="454">
        <v>0</v>
      </c>
      <c r="H121" s="453">
        <f>+E121-F121</f>
        <v>0</v>
      </c>
      <c r="I121" s="452"/>
    </row>
    <row r="122" spans="1:9" x14ac:dyDescent="0.25">
      <c r="A122" s="471">
        <v>259</v>
      </c>
      <c r="B122" s="475" t="s">
        <v>607</v>
      </c>
      <c r="C122" s="453">
        <f>C123</f>
        <v>7651602.3899625549</v>
      </c>
      <c r="D122" s="453">
        <f>D123</f>
        <v>-2682294.9299999997</v>
      </c>
      <c r="E122" s="453">
        <f>+C122+D122</f>
        <v>4969307.4599625552</v>
      </c>
      <c r="F122" s="453">
        <v>407524.64</v>
      </c>
      <c r="G122" s="453">
        <v>294309.8</v>
      </c>
      <c r="H122" s="453">
        <f>+E122-F122</f>
        <v>4561782.8199625555</v>
      </c>
      <c r="I122" s="452">
        <f>+F122/E122</f>
        <v>8.2008336832326084E-2</v>
      </c>
    </row>
    <row r="123" spans="1:9" x14ac:dyDescent="0.25">
      <c r="A123" s="468">
        <v>25901</v>
      </c>
      <c r="B123" s="467" t="s">
        <v>607</v>
      </c>
      <c r="C123" s="454">
        <v>7651602.3899625549</v>
      </c>
      <c r="D123" s="454">
        <v>-2682294.9299999997</v>
      </c>
      <c r="E123" s="453">
        <f>+C123+D123</f>
        <v>4969307.4599625552</v>
      </c>
      <c r="F123" s="454">
        <v>407524.64</v>
      </c>
      <c r="G123" s="454">
        <v>294309.8</v>
      </c>
      <c r="H123" s="453">
        <f>+E123-F123</f>
        <v>4561782.8199625555</v>
      </c>
      <c r="I123" s="452">
        <f>+F123/E123</f>
        <v>8.2008336832326084E-2</v>
      </c>
    </row>
    <row r="124" spans="1:9" x14ac:dyDescent="0.25">
      <c r="A124" s="472">
        <v>2600</v>
      </c>
      <c r="B124" s="475" t="s">
        <v>606</v>
      </c>
      <c r="C124" s="453">
        <f>C125</f>
        <v>7323123.8132909173</v>
      </c>
      <c r="D124" s="453">
        <f>D125</f>
        <v>2871962.27</v>
      </c>
      <c r="E124" s="453">
        <f>+C124+D124</f>
        <v>10195086.083290918</v>
      </c>
      <c r="F124" s="453">
        <v>9265620.6900000013</v>
      </c>
      <c r="G124" s="453">
        <v>8220098.4399999995</v>
      </c>
      <c r="H124" s="453">
        <f>+E124-F124</f>
        <v>929465.39329091646</v>
      </c>
      <c r="I124" s="452">
        <f>+F124/E124</f>
        <v>0.90883202106412331</v>
      </c>
    </row>
    <row r="125" spans="1:9" x14ac:dyDescent="0.25">
      <c r="A125" s="471">
        <v>261</v>
      </c>
      <c r="B125" s="475" t="s">
        <v>606</v>
      </c>
      <c r="C125" s="453">
        <f>SUM(C126:C127)</f>
        <v>7323123.8132909173</v>
      </c>
      <c r="D125" s="453">
        <f>SUM(D126:D127)</f>
        <v>2871962.27</v>
      </c>
      <c r="E125" s="453">
        <f>+C125+D125</f>
        <v>10195086.083290918</v>
      </c>
      <c r="F125" s="453">
        <v>9265620.6900000013</v>
      </c>
      <c r="G125" s="453">
        <v>8220098.4399999995</v>
      </c>
      <c r="H125" s="453">
        <f>+E125-F125</f>
        <v>929465.39329091646</v>
      </c>
      <c r="I125" s="452">
        <f>+F125/E125</f>
        <v>0.90883202106412331</v>
      </c>
    </row>
    <row r="126" spans="1:9" x14ac:dyDescent="0.25">
      <c r="A126" s="468">
        <v>26101</v>
      </c>
      <c r="B126" s="467" t="s">
        <v>605</v>
      </c>
      <c r="C126" s="454">
        <v>6902254.4553108262</v>
      </c>
      <c r="D126" s="454">
        <f>2830889.27-1000-100-200</f>
        <v>2829589.27</v>
      </c>
      <c r="E126" s="453">
        <f>+C126+D126</f>
        <v>9731843.7253108267</v>
      </c>
      <c r="F126" s="454">
        <v>8883240.1600000001</v>
      </c>
      <c r="G126" s="454">
        <v>7871290.5099999998</v>
      </c>
      <c r="H126" s="453">
        <f>+E126-F126</f>
        <v>848603.56531082653</v>
      </c>
      <c r="I126" s="452">
        <f>+F126/E126</f>
        <v>0.9128013571463589</v>
      </c>
    </row>
    <row r="127" spans="1:9" x14ac:dyDescent="0.25">
      <c r="A127" s="468">
        <v>26102</v>
      </c>
      <c r="B127" s="467" t="s">
        <v>604</v>
      </c>
      <c r="C127" s="454">
        <v>420869.35798009124</v>
      </c>
      <c r="D127" s="454">
        <v>42373</v>
      </c>
      <c r="E127" s="453">
        <f>+C127+D127</f>
        <v>463242.35798009124</v>
      </c>
      <c r="F127" s="454">
        <v>382380.52999999997</v>
      </c>
      <c r="G127" s="454">
        <v>348807.93</v>
      </c>
      <c r="H127" s="453">
        <f>+E127-F127</f>
        <v>80861.827980091271</v>
      </c>
      <c r="I127" s="452">
        <f>+F127/E127</f>
        <v>0.8254437950521647</v>
      </c>
    </row>
    <row r="128" spans="1:9" ht="22.5" x14ac:dyDescent="0.25">
      <c r="A128" s="472">
        <v>2700</v>
      </c>
      <c r="B128" s="475" t="s">
        <v>603</v>
      </c>
      <c r="C128" s="453">
        <f>C129+C131</f>
        <v>2068168.613606584</v>
      </c>
      <c r="D128" s="453">
        <f>D129+D131</f>
        <v>271920.69</v>
      </c>
      <c r="E128" s="453">
        <f>+C128+D128</f>
        <v>2340089.3036065842</v>
      </c>
      <c r="F128" s="453">
        <v>875741.07000000007</v>
      </c>
      <c r="G128" s="453">
        <v>475913.26</v>
      </c>
      <c r="H128" s="453">
        <f>+E128-F128</f>
        <v>1464348.2336065841</v>
      </c>
      <c r="I128" s="452">
        <f>+F128/E128</f>
        <v>0.37423403826951968</v>
      </c>
    </row>
    <row r="129" spans="1:9" x14ac:dyDescent="0.25">
      <c r="A129" s="471">
        <v>271</v>
      </c>
      <c r="B129" s="475" t="s">
        <v>602</v>
      </c>
      <c r="C129" s="453">
        <f>C130</f>
        <v>1912274.6190116936</v>
      </c>
      <c r="D129" s="453">
        <f>D130</f>
        <v>234114.69</v>
      </c>
      <c r="E129" s="453">
        <f>+C129+D129</f>
        <v>2146389.3090116936</v>
      </c>
      <c r="F129" s="453">
        <v>688142.08000000007</v>
      </c>
      <c r="G129" s="453">
        <v>297570.08</v>
      </c>
      <c r="H129" s="453">
        <f>+E129-F129</f>
        <v>1458247.2290116935</v>
      </c>
      <c r="I129" s="452">
        <f>+F129/E129</f>
        <v>0.32060450409010638</v>
      </c>
    </row>
    <row r="130" spans="1:9" x14ac:dyDescent="0.25">
      <c r="A130" s="468">
        <v>27101</v>
      </c>
      <c r="B130" s="467" t="s">
        <v>602</v>
      </c>
      <c r="C130" s="454">
        <v>1912274.6190116936</v>
      </c>
      <c r="D130" s="454">
        <v>234114.69</v>
      </c>
      <c r="E130" s="453">
        <f>+C130+D130</f>
        <v>2146389.3090116936</v>
      </c>
      <c r="F130" s="454">
        <v>688142.08000000007</v>
      </c>
      <c r="G130" s="454">
        <v>297570.08</v>
      </c>
      <c r="H130" s="453">
        <f>+E130-F130</f>
        <v>1458247.2290116935</v>
      </c>
      <c r="I130" s="452">
        <f>+F130/E130</f>
        <v>0.32060450409010638</v>
      </c>
    </row>
    <row r="131" spans="1:9" x14ac:dyDescent="0.25">
      <c r="A131" s="471">
        <v>272</v>
      </c>
      <c r="B131" s="475" t="s">
        <v>601</v>
      </c>
      <c r="C131" s="453">
        <f>C132</f>
        <v>155893.99459489042</v>
      </c>
      <c r="D131" s="453">
        <f>D132</f>
        <v>37806</v>
      </c>
      <c r="E131" s="453">
        <f>+C131+D131</f>
        <v>193699.99459489042</v>
      </c>
      <c r="F131" s="453">
        <v>187598.99000000002</v>
      </c>
      <c r="G131" s="453">
        <v>178343.18000000002</v>
      </c>
      <c r="H131" s="453">
        <f>+E131-F131</f>
        <v>6101.0045948904008</v>
      </c>
      <c r="I131" s="452">
        <f>+F131/E131</f>
        <v>0.9685028148418372</v>
      </c>
    </row>
    <row r="132" spans="1:9" x14ac:dyDescent="0.25">
      <c r="A132" s="468">
        <v>27201</v>
      </c>
      <c r="B132" s="467" t="s">
        <v>601</v>
      </c>
      <c r="C132" s="454">
        <v>155893.99459489042</v>
      </c>
      <c r="D132" s="454">
        <v>37806</v>
      </c>
      <c r="E132" s="453">
        <f>+C132+D132</f>
        <v>193699.99459489042</v>
      </c>
      <c r="F132" s="454">
        <v>187598.99000000002</v>
      </c>
      <c r="G132" s="454">
        <v>178343.18000000002</v>
      </c>
      <c r="H132" s="453">
        <f>+E132-F132</f>
        <v>6101.0045948904008</v>
      </c>
      <c r="I132" s="452">
        <f>+F132/E132</f>
        <v>0.9685028148418372</v>
      </c>
    </row>
    <row r="133" spans="1:9" x14ac:dyDescent="0.25">
      <c r="A133" s="472">
        <v>2900</v>
      </c>
      <c r="B133" s="475" t="s">
        <v>600</v>
      </c>
      <c r="C133" s="453">
        <f>C134+C136+C138+C140+C144+C146+C142</f>
        <v>2387835.9546775939</v>
      </c>
      <c r="D133" s="453">
        <f>D134+D136+D138+D140+D144+D146+D142</f>
        <v>568405.53</v>
      </c>
      <c r="E133" s="453">
        <f>+C133+D133</f>
        <v>2956241.4846775942</v>
      </c>
      <c r="F133" s="453">
        <v>2133091.06</v>
      </c>
      <c r="G133" s="453">
        <v>1909873.5099999998</v>
      </c>
      <c r="H133" s="453">
        <f>+E133-F133</f>
        <v>823150.4246775941</v>
      </c>
      <c r="I133" s="452">
        <f>+F133/E133</f>
        <v>0.7215550796698984</v>
      </c>
    </row>
    <row r="134" spans="1:9" x14ac:dyDescent="0.25">
      <c r="A134" s="471">
        <v>291</v>
      </c>
      <c r="B134" s="475" t="s">
        <v>599</v>
      </c>
      <c r="C134" s="453">
        <f>C135</f>
        <v>251889.28417526121</v>
      </c>
      <c r="D134" s="453">
        <f>D135</f>
        <v>-12490.52</v>
      </c>
      <c r="E134" s="453">
        <f>+C134+D134</f>
        <v>239398.76417526123</v>
      </c>
      <c r="F134" s="453">
        <v>215399.77999999997</v>
      </c>
      <c r="G134" s="453">
        <v>213105.51</v>
      </c>
      <c r="H134" s="453">
        <f>+E134-F134</f>
        <v>23998.984175261256</v>
      </c>
      <c r="I134" s="452">
        <f>+F134/E134</f>
        <v>0.89975309915262613</v>
      </c>
    </row>
    <row r="135" spans="1:9" x14ac:dyDescent="0.25">
      <c r="A135" s="468">
        <v>29101</v>
      </c>
      <c r="B135" s="467" t="s">
        <v>599</v>
      </c>
      <c r="C135" s="454">
        <v>251889.28417526121</v>
      </c>
      <c r="D135" s="454">
        <v>-12490.52</v>
      </c>
      <c r="E135" s="453">
        <f>+C135+D135</f>
        <v>239398.76417526123</v>
      </c>
      <c r="F135" s="454">
        <v>215399.77999999997</v>
      </c>
      <c r="G135" s="454">
        <v>213105.51</v>
      </c>
      <c r="H135" s="453">
        <f>+E135-F135</f>
        <v>23998.984175261256</v>
      </c>
      <c r="I135" s="452">
        <f>+F135/E135</f>
        <v>0.89975309915262613</v>
      </c>
    </row>
    <row r="136" spans="1:9" x14ac:dyDescent="0.25">
      <c r="A136" s="471">
        <v>292</v>
      </c>
      <c r="B136" s="475" t="s">
        <v>598</v>
      </c>
      <c r="C136" s="453">
        <f>C137</f>
        <v>40453.74506604093</v>
      </c>
      <c r="D136" s="453">
        <f>D137</f>
        <v>-237</v>
      </c>
      <c r="E136" s="453">
        <f>+C136+D136</f>
        <v>40216.74506604093</v>
      </c>
      <c r="F136" s="453">
        <v>15956.449999999999</v>
      </c>
      <c r="G136" s="453">
        <v>15956.449999999999</v>
      </c>
      <c r="H136" s="453">
        <f>+E136-F136</f>
        <v>24260.295066040933</v>
      </c>
      <c r="I136" s="452">
        <f>+F136/E136</f>
        <v>0.39676134838355293</v>
      </c>
    </row>
    <row r="137" spans="1:9" x14ac:dyDescent="0.25">
      <c r="A137" s="468">
        <v>29201</v>
      </c>
      <c r="B137" s="467" t="s">
        <v>598</v>
      </c>
      <c r="C137" s="454">
        <v>40453.74506604093</v>
      </c>
      <c r="D137" s="454">
        <v>-237</v>
      </c>
      <c r="E137" s="453">
        <f>+C137+D137</f>
        <v>40216.74506604093</v>
      </c>
      <c r="F137" s="454">
        <v>15956.449999999999</v>
      </c>
      <c r="G137" s="454">
        <v>15956.449999999999</v>
      </c>
      <c r="H137" s="453">
        <f>+E137-F137</f>
        <v>24260.295066040933</v>
      </c>
      <c r="I137" s="452">
        <f>+F137/E137</f>
        <v>0.39676134838355293</v>
      </c>
    </row>
    <row r="138" spans="1:9" ht="22.5" x14ac:dyDescent="0.25">
      <c r="A138" s="471">
        <v>293</v>
      </c>
      <c r="B138" s="475" t="s">
        <v>597</v>
      </c>
      <c r="C138" s="453">
        <f>C139</f>
        <v>7147.9015132493396</v>
      </c>
      <c r="D138" s="453">
        <f>D139</f>
        <v>759</v>
      </c>
      <c r="E138" s="453">
        <f>+C138+D138</f>
        <v>7906.9015132493396</v>
      </c>
      <c r="F138" s="453">
        <v>6579.06</v>
      </c>
      <c r="G138" s="453">
        <v>6579.06</v>
      </c>
      <c r="H138" s="453">
        <f>+E138-F138</f>
        <v>1327.8415132493392</v>
      </c>
      <c r="I138" s="452">
        <f>+F138/E138</f>
        <v>0.83206550492322207</v>
      </c>
    </row>
    <row r="139" spans="1:9" ht="22.5" x14ac:dyDescent="0.25">
      <c r="A139" s="468">
        <v>29301</v>
      </c>
      <c r="B139" s="467" t="s">
        <v>596</v>
      </c>
      <c r="C139" s="454">
        <v>7147.9015132493396</v>
      </c>
      <c r="D139" s="454">
        <v>759</v>
      </c>
      <c r="E139" s="453">
        <f>+C139+D139</f>
        <v>7906.9015132493396</v>
      </c>
      <c r="F139" s="454">
        <v>6579.06</v>
      </c>
      <c r="G139" s="454">
        <v>6579.06</v>
      </c>
      <c r="H139" s="453">
        <f>+E139-F139</f>
        <v>1327.8415132493392</v>
      </c>
      <c r="I139" s="452">
        <f>+F139/E139</f>
        <v>0.83206550492322207</v>
      </c>
    </row>
    <row r="140" spans="1:9" ht="22.5" x14ac:dyDescent="0.25">
      <c r="A140" s="471">
        <v>294</v>
      </c>
      <c r="B140" s="475" t="s">
        <v>595</v>
      </c>
      <c r="C140" s="453">
        <f>C141</f>
        <v>66943.220433427457</v>
      </c>
      <c r="D140" s="453">
        <f>D141</f>
        <v>-12663.83</v>
      </c>
      <c r="E140" s="453">
        <f>+C140+D140</f>
        <v>54279.390433427456</v>
      </c>
      <c r="F140" s="453">
        <v>24397.54</v>
      </c>
      <c r="G140" s="453">
        <v>11417.98</v>
      </c>
      <c r="H140" s="453">
        <f>+E140-F140</f>
        <v>29881.850433427455</v>
      </c>
      <c r="I140" s="452">
        <f>+F140/E140</f>
        <v>0.44948072933728089</v>
      </c>
    </row>
    <row r="141" spans="1:9" ht="22.5" x14ac:dyDescent="0.25">
      <c r="A141" s="468">
        <v>29401</v>
      </c>
      <c r="B141" s="467" t="s">
        <v>595</v>
      </c>
      <c r="C141" s="454">
        <v>66943.220433427457</v>
      </c>
      <c r="D141" s="454">
        <v>-12663.83</v>
      </c>
      <c r="E141" s="453">
        <f>+C141+D141</f>
        <v>54279.390433427456</v>
      </c>
      <c r="F141" s="454">
        <v>24397.54</v>
      </c>
      <c r="G141" s="454">
        <v>11417.98</v>
      </c>
      <c r="H141" s="453">
        <f>+E141-F141</f>
        <v>29881.850433427455</v>
      </c>
      <c r="I141" s="452">
        <f>+F141/E141</f>
        <v>0.44948072933728089</v>
      </c>
    </row>
    <row r="142" spans="1:9" ht="22.5" x14ac:dyDescent="0.25">
      <c r="A142" s="471">
        <v>295</v>
      </c>
      <c r="B142" s="475" t="s">
        <v>594</v>
      </c>
      <c r="C142" s="453">
        <f>C143</f>
        <v>0</v>
      </c>
      <c r="D142" s="453">
        <f>D143</f>
        <v>4640</v>
      </c>
      <c r="E142" s="453">
        <f>+C142+D142</f>
        <v>4640</v>
      </c>
      <c r="F142" s="454">
        <v>4640</v>
      </c>
      <c r="G142" s="454">
        <v>4610</v>
      </c>
      <c r="H142" s="453">
        <f>+E142-F142</f>
        <v>0</v>
      </c>
      <c r="I142" s="452"/>
    </row>
    <row r="143" spans="1:9" x14ac:dyDescent="0.25">
      <c r="A143" s="468">
        <v>29501</v>
      </c>
      <c r="B143" s="467" t="s">
        <v>593</v>
      </c>
      <c r="C143" s="454"/>
      <c r="D143" s="454">
        <v>4640</v>
      </c>
      <c r="E143" s="453">
        <f>+C143+D143</f>
        <v>4640</v>
      </c>
      <c r="F143" s="454">
        <v>4640</v>
      </c>
      <c r="G143" s="454">
        <v>4610</v>
      </c>
      <c r="H143" s="453">
        <f>+E143-F143</f>
        <v>0</v>
      </c>
      <c r="I143" s="452"/>
    </row>
    <row r="144" spans="1:9" ht="22.5" x14ac:dyDescent="0.25">
      <c r="A144" s="471">
        <v>296</v>
      </c>
      <c r="B144" s="475" t="s">
        <v>592</v>
      </c>
      <c r="C144" s="453">
        <f>C145</f>
        <v>1228244.9277371359</v>
      </c>
      <c r="D144" s="453">
        <f>D145</f>
        <v>182172.68000000002</v>
      </c>
      <c r="E144" s="453">
        <f>+C144+D144</f>
        <v>1410417.6077371358</v>
      </c>
      <c r="F144" s="453">
        <v>952013.46</v>
      </c>
      <c r="G144" s="453">
        <v>773441.55999999994</v>
      </c>
      <c r="H144" s="453">
        <f>+E144-F144</f>
        <v>458404.14773713588</v>
      </c>
      <c r="I144" s="452">
        <f>+F144/E144</f>
        <v>0.67498693633540474</v>
      </c>
    </row>
    <row r="145" spans="1:9" x14ac:dyDescent="0.25">
      <c r="A145" s="468">
        <v>29601</v>
      </c>
      <c r="B145" s="467" t="s">
        <v>592</v>
      </c>
      <c r="C145" s="454">
        <v>1228244.9277371359</v>
      </c>
      <c r="D145" s="454">
        <v>182172.68000000002</v>
      </c>
      <c r="E145" s="453">
        <f>+C145+D145</f>
        <v>1410417.6077371358</v>
      </c>
      <c r="F145" s="454">
        <v>952013.46</v>
      </c>
      <c r="G145" s="454">
        <v>773441.55999999994</v>
      </c>
      <c r="H145" s="453">
        <f>+E145-F145</f>
        <v>458404.14773713588</v>
      </c>
      <c r="I145" s="452">
        <f>+F145/E145</f>
        <v>0.67498693633540474</v>
      </c>
    </row>
    <row r="146" spans="1:9" ht="22.5" x14ac:dyDescent="0.25">
      <c r="A146" s="471">
        <v>298</v>
      </c>
      <c r="B146" s="475" t="s">
        <v>591</v>
      </c>
      <c r="C146" s="453">
        <f>C147</f>
        <v>793156.87575247907</v>
      </c>
      <c r="D146" s="453">
        <f>D147</f>
        <v>406225.19999999995</v>
      </c>
      <c r="E146" s="453">
        <f>+C146+D146</f>
        <v>1199382.075752479</v>
      </c>
      <c r="F146" s="453">
        <v>914104.77</v>
      </c>
      <c r="G146" s="453">
        <v>884762.95000000007</v>
      </c>
      <c r="H146" s="453">
        <f>+E146-F146</f>
        <v>285277.30575247901</v>
      </c>
      <c r="I146" s="452">
        <f>+F146/E146</f>
        <v>0.76214643230056678</v>
      </c>
    </row>
    <row r="147" spans="1:9" ht="22.5" x14ac:dyDescent="0.25">
      <c r="A147" s="468">
        <v>29801</v>
      </c>
      <c r="B147" s="467" t="s">
        <v>591</v>
      </c>
      <c r="C147" s="454">
        <v>793156.87575247907</v>
      </c>
      <c r="D147" s="454">
        <v>406225.19999999995</v>
      </c>
      <c r="E147" s="453">
        <f>+C147+D147</f>
        <v>1199382.075752479</v>
      </c>
      <c r="F147" s="454">
        <v>914104.77</v>
      </c>
      <c r="G147" s="454">
        <v>884762.95000000007</v>
      </c>
      <c r="H147" s="453">
        <f>+E147-F147</f>
        <v>285277.30575247901</v>
      </c>
      <c r="I147" s="452">
        <f>+F147/E147</f>
        <v>0.76214643230056678</v>
      </c>
    </row>
    <row r="148" spans="1:9" x14ac:dyDescent="0.25">
      <c r="A148" s="468"/>
      <c r="B148" s="467"/>
      <c r="C148" s="454">
        <v>0</v>
      </c>
      <c r="D148" s="454">
        <v>0</v>
      </c>
      <c r="E148" s="453">
        <f>+C148+D148</f>
        <v>0</v>
      </c>
      <c r="F148" s="454">
        <v>0</v>
      </c>
      <c r="G148" s="454">
        <v>0</v>
      </c>
      <c r="H148" s="453">
        <f>+E148-F148</f>
        <v>0</v>
      </c>
      <c r="I148" s="452"/>
    </row>
    <row r="149" spans="1:9" x14ac:dyDescent="0.25">
      <c r="A149" s="464">
        <v>3000</v>
      </c>
      <c r="B149" s="475" t="s">
        <v>590</v>
      </c>
      <c r="C149" s="453">
        <f>C150+C167+C181+C200+C209+C226+C235+C250+C259</f>
        <v>174368088.12890899</v>
      </c>
      <c r="D149" s="453">
        <f>D150+D167+D181+D200+D209+D226+D235+D250+D259</f>
        <v>12207798.039999999</v>
      </c>
      <c r="E149" s="453">
        <f>+C149+D149</f>
        <v>186575886.16890898</v>
      </c>
      <c r="F149" s="453">
        <v>146917757.80000001</v>
      </c>
      <c r="G149" s="453">
        <v>125805602.88</v>
      </c>
      <c r="H149" s="453">
        <f>+E149-F149</f>
        <v>39658128.368908972</v>
      </c>
      <c r="I149" s="452">
        <f>+F149/E149</f>
        <v>0.78744236898327746</v>
      </c>
    </row>
    <row r="150" spans="1:9" x14ac:dyDescent="0.25">
      <c r="A150" s="472">
        <v>3100</v>
      </c>
      <c r="B150" s="475" t="s">
        <v>589</v>
      </c>
      <c r="C150" s="453">
        <f>C151+C153+C155+C157+C159+C161+C163+C165</f>
        <v>111236399.01198274</v>
      </c>
      <c r="D150" s="453">
        <f>D151+D153+D155+D157+D159+D161+D163+D165</f>
        <v>-15792044.48</v>
      </c>
      <c r="E150" s="453">
        <f>+C150+D150</f>
        <v>95444354.531982735</v>
      </c>
      <c r="F150" s="453">
        <v>85721759.170000002</v>
      </c>
      <c r="G150" s="453">
        <v>81651922.379999995</v>
      </c>
      <c r="H150" s="453">
        <f>+E150-F150</f>
        <v>9722595.361982733</v>
      </c>
      <c r="I150" s="452">
        <f>+F150/E150</f>
        <v>0.89813336357442952</v>
      </c>
    </row>
    <row r="151" spans="1:9" x14ac:dyDescent="0.25">
      <c r="A151" s="471">
        <v>311</v>
      </c>
      <c r="B151" s="475" t="s">
        <v>588</v>
      </c>
      <c r="C151" s="453">
        <f>C152</f>
        <v>110500794.92643769</v>
      </c>
      <c r="D151" s="453">
        <f>D152</f>
        <v>-15799638.48</v>
      </c>
      <c r="E151" s="453">
        <f>+C151+D151</f>
        <v>94701156.446437687</v>
      </c>
      <c r="F151" s="453">
        <v>85177531.539999992</v>
      </c>
      <c r="G151" s="453">
        <v>81186891</v>
      </c>
      <c r="H151" s="453">
        <f>+E151-F151</f>
        <v>9523624.906437695</v>
      </c>
      <c r="I151" s="452">
        <f>+F151/E151</f>
        <v>0.89943496717672933</v>
      </c>
    </row>
    <row r="152" spans="1:9" x14ac:dyDescent="0.25">
      <c r="A152" s="468">
        <v>31101</v>
      </c>
      <c r="B152" s="467" t="s">
        <v>588</v>
      </c>
      <c r="C152" s="454">
        <v>110500794.92643769</v>
      </c>
      <c r="D152" s="454">
        <f>1583673.52-17383312</f>
        <v>-15799638.48</v>
      </c>
      <c r="E152" s="453">
        <f>+C152+D152</f>
        <v>94701156.446437687</v>
      </c>
      <c r="F152" s="454">
        <v>85177531.539999992</v>
      </c>
      <c r="G152" s="454">
        <v>81186891</v>
      </c>
      <c r="H152" s="453">
        <f>+E152-F152</f>
        <v>9523624.906437695</v>
      </c>
      <c r="I152" s="452">
        <f>+F152/E152</f>
        <v>0.89943496717672933</v>
      </c>
    </row>
    <row r="153" spans="1:9" x14ac:dyDescent="0.25">
      <c r="A153" s="471">
        <v>312</v>
      </c>
      <c r="B153" s="475" t="s">
        <v>587</v>
      </c>
      <c r="C153" s="453">
        <f>C154</f>
        <v>4499.7</v>
      </c>
      <c r="D153" s="453">
        <f>D154</f>
        <v>0</v>
      </c>
      <c r="E153" s="453">
        <f>+C153+D153</f>
        <v>4499.7</v>
      </c>
      <c r="F153" s="453">
        <v>1700.67</v>
      </c>
      <c r="G153" s="453">
        <v>1900.67</v>
      </c>
      <c r="H153" s="453">
        <f>+E153-F153</f>
        <v>2799.0299999999997</v>
      </c>
      <c r="I153" s="452">
        <f>+F153/E153</f>
        <v>0.37795186345756387</v>
      </c>
    </row>
    <row r="154" spans="1:9" x14ac:dyDescent="0.25">
      <c r="A154" s="468">
        <v>31201</v>
      </c>
      <c r="B154" s="467" t="s">
        <v>587</v>
      </c>
      <c r="C154" s="454">
        <v>4499.7</v>
      </c>
      <c r="D154" s="454">
        <v>0</v>
      </c>
      <c r="E154" s="453">
        <f>+C154+D154</f>
        <v>4499.7</v>
      </c>
      <c r="F154" s="454">
        <v>1700.67</v>
      </c>
      <c r="G154" s="454">
        <v>1900.67</v>
      </c>
      <c r="H154" s="453">
        <f>+E154-F154</f>
        <v>2799.0299999999997</v>
      </c>
      <c r="I154" s="452">
        <f>+F154/E154</f>
        <v>0.37795186345756387</v>
      </c>
    </row>
    <row r="155" spans="1:9" x14ac:dyDescent="0.25">
      <c r="A155" s="471">
        <v>313</v>
      </c>
      <c r="B155" s="475" t="s">
        <v>586</v>
      </c>
      <c r="C155" s="453">
        <f>C156</f>
        <v>49364</v>
      </c>
      <c r="D155" s="453">
        <f>D156</f>
        <v>0</v>
      </c>
      <c r="E155" s="453">
        <f>+C155+D155</f>
        <v>49364</v>
      </c>
      <c r="F155" s="453">
        <v>34183.599999999999</v>
      </c>
      <c r="G155" s="453">
        <v>34183.599999999999</v>
      </c>
      <c r="H155" s="453">
        <f>+E155-F155</f>
        <v>15180.400000000001</v>
      </c>
      <c r="I155" s="452">
        <f>+F155/E155</f>
        <v>0.69248035005266995</v>
      </c>
    </row>
    <row r="156" spans="1:9" x14ac:dyDescent="0.25">
      <c r="A156" s="468">
        <v>31301</v>
      </c>
      <c r="B156" s="467" t="s">
        <v>585</v>
      </c>
      <c r="C156" s="454">
        <v>49364</v>
      </c>
      <c r="D156" s="454">
        <v>0</v>
      </c>
      <c r="E156" s="453">
        <f>+C156+D156</f>
        <v>49364</v>
      </c>
      <c r="F156" s="454">
        <v>34183.599999999999</v>
      </c>
      <c r="G156" s="454">
        <v>34183.599999999999</v>
      </c>
      <c r="H156" s="453">
        <f>+E156-F156</f>
        <v>15180.400000000001</v>
      </c>
      <c r="I156" s="452">
        <f>+F156/E156</f>
        <v>0.69248035005266995</v>
      </c>
    </row>
    <row r="157" spans="1:9" x14ac:dyDescent="0.25">
      <c r="A157" s="471">
        <v>314</v>
      </c>
      <c r="B157" s="475" t="s">
        <v>584</v>
      </c>
      <c r="C157" s="453">
        <f>C158</f>
        <v>418510.70516212622</v>
      </c>
      <c r="D157" s="453">
        <f>D158</f>
        <v>-317</v>
      </c>
      <c r="E157" s="453">
        <f>+C157+D157</f>
        <v>418193.70516212622</v>
      </c>
      <c r="F157" s="453">
        <v>321291.05</v>
      </c>
      <c r="G157" s="453">
        <v>279850</v>
      </c>
      <c r="H157" s="453">
        <f>+E157-F157</f>
        <v>96902.655162126233</v>
      </c>
      <c r="I157" s="452">
        <f>+F157/E157</f>
        <v>0.76828284604485186</v>
      </c>
    </row>
    <row r="158" spans="1:9" x14ac:dyDescent="0.25">
      <c r="A158" s="468">
        <v>31401</v>
      </c>
      <c r="B158" s="467" t="s">
        <v>584</v>
      </c>
      <c r="C158" s="454">
        <v>418510.70516212622</v>
      </c>
      <c r="D158" s="454">
        <v>-317</v>
      </c>
      <c r="E158" s="453">
        <f>+C158+D158</f>
        <v>418193.70516212622</v>
      </c>
      <c r="F158" s="454">
        <v>321291.05</v>
      </c>
      <c r="G158" s="454">
        <v>279850</v>
      </c>
      <c r="H158" s="453">
        <f>+E158-F158</f>
        <v>96902.655162126233</v>
      </c>
      <c r="I158" s="452">
        <f>+F158/E158</f>
        <v>0.76828284604485186</v>
      </c>
    </row>
    <row r="159" spans="1:9" x14ac:dyDescent="0.25">
      <c r="A159" s="471">
        <v>315</v>
      </c>
      <c r="B159" s="475" t="s">
        <v>583</v>
      </c>
      <c r="C159" s="453">
        <f>C160</f>
        <v>3500</v>
      </c>
      <c r="D159" s="453">
        <f>D160</f>
        <v>4047</v>
      </c>
      <c r="E159" s="453">
        <f>+C159+D159</f>
        <v>7547</v>
      </c>
      <c r="F159" s="453">
        <v>4873.91</v>
      </c>
      <c r="G159" s="453">
        <v>4873.91</v>
      </c>
      <c r="H159" s="453">
        <f>+E159-F159</f>
        <v>2673.09</v>
      </c>
      <c r="I159" s="452">
        <f>+F159/E159</f>
        <v>0.6458076056711276</v>
      </c>
    </row>
    <row r="160" spans="1:9" x14ac:dyDescent="0.25">
      <c r="A160" s="468">
        <v>31501</v>
      </c>
      <c r="B160" s="467" t="s">
        <v>583</v>
      </c>
      <c r="C160" s="454">
        <v>3500</v>
      </c>
      <c r="D160" s="454">
        <v>4047</v>
      </c>
      <c r="E160" s="453">
        <f>+C160+D160</f>
        <v>7547</v>
      </c>
      <c r="F160" s="454">
        <v>4873.91</v>
      </c>
      <c r="G160" s="454">
        <v>4873.91</v>
      </c>
      <c r="H160" s="453">
        <f>+E160-F160</f>
        <v>2673.09</v>
      </c>
      <c r="I160" s="452">
        <f>+F160/E160</f>
        <v>0.6458076056711276</v>
      </c>
    </row>
    <row r="161" spans="1:9" x14ac:dyDescent="0.25">
      <c r="A161" s="471">
        <v>316</v>
      </c>
      <c r="B161" s="475" t="s">
        <v>582</v>
      </c>
      <c r="C161" s="453">
        <f>C162</f>
        <v>0</v>
      </c>
      <c r="D161" s="453">
        <v>0</v>
      </c>
      <c r="E161" s="453">
        <f>+C161+D161</f>
        <v>0</v>
      </c>
      <c r="F161" s="453">
        <v>0</v>
      </c>
      <c r="G161" s="453">
        <v>0</v>
      </c>
      <c r="H161" s="453">
        <f>+E161-F161</f>
        <v>0</v>
      </c>
      <c r="I161" s="452"/>
    </row>
    <row r="162" spans="1:9" x14ac:dyDescent="0.25">
      <c r="A162" s="468">
        <v>31601</v>
      </c>
      <c r="B162" s="467" t="s">
        <v>582</v>
      </c>
      <c r="C162" s="454">
        <v>0</v>
      </c>
      <c r="D162" s="454">
        <v>0</v>
      </c>
      <c r="E162" s="453">
        <f>+C162+D162</f>
        <v>0</v>
      </c>
      <c r="F162" s="454">
        <v>0</v>
      </c>
      <c r="G162" s="454">
        <v>0</v>
      </c>
      <c r="H162" s="453">
        <f>+E162-F162</f>
        <v>0</v>
      </c>
      <c r="I162" s="452"/>
    </row>
    <row r="163" spans="1:9" ht="22.5" x14ac:dyDescent="0.25">
      <c r="A163" s="471">
        <v>317</v>
      </c>
      <c r="B163" s="475" t="s">
        <v>581</v>
      </c>
      <c r="C163" s="453">
        <f>C164</f>
        <v>221230.98402013246</v>
      </c>
      <c r="D163" s="453">
        <f>D164</f>
        <v>3864</v>
      </c>
      <c r="E163" s="453">
        <f>+C163+D163</f>
        <v>225094.98402013246</v>
      </c>
      <c r="F163" s="453">
        <v>166062.29999999999</v>
      </c>
      <c r="G163" s="453">
        <v>128107.1</v>
      </c>
      <c r="H163" s="453">
        <f>+E163-F163</f>
        <v>59032.684020132467</v>
      </c>
      <c r="I163" s="452">
        <f>+F163/E163</f>
        <v>0.73774322747746079</v>
      </c>
    </row>
    <row r="164" spans="1:9" ht="22.5" x14ac:dyDescent="0.25">
      <c r="A164" s="468">
        <v>31701</v>
      </c>
      <c r="B164" s="467" t="s">
        <v>581</v>
      </c>
      <c r="C164" s="454">
        <v>221230.98402013246</v>
      </c>
      <c r="D164" s="454">
        <v>3864</v>
      </c>
      <c r="E164" s="453">
        <f>+C164+D164</f>
        <v>225094.98402013246</v>
      </c>
      <c r="F164" s="454">
        <v>166062.29999999999</v>
      </c>
      <c r="G164" s="454">
        <v>128107.1</v>
      </c>
      <c r="H164" s="453">
        <f>+E164-F164</f>
        <v>59032.684020132467</v>
      </c>
      <c r="I164" s="452">
        <f>+F164/E164</f>
        <v>0.73774322747746079</v>
      </c>
    </row>
    <row r="165" spans="1:9" x14ac:dyDescent="0.25">
      <c r="A165" s="471">
        <v>318</v>
      </c>
      <c r="B165" s="475" t="s">
        <v>580</v>
      </c>
      <c r="C165" s="453">
        <f>C166</f>
        <v>38498.696362792172</v>
      </c>
      <c r="D165" s="453">
        <f>D166</f>
        <v>0</v>
      </c>
      <c r="E165" s="453">
        <f>+C165+D165</f>
        <v>38498.696362792172</v>
      </c>
      <c r="F165" s="453">
        <v>16116.1</v>
      </c>
      <c r="G165" s="453">
        <v>16116.1</v>
      </c>
      <c r="H165" s="453">
        <f>+E165-F165</f>
        <v>22382.596362792174</v>
      </c>
      <c r="I165" s="452">
        <f>+F165/E165</f>
        <v>0.41861417457178429</v>
      </c>
    </row>
    <row r="166" spans="1:9" x14ac:dyDescent="0.25">
      <c r="A166" s="468">
        <v>31801</v>
      </c>
      <c r="B166" s="467" t="s">
        <v>579</v>
      </c>
      <c r="C166" s="454">
        <v>38498.696362792172</v>
      </c>
      <c r="D166" s="454">
        <v>0</v>
      </c>
      <c r="E166" s="453">
        <f>+C166+D166</f>
        <v>38498.696362792172</v>
      </c>
      <c r="F166" s="454">
        <v>16116.1</v>
      </c>
      <c r="G166" s="454">
        <v>16116.1</v>
      </c>
      <c r="H166" s="453">
        <f>+E166-F166</f>
        <v>22382.596362792174</v>
      </c>
      <c r="I166" s="452">
        <f>+F166/E166</f>
        <v>0.41861417457178429</v>
      </c>
    </row>
    <row r="167" spans="1:9" x14ac:dyDescent="0.25">
      <c r="A167" s="472">
        <v>3200</v>
      </c>
      <c r="B167" s="475" t="s">
        <v>578</v>
      </c>
      <c r="C167" s="453">
        <f>C168+C170+C172+C175+C177+C179</f>
        <v>5424645.4848321658</v>
      </c>
      <c r="D167" s="453">
        <f>D168+D170+D172+D175+D177+D179</f>
        <v>1804864.01</v>
      </c>
      <c r="E167" s="453">
        <f>+C167+D167</f>
        <v>7229509.4948321655</v>
      </c>
      <c r="F167" s="453">
        <v>5190587.84</v>
      </c>
      <c r="G167" s="453">
        <v>4195178.1999999993</v>
      </c>
      <c r="H167" s="453">
        <f>+E167-F167</f>
        <v>2038921.6548321657</v>
      </c>
      <c r="I167" s="452">
        <f>+F167/E167</f>
        <v>0.71797233874723621</v>
      </c>
    </row>
    <row r="168" spans="1:9" x14ac:dyDescent="0.25">
      <c r="A168" s="471">
        <v>321</v>
      </c>
      <c r="B168" s="475" t="s">
        <v>577</v>
      </c>
      <c r="C168" s="453">
        <f>C169</f>
        <v>736471.67713733204</v>
      </c>
      <c r="D168" s="453">
        <f>D169</f>
        <v>190000</v>
      </c>
      <c r="E168" s="453">
        <f>+C168+D168</f>
        <v>926471.67713733204</v>
      </c>
      <c r="F168" s="453">
        <v>117857.16</v>
      </c>
      <c r="G168" s="453">
        <v>104761.92</v>
      </c>
      <c r="H168" s="453">
        <f>+E168-F168</f>
        <v>808614.517137332</v>
      </c>
      <c r="I168" s="452">
        <f>+F168/E168</f>
        <v>0.12721075334343965</v>
      </c>
    </row>
    <row r="169" spans="1:9" x14ac:dyDescent="0.25">
      <c r="A169" s="468">
        <v>32101</v>
      </c>
      <c r="B169" s="467" t="s">
        <v>577</v>
      </c>
      <c r="C169" s="454">
        <v>736471.67713733204</v>
      </c>
      <c r="D169" s="454">
        <v>190000</v>
      </c>
      <c r="E169" s="453">
        <f>+C169+D169</f>
        <v>926471.67713733204</v>
      </c>
      <c r="F169" s="454">
        <v>117857.16</v>
      </c>
      <c r="G169" s="454">
        <v>104761.92</v>
      </c>
      <c r="H169" s="453">
        <f>+E169-F169</f>
        <v>808614.517137332</v>
      </c>
      <c r="I169" s="452">
        <f>+F169/E169</f>
        <v>0.12721075334343965</v>
      </c>
    </row>
    <row r="170" spans="1:9" x14ac:dyDescent="0.25">
      <c r="A170" s="471">
        <v>322</v>
      </c>
      <c r="B170" s="475" t="s">
        <v>576</v>
      </c>
      <c r="C170" s="453">
        <f>C171</f>
        <v>2580110.8765796819</v>
      </c>
      <c r="D170" s="453">
        <f>D171</f>
        <v>185068</v>
      </c>
      <c r="E170" s="453">
        <f>+C170+D170</f>
        <v>2765178.8765796819</v>
      </c>
      <c r="F170" s="453">
        <v>1783932.62</v>
      </c>
      <c r="G170" s="453">
        <v>1550048.06</v>
      </c>
      <c r="H170" s="453">
        <f>+E170-F170</f>
        <v>981246.25657968177</v>
      </c>
      <c r="I170" s="452">
        <f>+F170/E170</f>
        <v>0.64514185144021874</v>
      </c>
    </row>
    <row r="171" spans="1:9" x14ac:dyDescent="0.25">
      <c r="A171" s="468">
        <v>32201</v>
      </c>
      <c r="B171" s="467" t="s">
        <v>576</v>
      </c>
      <c r="C171" s="454">
        <v>2580110.8765796819</v>
      </c>
      <c r="D171" s="454">
        <v>185068</v>
      </c>
      <c r="E171" s="453">
        <f>+C171+D171</f>
        <v>2765178.8765796819</v>
      </c>
      <c r="F171" s="454">
        <v>1783932.62</v>
      </c>
      <c r="G171" s="454">
        <v>1550048.06</v>
      </c>
      <c r="H171" s="453">
        <f>+E171-F171</f>
        <v>981246.25657968177</v>
      </c>
      <c r="I171" s="452">
        <f>+F171/E171</f>
        <v>0.64514185144021874</v>
      </c>
    </row>
    <row r="172" spans="1:9" ht="22.5" x14ac:dyDescent="0.25">
      <c r="A172" s="471">
        <v>323</v>
      </c>
      <c r="B172" s="475" t="s">
        <v>575</v>
      </c>
      <c r="C172" s="453">
        <f>C173+C174</f>
        <v>692137.39333269931</v>
      </c>
      <c r="D172" s="453">
        <f>D173+D174</f>
        <v>182795.01</v>
      </c>
      <c r="E172" s="453">
        <f>+C172+D172</f>
        <v>874932.40333269932</v>
      </c>
      <c r="F172" s="453">
        <v>643876.55000000005</v>
      </c>
      <c r="G172" s="453">
        <v>618641.90999999992</v>
      </c>
      <c r="H172" s="453">
        <f>+E172-F172</f>
        <v>231055.85333269928</v>
      </c>
      <c r="I172" s="452">
        <f>+F172/E172</f>
        <v>0.73591576623224153</v>
      </c>
    </row>
    <row r="173" spans="1:9" x14ac:dyDescent="0.25">
      <c r="A173" s="468">
        <v>32301</v>
      </c>
      <c r="B173" s="467" t="s">
        <v>574</v>
      </c>
      <c r="C173" s="454">
        <v>59453.968637635495</v>
      </c>
      <c r="D173" s="454">
        <v>0</v>
      </c>
      <c r="E173" s="453">
        <f>+C173+D173</f>
        <v>59453.968637635495</v>
      </c>
      <c r="F173" s="454">
        <v>0</v>
      </c>
      <c r="G173" s="454">
        <v>0</v>
      </c>
      <c r="H173" s="453">
        <f>+E173-F173</f>
        <v>59453.968637635495</v>
      </c>
      <c r="I173" s="452">
        <f>+F173/E173</f>
        <v>0</v>
      </c>
    </row>
    <row r="174" spans="1:9" x14ac:dyDescent="0.25">
      <c r="A174" s="468">
        <v>32302</v>
      </c>
      <c r="B174" s="467" t="s">
        <v>573</v>
      </c>
      <c r="C174" s="454">
        <v>632683.42469506385</v>
      </c>
      <c r="D174" s="454">
        <v>182795.01</v>
      </c>
      <c r="E174" s="453">
        <f>+C174+D174</f>
        <v>815478.43469506386</v>
      </c>
      <c r="F174" s="454">
        <v>643876.55000000005</v>
      </c>
      <c r="G174" s="454">
        <v>618641.90999999992</v>
      </c>
      <c r="H174" s="453">
        <f>+E174-F174</f>
        <v>171601.88469506381</v>
      </c>
      <c r="I174" s="452">
        <f>+F174/E174</f>
        <v>0.78956907087404238</v>
      </c>
    </row>
    <row r="175" spans="1:9" x14ac:dyDescent="0.25">
      <c r="A175" s="471">
        <v>325</v>
      </c>
      <c r="B175" s="475" t="s">
        <v>572</v>
      </c>
      <c r="C175" s="453">
        <f>C176</f>
        <v>10000</v>
      </c>
      <c r="D175" s="453">
        <f>D176</f>
        <v>0</v>
      </c>
      <c r="E175" s="453">
        <f>+C175+D175</f>
        <v>10000</v>
      </c>
      <c r="F175" s="453">
        <v>0</v>
      </c>
      <c r="G175" s="453">
        <v>0</v>
      </c>
      <c r="H175" s="453">
        <f>+E175-F175</f>
        <v>10000</v>
      </c>
      <c r="I175" s="452">
        <f>+F175/E175</f>
        <v>0</v>
      </c>
    </row>
    <row r="176" spans="1:9" x14ac:dyDescent="0.25">
      <c r="A176" s="468">
        <v>32501</v>
      </c>
      <c r="B176" s="467" t="s">
        <v>572</v>
      </c>
      <c r="C176" s="454">
        <v>10000</v>
      </c>
      <c r="D176" s="454">
        <v>0</v>
      </c>
      <c r="E176" s="453">
        <f>+C176+D176</f>
        <v>10000</v>
      </c>
      <c r="F176" s="454">
        <v>0</v>
      </c>
      <c r="G176" s="454">
        <v>0</v>
      </c>
      <c r="H176" s="453">
        <f>+E176-F176</f>
        <v>10000</v>
      </c>
      <c r="I176" s="452">
        <f>+F176/E176</f>
        <v>0</v>
      </c>
    </row>
    <row r="177" spans="1:9" ht="22.5" x14ac:dyDescent="0.25">
      <c r="A177" s="471">
        <v>326</v>
      </c>
      <c r="B177" s="475" t="s">
        <v>571</v>
      </c>
      <c r="C177" s="453">
        <f>C178</f>
        <v>1398239.1990758115</v>
      </c>
      <c r="D177" s="453">
        <f>D178</f>
        <v>1247001</v>
      </c>
      <c r="E177" s="453">
        <f>+C177+D177</f>
        <v>2645240.1990758115</v>
      </c>
      <c r="F177" s="453">
        <v>2644921.5099999998</v>
      </c>
      <c r="G177" s="453">
        <v>1921726.31</v>
      </c>
      <c r="H177" s="453">
        <f>+E177-F177</f>
        <v>318.68907581176609</v>
      </c>
      <c r="I177" s="452">
        <f>+F177/E177</f>
        <v>0.99987952357750987</v>
      </c>
    </row>
    <row r="178" spans="1:9" x14ac:dyDescent="0.25">
      <c r="A178" s="468">
        <v>32601</v>
      </c>
      <c r="B178" s="467" t="s">
        <v>571</v>
      </c>
      <c r="C178" s="454">
        <v>1398239.1990758115</v>
      </c>
      <c r="D178" s="454">
        <v>1247001</v>
      </c>
      <c r="E178" s="453">
        <f>+C178+D178</f>
        <v>2645240.1990758115</v>
      </c>
      <c r="F178" s="454">
        <v>2644921.5099999998</v>
      </c>
      <c r="G178" s="454">
        <v>1921726.31</v>
      </c>
      <c r="H178" s="453">
        <f>+E178-F178</f>
        <v>318.68907581176609</v>
      </c>
      <c r="I178" s="452">
        <f>+F178/E178</f>
        <v>0.99987952357750987</v>
      </c>
    </row>
    <row r="179" spans="1:9" x14ac:dyDescent="0.25">
      <c r="A179" s="471">
        <v>329</v>
      </c>
      <c r="B179" s="475" t="s">
        <v>570</v>
      </c>
      <c r="C179" s="453">
        <f>C180</f>
        <v>7686.3387066406913</v>
      </c>
      <c r="D179" s="453">
        <f>D180</f>
        <v>0</v>
      </c>
      <c r="E179" s="453">
        <f>+C179+D179</f>
        <v>7686.3387066406913</v>
      </c>
      <c r="F179" s="453">
        <v>0</v>
      </c>
      <c r="G179" s="453">
        <v>0</v>
      </c>
      <c r="H179" s="453">
        <f>+E179-F179</f>
        <v>7686.3387066406913</v>
      </c>
      <c r="I179" s="452">
        <f>+F179/E179</f>
        <v>0</v>
      </c>
    </row>
    <row r="180" spans="1:9" x14ac:dyDescent="0.25">
      <c r="A180" s="468">
        <v>32901</v>
      </c>
      <c r="B180" s="467" t="s">
        <v>570</v>
      </c>
      <c r="C180" s="454">
        <v>7686.3387066406913</v>
      </c>
      <c r="D180" s="454">
        <v>0</v>
      </c>
      <c r="E180" s="453">
        <f>+C180+D180</f>
        <v>7686.3387066406913</v>
      </c>
      <c r="F180" s="454">
        <v>0</v>
      </c>
      <c r="G180" s="454">
        <v>0</v>
      </c>
      <c r="H180" s="453">
        <f>+E180-F180</f>
        <v>7686.3387066406913</v>
      </c>
      <c r="I180" s="452">
        <f>+F180/E180</f>
        <v>0</v>
      </c>
    </row>
    <row r="181" spans="1:9" ht="22.5" x14ac:dyDescent="0.25">
      <c r="A181" s="472">
        <v>3300</v>
      </c>
      <c r="B181" s="475" t="s">
        <v>569</v>
      </c>
      <c r="C181" s="453">
        <f>C182+C184+C186+C189+C191+C196+C198</f>
        <v>15544134.88463385</v>
      </c>
      <c r="D181" s="453">
        <f>D182+D184+D186+D189+D191+D196+D198</f>
        <v>-1222833.67</v>
      </c>
      <c r="E181" s="453">
        <f>+C181+D181</f>
        <v>14321301.21463385</v>
      </c>
      <c r="F181" s="453">
        <v>8301534.080000001</v>
      </c>
      <c r="G181" s="453">
        <v>5583408</v>
      </c>
      <c r="H181" s="453">
        <f>+E181-F181</f>
        <v>6019767.1346338494</v>
      </c>
      <c r="I181" s="452">
        <f>+F181/E181</f>
        <v>0.57966339479804352</v>
      </c>
    </row>
    <row r="182" spans="1:9" ht="22.5" x14ac:dyDescent="0.25">
      <c r="A182" s="471">
        <v>331</v>
      </c>
      <c r="B182" s="475" t="s">
        <v>568</v>
      </c>
      <c r="C182" s="453">
        <f>C183</f>
        <v>9403867.5919109844</v>
      </c>
      <c r="D182" s="453">
        <f>D183</f>
        <v>-2250088</v>
      </c>
      <c r="E182" s="453">
        <f>+C182+D182</f>
        <v>7153779.5919109844</v>
      </c>
      <c r="F182" s="453">
        <v>4678874.41</v>
      </c>
      <c r="G182" s="453">
        <v>2265994.9300000002</v>
      </c>
      <c r="H182" s="453">
        <f>+E182-F182</f>
        <v>2474905.1819109842</v>
      </c>
      <c r="I182" s="452">
        <f>+F182/E182</f>
        <v>0.65404229329214425</v>
      </c>
    </row>
    <row r="183" spans="1:9" x14ac:dyDescent="0.25">
      <c r="A183" s="468">
        <v>33101</v>
      </c>
      <c r="B183" s="467" t="s">
        <v>568</v>
      </c>
      <c r="C183" s="454">
        <v>9403867.5919109844</v>
      </c>
      <c r="D183" s="454">
        <f>-2110888-139200</f>
        <v>-2250088</v>
      </c>
      <c r="E183" s="453">
        <f>+C183+D183</f>
        <v>7153779.5919109844</v>
      </c>
      <c r="F183" s="454">
        <v>4678874.41</v>
      </c>
      <c r="G183" s="454">
        <v>2265994.9300000002</v>
      </c>
      <c r="H183" s="453">
        <f>+E183-F183</f>
        <v>2474905.1819109842</v>
      </c>
      <c r="I183" s="452">
        <f>+F183/E183</f>
        <v>0.65404229329214425</v>
      </c>
    </row>
    <row r="184" spans="1:9" ht="22.5" x14ac:dyDescent="0.25">
      <c r="A184" s="471">
        <v>332</v>
      </c>
      <c r="B184" s="475" t="s">
        <v>567</v>
      </c>
      <c r="C184" s="453">
        <f>C185</f>
        <v>836161.71267733793</v>
      </c>
      <c r="D184" s="453">
        <f>D185</f>
        <v>129387</v>
      </c>
      <c r="E184" s="453">
        <f>+C184+D184</f>
        <v>965548.71267733793</v>
      </c>
      <c r="F184" s="453">
        <v>469375.6</v>
      </c>
      <c r="G184" s="453">
        <v>438992.37</v>
      </c>
      <c r="H184" s="453">
        <f>+E184-F184</f>
        <v>496173.11267733795</v>
      </c>
      <c r="I184" s="452">
        <f>+F184/E184</f>
        <v>0.48612316896833097</v>
      </c>
    </row>
    <row r="185" spans="1:9" ht="22.5" x14ac:dyDescent="0.25">
      <c r="A185" s="468">
        <v>33201</v>
      </c>
      <c r="B185" s="467" t="s">
        <v>567</v>
      </c>
      <c r="C185" s="454">
        <v>836161.71267733793</v>
      </c>
      <c r="D185" s="454">
        <v>129387</v>
      </c>
      <c r="E185" s="453">
        <f>+C185+D185</f>
        <v>965548.71267733793</v>
      </c>
      <c r="F185" s="454">
        <v>469375.6</v>
      </c>
      <c r="G185" s="454">
        <v>438992.37</v>
      </c>
      <c r="H185" s="453">
        <f>+E185-F185</f>
        <v>496173.11267733795</v>
      </c>
      <c r="I185" s="452">
        <f>+F185/E185</f>
        <v>0.48612316896833097</v>
      </c>
    </row>
    <row r="186" spans="1:9" ht="22.5" x14ac:dyDescent="0.25">
      <c r="A186" s="471">
        <v>333</v>
      </c>
      <c r="B186" s="475" t="s">
        <v>566</v>
      </c>
      <c r="C186" s="453">
        <f>C187+C188</f>
        <v>745197.26600925426</v>
      </c>
      <c r="D186" s="453">
        <f>D187+D188</f>
        <v>399387.8</v>
      </c>
      <c r="E186" s="453">
        <f>+C186+D186</f>
        <v>1144585.0660092542</v>
      </c>
      <c r="F186" s="453">
        <v>760915.66</v>
      </c>
      <c r="G186" s="453">
        <v>674658.75</v>
      </c>
      <c r="H186" s="453">
        <f>+E186-F186</f>
        <v>383669.40600925416</v>
      </c>
      <c r="I186" s="452">
        <f>+F186/E186</f>
        <v>0.66479607553594267</v>
      </c>
    </row>
    <row r="187" spans="1:9" x14ac:dyDescent="0.25">
      <c r="A187" s="468">
        <v>33301</v>
      </c>
      <c r="B187" s="467" t="s">
        <v>565</v>
      </c>
      <c r="C187" s="454">
        <v>525197.26600925426</v>
      </c>
      <c r="D187" s="454">
        <v>399387.8</v>
      </c>
      <c r="E187" s="453">
        <f>+C187+D187</f>
        <v>924585.06600925419</v>
      </c>
      <c r="F187" s="454">
        <v>673915.66</v>
      </c>
      <c r="G187" s="454">
        <v>587658.75</v>
      </c>
      <c r="H187" s="453">
        <f>+E187-F187</f>
        <v>250669.40600925416</v>
      </c>
      <c r="I187" s="452">
        <f>+F187/E187</f>
        <v>0.72888443127119984</v>
      </c>
    </row>
    <row r="188" spans="1:9" x14ac:dyDescent="0.25">
      <c r="A188" s="468">
        <v>33302</v>
      </c>
      <c r="B188" s="467" t="s">
        <v>564</v>
      </c>
      <c r="C188" s="454">
        <v>220000</v>
      </c>
      <c r="D188" s="454">
        <v>0</v>
      </c>
      <c r="E188" s="453">
        <f>+C188+D188</f>
        <v>220000</v>
      </c>
      <c r="F188" s="454">
        <v>87000</v>
      </c>
      <c r="G188" s="454">
        <v>87000</v>
      </c>
      <c r="H188" s="453">
        <f>+E188-F188</f>
        <v>133000</v>
      </c>
      <c r="I188" s="452">
        <f>+F188/E188</f>
        <v>0.39545454545454545</v>
      </c>
    </row>
    <row r="189" spans="1:9" x14ac:dyDescent="0.25">
      <c r="A189" s="471">
        <v>334</v>
      </c>
      <c r="B189" s="475" t="s">
        <v>563</v>
      </c>
      <c r="C189" s="453">
        <f>C190</f>
        <v>265881.04072757409</v>
      </c>
      <c r="D189" s="453">
        <f>D190</f>
        <v>0</v>
      </c>
      <c r="E189" s="453">
        <f>+C189+D189</f>
        <v>265881.04072757409</v>
      </c>
      <c r="F189" s="453">
        <v>0</v>
      </c>
      <c r="G189" s="453">
        <v>0</v>
      </c>
      <c r="H189" s="453">
        <f>+E189-F189</f>
        <v>265881.04072757409</v>
      </c>
      <c r="I189" s="452">
        <f>+F189/E189</f>
        <v>0</v>
      </c>
    </row>
    <row r="190" spans="1:9" x14ac:dyDescent="0.25">
      <c r="A190" s="468">
        <v>33401</v>
      </c>
      <c r="B190" s="467" t="s">
        <v>563</v>
      </c>
      <c r="C190" s="454">
        <v>265881.04072757409</v>
      </c>
      <c r="D190" s="454">
        <v>0</v>
      </c>
      <c r="E190" s="453">
        <f>+C190+D190</f>
        <v>265881.04072757409</v>
      </c>
      <c r="F190" s="454">
        <v>0</v>
      </c>
      <c r="G190" s="454">
        <v>0</v>
      </c>
      <c r="H190" s="453">
        <f>+E190-F190</f>
        <v>265881.04072757409</v>
      </c>
      <c r="I190" s="452">
        <f>+F190/E190</f>
        <v>0</v>
      </c>
    </row>
    <row r="191" spans="1:9" ht="22.5" x14ac:dyDescent="0.25">
      <c r="A191" s="471">
        <v>336</v>
      </c>
      <c r="B191" s="475" t="s">
        <v>562</v>
      </c>
      <c r="C191" s="453">
        <f>C192+C193+C194+C195</f>
        <v>1747566.4327522446</v>
      </c>
      <c r="D191" s="453">
        <f>D192+D193+D194+D195</f>
        <v>99679.359999999986</v>
      </c>
      <c r="E191" s="453">
        <f>+C191+D191</f>
        <v>1847245.7927522445</v>
      </c>
      <c r="F191" s="453">
        <v>837016.83</v>
      </c>
      <c r="G191" s="453">
        <v>743140.01</v>
      </c>
      <c r="H191" s="453">
        <f>+E191-F191</f>
        <v>1010228.9627522446</v>
      </c>
      <c r="I191" s="452">
        <f>+F191/E191</f>
        <v>0.45311611117701539</v>
      </c>
    </row>
    <row r="192" spans="1:9" x14ac:dyDescent="0.25">
      <c r="A192" s="468">
        <v>33601</v>
      </c>
      <c r="B192" s="467" t="s">
        <v>561</v>
      </c>
      <c r="C192" s="454">
        <v>0</v>
      </c>
      <c r="D192" s="454">
        <v>0</v>
      </c>
      <c r="E192" s="453">
        <f>+C192+D192</f>
        <v>0</v>
      </c>
      <c r="F192" s="454">
        <v>0</v>
      </c>
      <c r="G192" s="454">
        <v>0</v>
      </c>
      <c r="H192" s="453">
        <f>+E192-F192</f>
        <v>0</v>
      </c>
      <c r="I192" s="452"/>
    </row>
    <row r="193" spans="1:9" x14ac:dyDescent="0.25">
      <c r="A193" s="468">
        <v>33603</v>
      </c>
      <c r="B193" s="467" t="s">
        <v>560</v>
      </c>
      <c r="C193" s="454">
        <v>1240362.7027522447</v>
      </c>
      <c r="D193" s="454">
        <v>-888</v>
      </c>
      <c r="E193" s="453">
        <f>+C193+D193</f>
        <v>1239474.7027522447</v>
      </c>
      <c r="F193" s="454">
        <v>498378.82</v>
      </c>
      <c r="G193" s="454">
        <v>422050.81999999995</v>
      </c>
      <c r="H193" s="453">
        <f>+E193-F193</f>
        <v>741095.88275224459</v>
      </c>
      <c r="I193" s="452">
        <f>+F193/E193</f>
        <v>0.4020887387966478</v>
      </c>
    </row>
    <row r="194" spans="1:9" x14ac:dyDescent="0.25">
      <c r="A194" s="468">
        <v>33605</v>
      </c>
      <c r="B194" s="467" t="s">
        <v>559</v>
      </c>
      <c r="C194" s="454">
        <v>397203.73</v>
      </c>
      <c r="D194" s="454">
        <v>100567.35999999999</v>
      </c>
      <c r="E194" s="453">
        <f>+C194+D194</f>
        <v>497771.08999999997</v>
      </c>
      <c r="F194" s="454">
        <v>283667.36</v>
      </c>
      <c r="G194" s="454">
        <v>283667.36</v>
      </c>
      <c r="H194" s="453">
        <f>+E194-F194</f>
        <v>214103.72999999998</v>
      </c>
      <c r="I194" s="452">
        <f>+F194/E194</f>
        <v>0.5698751207106062</v>
      </c>
    </row>
    <row r="195" spans="1:9" ht="22.5" x14ac:dyDescent="0.25">
      <c r="A195" s="468">
        <v>33608</v>
      </c>
      <c r="B195" s="467" t="s">
        <v>558</v>
      </c>
      <c r="C195" s="454">
        <v>110000</v>
      </c>
      <c r="D195" s="454"/>
      <c r="E195" s="453">
        <f>+C195+D195</f>
        <v>110000</v>
      </c>
      <c r="F195" s="454">
        <v>54970.65</v>
      </c>
      <c r="G195" s="454">
        <v>37421.83</v>
      </c>
      <c r="H195" s="453">
        <f>+E195-F195</f>
        <v>55029.35</v>
      </c>
      <c r="I195" s="452"/>
    </row>
    <row r="196" spans="1:9" x14ac:dyDescent="0.25">
      <c r="A196" s="471">
        <v>338</v>
      </c>
      <c r="B196" s="475" t="s">
        <v>557</v>
      </c>
      <c r="C196" s="453">
        <f>C197</f>
        <v>1320380.8405564548</v>
      </c>
      <c r="D196" s="453">
        <f>D197</f>
        <v>148800.17000000001</v>
      </c>
      <c r="E196" s="453">
        <f>+C196+D196</f>
        <v>1469181.0105564548</v>
      </c>
      <c r="F196" s="453">
        <v>243826.08</v>
      </c>
      <c r="G196" s="453">
        <v>198167.03999999998</v>
      </c>
      <c r="H196" s="453">
        <f>+E196-F196</f>
        <v>1225354.9305564547</v>
      </c>
      <c r="I196" s="452">
        <f>+F196/E196</f>
        <v>0.16596054417260026</v>
      </c>
    </row>
    <row r="197" spans="1:9" x14ac:dyDescent="0.25">
      <c r="A197" s="468">
        <v>33801</v>
      </c>
      <c r="B197" s="467" t="s">
        <v>557</v>
      </c>
      <c r="C197" s="454">
        <v>1320380.8405564548</v>
      </c>
      <c r="D197" s="454">
        <v>148800.17000000001</v>
      </c>
      <c r="E197" s="453">
        <f>+C197+D197</f>
        <v>1469181.0105564548</v>
      </c>
      <c r="F197" s="454">
        <v>243826.08</v>
      </c>
      <c r="G197" s="454">
        <v>198167.03999999998</v>
      </c>
      <c r="H197" s="453">
        <f>+E197-F197</f>
        <v>1225354.9305564547</v>
      </c>
      <c r="I197" s="452">
        <f>+F197/E197</f>
        <v>0.16596054417260026</v>
      </c>
    </row>
    <row r="198" spans="1:9" ht="22.5" x14ac:dyDescent="0.25">
      <c r="A198" s="471">
        <v>339</v>
      </c>
      <c r="B198" s="475" t="s">
        <v>556</v>
      </c>
      <c r="C198" s="453">
        <f>C199</f>
        <v>1225080</v>
      </c>
      <c r="D198" s="453">
        <f>D199</f>
        <v>250000</v>
      </c>
      <c r="E198" s="453">
        <f>+C198+D198</f>
        <v>1475080</v>
      </c>
      <c r="F198" s="453">
        <v>1311525.5</v>
      </c>
      <c r="G198" s="453">
        <v>1262454.8999999999</v>
      </c>
      <c r="H198" s="453">
        <f>+E198-F198</f>
        <v>163554.5</v>
      </c>
      <c r="I198" s="452">
        <f>+F198/E198</f>
        <v>0.88912160696369014</v>
      </c>
    </row>
    <row r="199" spans="1:9" x14ac:dyDescent="0.25">
      <c r="A199" s="468">
        <v>33901</v>
      </c>
      <c r="B199" s="467" t="s">
        <v>555</v>
      </c>
      <c r="C199" s="454">
        <v>1225080</v>
      </c>
      <c r="D199" s="454">
        <v>250000</v>
      </c>
      <c r="E199" s="453">
        <f>+C199+D199</f>
        <v>1475080</v>
      </c>
      <c r="F199" s="454">
        <v>1311525.5</v>
      </c>
      <c r="G199" s="454">
        <v>1262454.8999999999</v>
      </c>
      <c r="H199" s="453">
        <f>+E199-F199</f>
        <v>163554.5</v>
      </c>
      <c r="I199" s="452">
        <f>+F199/E199</f>
        <v>0.88912160696369014</v>
      </c>
    </row>
    <row r="200" spans="1:9" x14ac:dyDescent="0.25">
      <c r="A200" s="472">
        <v>3400</v>
      </c>
      <c r="B200" s="475" t="s">
        <v>554</v>
      </c>
      <c r="C200" s="453">
        <f>C201+C203+C205+C207</f>
        <v>17119181.076834731</v>
      </c>
      <c r="D200" s="453">
        <f>D201+D203+D205+D207</f>
        <v>-621522.35999999987</v>
      </c>
      <c r="E200" s="453">
        <f>+C200+D200</f>
        <v>16497658.716834731</v>
      </c>
      <c r="F200" s="453">
        <v>8002518.71</v>
      </c>
      <c r="G200" s="453">
        <v>7330551.8699999992</v>
      </c>
      <c r="H200" s="453">
        <f>+E200-F200</f>
        <v>8495140.0068347305</v>
      </c>
      <c r="I200" s="452">
        <f>+F200/E200</f>
        <v>0.48506996340238129</v>
      </c>
    </row>
    <row r="201" spans="1:9" x14ac:dyDescent="0.25">
      <c r="A201" s="471">
        <v>341</v>
      </c>
      <c r="B201" s="475" t="s">
        <v>553</v>
      </c>
      <c r="C201" s="453">
        <f>C202</f>
        <v>464642.94520270464</v>
      </c>
      <c r="D201" s="453">
        <f>D202</f>
        <v>69695</v>
      </c>
      <c r="E201" s="453">
        <f>+C201+D201</f>
        <v>534337.94520270464</v>
      </c>
      <c r="F201" s="453">
        <v>465826.01999999996</v>
      </c>
      <c r="G201" s="453">
        <v>453641.05</v>
      </c>
      <c r="H201" s="453">
        <f>+E201-F201</f>
        <v>68511.925202704675</v>
      </c>
      <c r="I201" s="452">
        <f>+F201/E201</f>
        <v>0.8717816583721858</v>
      </c>
    </row>
    <row r="202" spans="1:9" x14ac:dyDescent="0.25">
      <c r="A202" s="468">
        <v>34101</v>
      </c>
      <c r="B202" s="467" t="s">
        <v>553</v>
      </c>
      <c r="C202" s="454">
        <v>464642.94520270464</v>
      </c>
      <c r="D202" s="454">
        <v>69695</v>
      </c>
      <c r="E202" s="453">
        <f>+C202+D202</f>
        <v>534337.94520270464</v>
      </c>
      <c r="F202" s="454">
        <v>465826.01999999996</v>
      </c>
      <c r="G202" s="454">
        <v>453641.05</v>
      </c>
      <c r="H202" s="453">
        <f>+E202-F202</f>
        <v>68511.925202704675</v>
      </c>
      <c r="I202" s="452">
        <f>+F202/E202</f>
        <v>0.8717816583721858</v>
      </c>
    </row>
    <row r="203" spans="1:9" ht="22.5" x14ac:dyDescent="0.25">
      <c r="A203" s="471">
        <v>343</v>
      </c>
      <c r="B203" s="475" t="s">
        <v>552</v>
      </c>
      <c r="C203" s="453">
        <f>C204</f>
        <v>14737774.376984211</v>
      </c>
      <c r="D203" s="453">
        <f>D204</f>
        <v>-1982787.3599999999</v>
      </c>
      <c r="E203" s="453">
        <f>+C203+D203</f>
        <v>12754987.016984211</v>
      </c>
      <c r="F203" s="453">
        <v>5204088.47</v>
      </c>
      <c r="G203" s="453">
        <v>4545814.5999999996</v>
      </c>
      <c r="H203" s="453">
        <f>+E203-F203</f>
        <v>7550898.5469842115</v>
      </c>
      <c r="I203" s="452">
        <f>+F203/E203</f>
        <v>0.4080042153763363</v>
      </c>
    </row>
    <row r="204" spans="1:9" x14ac:dyDescent="0.25">
      <c r="A204" s="468">
        <v>34301</v>
      </c>
      <c r="B204" s="467" t="s">
        <v>552</v>
      </c>
      <c r="C204" s="454">
        <v>14737774.376984211</v>
      </c>
      <c r="D204" s="454">
        <v>-1982787.3599999999</v>
      </c>
      <c r="E204" s="453">
        <f>+C204+D204</f>
        <v>12754987.016984211</v>
      </c>
      <c r="F204" s="454">
        <v>5204088.47</v>
      </c>
      <c r="G204" s="454">
        <v>4545814.5999999996</v>
      </c>
      <c r="H204" s="453">
        <f>+E204-F204</f>
        <v>7550898.5469842115</v>
      </c>
      <c r="I204" s="452">
        <f>+F204/E204</f>
        <v>0.4080042153763363</v>
      </c>
    </row>
    <row r="205" spans="1:9" x14ac:dyDescent="0.25">
      <c r="A205" s="471">
        <v>344</v>
      </c>
      <c r="B205" s="475" t="s">
        <v>551</v>
      </c>
      <c r="C205" s="453">
        <f>C206</f>
        <v>1870029.4739672802</v>
      </c>
      <c r="D205" s="453">
        <f>D206</f>
        <v>1291570</v>
      </c>
      <c r="E205" s="453">
        <f>+C205+D205</f>
        <v>3161599.4739672802</v>
      </c>
      <c r="F205" s="453">
        <v>2318251.75</v>
      </c>
      <c r="G205" s="453">
        <v>2318251.75</v>
      </c>
      <c r="H205" s="453">
        <f>+E205-F205</f>
        <v>843347.72396728024</v>
      </c>
      <c r="I205" s="452">
        <f>+F205/E205</f>
        <v>0.73325282632685307</v>
      </c>
    </row>
    <row r="206" spans="1:9" x14ac:dyDescent="0.25">
      <c r="A206" s="468">
        <v>34401</v>
      </c>
      <c r="B206" s="467" t="s">
        <v>551</v>
      </c>
      <c r="C206" s="454">
        <v>1870029.4739672802</v>
      </c>
      <c r="D206" s="454">
        <v>1291570</v>
      </c>
      <c r="E206" s="453">
        <f>+C206+D206</f>
        <v>3161599.4739672802</v>
      </c>
      <c r="F206" s="454">
        <v>2318251.75</v>
      </c>
      <c r="G206" s="454">
        <v>2318251.75</v>
      </c>
      <c r="H206" s="453">
        <f>+E206-F206</f>
        <v>843347.72396728024</v>
      </c>
      <c r="I206" s="452">
        <f>+F206/E206</f>
        <v>0.73325282632685307</v>
      </c>
    </row>
    <row r="207" spans="1:9" x14ac:dyDescent="0.25">
      <c r="A207" s="471">
        <v>347</v>
      </c>
      <c r="B207" s="475" t="s">
        <v>550</v>
      </c>
      <c r="C207" s="453">
        <f>C208</f>
        <v>46734.280680538155</v>
      </c>
      <c r="D207" s="453">
        <f>D208</f>
        <v>0</v>
      </c>
      <c r="E207" s="453">
        <f>+C207+D207</f>
        <v>46734.280680538155</v>
      </c>
      <c r="F207" s="453">
        <v>14352.470000000001</v>
      </c>
      <c r="G207" s="453">
        <v>12844.470000000001</v>
      </c>
      <c r="H207" s="453">
        <f>+E207-F207</f>
        <v>32381.810680538154</v>
      </c>
      <c r="I207" s="452">
        <f>+F207/E207</f>
        <v>0.30710796851906802</v>
      </c>
    </row>
    <row r="208" spans="1:9" x14ac:dyDescent="0.25">
      <c r="A208" s="468">
        <v>34701</v>
      </c>
      <c r="B208" s="467" t="s">
        <v>550</v>
      </c>
      <c r="C208" s="454">
        <v>46734.280680538155</v>
      </c>
      <c r="D208" s="454">
        <v>0</v>
      </c>
      <c r="E208" s="453">
        <f>+C208+D208</f>
        <v>46734.280680538155</v>
      </c>
      <c r="F208" s="454">
        <v>14352.470000000001</v>
      </c>
      <c r="G208" s="454">
        <v>12844.470000000001</v>
      </c>
      <c r="H208" s="453">
        <f>+E208-F208</f>
        <v>32381.810680538154</v>
      </c>
      <c r="I208" s="452">
        <f>+F208/E208</f>
        <v>0.30710796851906802</v>
      </c>
    </row>
    <row r="209" spans="1:9" ht="22.5" x14ac:dyDescent="0.25">
      <c r="A209" s="472">
        <v>3500</v>
      </c>
      <c r="B209" s="475" t="s">
        <v>549</v>
      </c>
      <c r="C209" s="453">
        <f>C210+C212+C214+C217+C219+C222+C224</f>
        <v>8212615.9761829665</v>
      </c>
      <c r="D209" s="453">
        <f>D210+D212+D214+D217+D219+D222+D224</f>
        <v>2288016</v>
      </c>
      <c r="E209" s="453">
        <f>+C209+D209</f>
        <v>10500631.976182967</v>
      </c>
      <c r="F209" s="453">
        <v>7135192.0700000003</v>
      </c>
      <c r="G209" s="453">
        <v>5328731.1999999993</v>
      </c>
      <c r="H209" s="453">
        <f>+E209-F209</f>
        <v>3365439.9061829671</v>
      </c>
      <c r="I209" s="452">
        <f>+F209/E209</f>
        <v>0.67950120394502944</v>
      </c>
    </row>
    <row r="210" spans="1:9" x14ac:dyDescent="0.25">
      <c r="A210" s="471">
        <v>351</v>
      </c>
      <c r="B210" s="475" t="s">
        <v>548</v>
      </c>
      <c r="C210" s="453">
        <f>C211</f>
        <v>710043.3511171923</v>
      </c>
      <c r="D210" s="453">
        <f>D211</f>
        <v>14684</v>
      </c>
      <c r="E210" s="453">
        <f>+C210+D210</f>
        <v>724727.3511171923</v>
      </c>
      <c r="F210" s="453">
        <v>130321.22</v>
      </c>
      <c r="G210" s="453">
        <v>66666.239999999991</v>
      </c>
      <c r="H210" s="453">
        <f>+E210-F210</f>
        <v>594406.13111719233</v>
      </c>
      <c r="I210" s="452">
        <f>+F210/E210</f>
        <v>0.17982103172883612</v>
      </c>
    </row>
    <row r="211" spans="1:9" x14ac:dyDescent="0.25">
      <c r="A211" s="468">
        <v>35101</v>
      </c>
      <c r="B211" s="467" t="s">
        <v>547</v>
      </c>
      <c r="C211" s="454">
        <v>710043.3511171923</v>
      </c>
      <c r="D211" s="454">
        <v>14684</v>
      </c>
      <c r="E211" s="453">
        <f>+C211+D211</f>
        <v>724727.3511171923</v>
      </c>
      <c r="F211" s="454">
        <v>130321.22</v>
      </c>
      <c r="G211" s="454">
        <v>66666.239999999991</v>
      </c>
      <c r="H211" s="453">
        <f>+E211-F211</f>
        <v>594406.13111719233</v>
      </c>
      <c r="I211" s="452">
        <f>+F211/E211</f>
        <v>0.17982103172883612</v>
      </c>
    </row>
    <row r="212" spans="1:9" ht="22.5" x14ac:dyDescent="0.25">
      <c r="A212" s="471">
        <v>352</v>
      </c>
      <c r="B212" s="475" t="s">
        <v>546</v>
      </c>
      <c r="C212" s="453">
        <f>C213</f>
        <v>135157.74024212468</v>
      </c>
      <c r="D212" s="453">
        <f>D213</f>
        <v>34664</v>
      </c>
      <c r="E212" s="453">
        <f>+C212+D212</f>
        <v>169821.74024212468</v>
      </c>
      <c r="F212" s="453">
        <v>152038.53</v>
      </c>
      <c r="G212" s="453">
        <v>144127.73000000001</v>
      </c>
      <c r="H212" s="453">
        <f>+E212-F212</f>
        <v>17783.210242124682</v>
      </c>
      <c r="I212" s="452">
        <f>+F212/E212</f>
        <v>0.89528307614343061</v>
      </c>
    </row>
    <row r="213" spans="1:9" x14ac:dyDescent="0.25">
      <c r="A213" s="468">
        <v>35201</v>
      </c>
      <c r="B213" s="467" t="s">
        <v>545</v>
      </c>
      <c r="C213" s="454">
        <v>135157.74024212468</v>
      </c>
      <c r="D213" s="454">
        <v>34664</v>
      </c>
      <c r="E213" s="453">
        <f>+C213+D213</f>
        <v>169821.74024212468</v>
      </c>
      <c r="F213" s="454">
        <v>152038.53</v>
      </c>
      <c r="G213" s="454">
        <v>144127.73000000001</v>
      </c>
      <c r="H213" s="453">
        <f>+E213-F213</f>
        <v>17783.210242124682</v>
      </c>
      <c r="I213" s="452">
        <f>+F213/E213</f>
        <v>0.89528307614343061</v>
      </c>
    </row>
    <row r="214" spans="1:9" ht="22.5" x14ac:dyDescent="0.25">
      <c r="A214" s="471">
        <v>353</v>
      </c>
      <c r="B214" s="475" t="s">
        <v>544</v>
      </c>
      <c r="C214" s="453">
        <f>C215+C216</f>
        <v>25932.08532136105</v>
      </c>
      <c r="D214" s="453">
        <f>D215+D216</f>
        <v>0</v>
      </c>
      <c r="E214" s="453">
        <f>+C214+D214</f>
        <v>25932.08532136105</v>
      </c>
      <c r="F214" s="453">
        <v>1776</v>
      </c>
      <c r="G214" s="453">
        <v>1196</v>
      </c>
      <c r="H214" s="453">
        <f>+E214-F214</f>
        <v>24156.08532136105</v>
      </c>
      <c r="I214" s="452">
        <f>+F214/E214</f>
        <v>6.8486586326979834E-2</v>
      </c>
    </row>
    <row r="215" spans="1:9" x14ac:dyDescent="0.25">
      <c r="A215" s="468">
        <v>35301</v>
      </c>
      <c r="B215" s="467" t="s">
        <v>543</v>
      </c>
      <c r="C215" s="454">
        <v>0</v>
      </c>
      <c r="D215" s="454">
        <v>0</v>
      </c>
      <c r="E215" s="453">
        <f>+C215+D215</f>
        <v>0</v>
      </c>
      <c r="F215" s="454">
        <v>0</v>
      </c>
      <c r="G215" s="454">
        <v>0</v>
      </c>
      <c r="H215" s="453">
        <f>+E215-F215</f>
        <v>0</v>
      </c>
      <c r="I215" s="452"/>
    </row>
    <row r="216" spans="1:9" x14ac:dyDescent="0.25">
      <c r="A216" s="468">
        <v>35302</v>
      </c>
      <c r="B216" s="467" t="s">
        <v>542</v>
      </c>
      <c r="C216" s="454">
        <v>25932.08532136105</v>
      </c>
      <c r="D216" s="454">
        <v>0</v>
      </c>
      <c r="E216" s="453">
        <f>+C216+D216</f>
        <v>25932.08532136105</v>
      </c>
      <c r="F216" s="454">
        <v>1776</v>
      </c>
      <c r="G216" s="454">
        <v>1196</v>
      </c>
      <c r="H216" s="453">
        <f>+E216-F216</f>
        <v>24156.08532136105</v>
      </c>
      <c r="I216" s="452">
        <f>+F216/E216</f>
        <v>6.8486586326979834E-2</v>
      </c>
    </row>
    <row r="217" spans="1:9" x14ac:dyDescent="0.25">
      <c r="A217" s="471">
        <v>355</v>
      </c>
      <c r="B217" s="475" t="s">
        <v>541</v>
      </c>
      <c r="C217" s="453">
        <f>C218</f>
        <v>1692326.2405160463</v>
      </c>
      <c r="D217" s="453">
        <f>D218</f>
        <v>50420</v>
      </c>
      <c r="E217" s="453">
        <f>+C217+D217</f>
        <v>1742746.2405160463</v>
      </c>
      <c r="F217" s="453">
        <v>930949.94</v>
      </c>
      <c r="G217" s="453">
        <v>758451.39999999991</v>
      </c>
      <c r="H217" s="453">
        <f>+E217-F217</f>
        <v>811796.30051604635</v>
      </c>
      <c r="I217" s="452">
        <f>+F217/E217</f>
        <v>0.5341855964780825</v>
      </c>
    </row>
    <row r="218" spans="1:9" x14ac:dyDescent="0.25">
      <c r="A218" s="468">
        <v>35501</v>
      </c>
      <c r="B218" s="467" t="s">
        <v>540</v>
      </c>
      <c r="C218" s="454">
        <v>1692326.2405160463</v>
      </c>
      <c r="D218" s="454">
        <v>50420</v>
      </c>
      <c r="E218" s="453">
        <f>+C218+D218</f>
        <v>1742746.2405160463</v>
      </c>
      <c r="F218" s="454">
        <v>930949.94</v>
      </c>
      <c r="G218" s="454">
        <v>758451.39999999991</v>
      </c>
      <c r="H218" s="453">
        <f>+E218-F218</f>
        <v>811796.30051604635</v>
      </c>
      <c r="I218" s="452">
        <f>+F218/E218</f>
        <v>0.5341855964780825</v>
      </c>
    </row>
    <row r="219" spans="1:9" ht="22.5" x14ac:dyDescent="0.25">
      <c r="A219" s="471">
        <v>357</v>
      </c>
      <c r="B219" s="475" t="s">
        <v>539</v>
      </c>
      <c r="C219" s="453">
        <f>C220+C221</f>
        <v>5269468.1940494394</v>
      </c>
      <c r="D219" s="453">
        <f>D220+D221</f>
        <v>2175648</v>
      </c>
      <c r="E219" s="453">
        <f>+C219+D219</f>
        <v>7445116.1940494394</v>
      </c>
      <c r="F219" s="453">
        <v>5633278.9000000004</v>
      </c>
      <c r="G219" s="453">
        <v>4099593.19</v>
      </c>
      <c r="H219" s="453">
        <f>+E219-F219</f>
        <v>1811837.294049439</v>
      </c>
      <c r="I219" s="452">
        <f>+F219/E219</f>
        <v>0.75664083046849384</v>
      </c>
    </row>
    <row r="220" spans="1:9" x14ac:dyDescent="0.25">
      <c r="A220" s="468">
        <v>35701</v>
      </c>
      <c r="B220" s="467" t="s">
        <v>538</v>
      </c>
      <c r="C220" s="454">
        <v>5269468.1940494394</v>
      </c>
      <c r="D220" s="454">
        <v>2175648</v>
      </c>
      <c r="E220" s="453">
        <f>+C220+D220</f>
        <v>7445116.1940494394</v>
      </c>
      <c r="F220" s="454">
        <v>5633278.9000000004</v>
      </c>
      <c r="G220" s="454">
        <v>4099593.19</v>
      </c>
      <c r="H220" s="453">
        <f>+E220-F220</f>
        <v>1811837.294049439</v>
      </c>
      <c r="I220" s="452">
        <f>+F220/E220</f>
        <v>0.75664083046849384</v>
      </c>
    </row>
    <row r="221" spans="1:9" ht="22.5" x14ac:dyDescent="0.25">
      <c r="A221" s="468">
        <v>35702</v>
      </c>
      <c r="B221" s="467" t="s">
        <v>537</v>
      </c>
      <c r="C221" s="454">
        <v>0</v>
      </c>
      <c r="D221" s="454">
        <v>0</v>
      </c>
      <c r="E221" s="453">
        <f>+C221+D221</f>
        <v>0</v>
      </c>
      <c r="F221" s="454">
        <v>0</v>
      </c>
      <c r="G221" s="454">
        <v>0</v>
      </c>
      <c r="H221" s="453">
        <f>+E221-F221</f>
        <v>0</v>
      </c>
      <c r="I221" s="452"/>
    </row>
    <row r="222" spans="1:9" x14ac:dyDescent="0.25">
      <c r="A222" s="471">
        <v>358</v>
      </c>
      <c r="B222" s="475" t="s">
        <v>536</v>
      </c>
      <c r="C222" s="453">
        <f>C223</f>
        <v>229552.02061253379</v>
      </c>
      <c r="D222" s="453">
        <f>D223</f>
        <v>0</v>
      </c>
      <c r="E222" s="453">
        <f>+C222+D222</f>
        <v>229552.02061253379</v>
      </c>
      <c r="F222" s="453">
        <v>175073</v>
      </c>
      <c r="G222" s="453">
        <v>173817.04</v>
      </c>
      <c r="H222" s="453">
        <f>+E222-F222</f>
        <v>54479.020612533786</v>
      </c>
      <c r="I222" s="452">
        <f>+F222/E222</f>
        <v>0.76267244144851076</v>
      </c>
    </row>
    <row r="223" spans="1:9" x14ac:dyDescent="0.25">
      <c r="A223" s="468">
        <v>35801</v>
      </c>
      <c r="B223" s="467" t="s">
        <v>536</v>
      </c>
      <c r="C223" s="454">
        <v>229552.02061253379</v>
      </c>
      <c r="D223" s="454">
        <v>0</v>
      </c>
      <c r="E223" s="453">
        <f>+C223+D223</f>
        <v>229552.02061253379</v>
      </c>
      <c r="F223" s="454">
        <v>175073</v>
      </c>
      <c r="G223" s="454">
        <v>173817.04</v>
      </c>
      <c r="H223" s="453">
        <f>+E223-F223</f>
        <v>54479.020612533786</v>
      </c>
      <c r="I223" s="452">
        <f>+F223/E223</f>
        <v>0.76267244144851076</v>
      </c>
    </row>
    <row r="224" spans="1:9" x14ac:dyDescent="0.25">
      <c r="A224" s="471">
        <v>359</v>
      </c>
      <c r="B224" s="475" t="s">
        <v>535</v>
      </c>
      <c r="C224" s="453">
        <f>C225</f>
        <v>150136.34432426884</v>
      </c>
      <c r="D224" s="453">
        <f>D225</f>
        <v>12600</v>
      </c>
      <c r="E224" s="453">
        <f>+C224+D224</f>
        <v>162736.34432426884</v>
      </c>
      <c r="F224" s="453">
        <v>111754.48</v>
      </c>
      <c r="G224" s="453">
        <v>84879.6</v>
      </c>
      <c r="H224" s="453">
        <f>+E224-F224</f>
        <v>50981.864324268841</v>
      </c>
      <c r="I224" s="452">
        <f>+F224/E224</f>
        <v>0.68672109149335292</v>
      </c>
    </row>
    <row r="225" spans="1:9" x14ac:dyDescent="0.25">
      <c r="A225" s="468">
        <v>35901</v>
      </c>
      <c r="B225" s="467" t="s">
        <v>535</v>
      </c>
      <c r="C225" s="454">
        <v>150136.34432426884</v>
      </c>
      <c r="D225" s="454">
        <v>12600</v>
      </c>
      <c r="E225" s="453">
        <f>+C225+D225</f>
        <v>162736.34432426884</v>
      </c>
      <c r="F225" s="454">
        <v>111754.48</v>
      </c>
      <c r="G225" s="454">
        <v>84879.6</v>
      </c>
      <c r="H225" s="453">
        <f>+E225-F225</f>
        <v>50981.864324268841</v>
      </c>
      <c r="I225" s="452">
        <f>+F225/E225</f>
        <v>0.68672109149335292</v>
      </c>
    </row>
    <row r="226" spans="1:9" x14ac:dyDescent="0.25">
      <c r="A226" s="472">
        <v>3600</v>
      </c>
      <c r="B226" s="475" t="s">
        <v>534</v>
      </c>
      <c r="C226" s="453">
        <f>C227+C229+C231+C233</f>
        <v>1384669.3778340495</v>
      </c>
      <c r="D226" s="453">
        <f>D227+D229+D231+D233</f>
        <v>181200</v>
      </c>
      <c r="E226" s="453">
        <f>+C226+D226</f>
        <v>1565869.3778340495</v>
      </c>
      <c r="F226" s="453">
        <v>925609</v>
      </c>
      <c r="G226" s="453">
        <v>476889</v>
      </c>
      <c r="H226" s="453">
        <f>+E226-F226</f>
        <v>640260.37783404952</v>
      </c>
      <c r="I226" s="452">
        <f>+F226/E226</f>
        <v>0.59111507837283717</v>
      </c>
    </row>
    <row r="227" spans="1:9" ht="33.75" x14ac:dyDescent="0.25">
      <c r="A227" s="471">
        <v>361</v>
      </c>
      <c r="B227" s="475" t="s">
        <v>533</v>
      </c>
      <c r="C227" s="453">
        <f>C228</f>
        <v>1143972.3808239913</v>
      </c>
      <c r="D227" s="453">
        <f>D228</f>
        <v>120000</v>
      </c>
      <c r="E227" s="453">
        <f>+C227+D227</f>
        <v>1263972.3808239913</v>
      </c>
      <c r="F227" s="453">
        <v>811929</v>
      </c>
      <c r="G227" s="453">
        <v>363209</v>
      </c>
      <c r="H227" s="453">
        <f>+E227-F227</f>
        <v>452043.38082399126</v>
      </c>
      <c r="I227" s="452">
        <f>+F227/E227</f>
        <v>0.642362928429416</v>
      </c>
    </row>
    <row r="228" spans="1:9" ht="22.5" x14ac:dyDescent="0.25">
      <c r="A228" s="468">
        <v>36101</v>
      </c>
      <c r="B228" s="467" t="s">
        <v>533</v>
      </c>
      <c r="C228" s="454">
        <v>1143972.3808239913</v>
      </c>
      <c r="D228" s="454">
        <v>120000</v>
      </c>
      <c r="E228" s="453">
        <f>+C228+D228</f>
        <v>1263972.3808239913</v>
      </c>
      <c r="F228" s="454">
        <v>811929</v>
      </c>
      <c r="G228" s="454">
        <v>363209</v>
      </c>
      <c r="H228" s="453">
        <f>+E228-F228</f>
        <v>452043.38082399126</v>
      </c>
      <c r="I228" s="452">
        <f>+F228/E228</f>
        <v>0.642362928429416</v>
      </c>
    </row>
    <row r="229" spans="1:9" x14ac:dyDescent="0.25">
      <c r="A229" s="471">
        <v>364</v>
      </c>
      <c r="B229" s="475" t="s">
        <v>532</v>
      </c>
      <c r="C229" s="453">
        <f>C230</f>
        <v>387.80982328732495</v>
      </c>
      <c r="D229" s="453">
        <f>D230</f>
        <v>0</v>
      </c>
      <c r="E229" s="453">
        <f>+C229+D229</f>
        <v>387.80982328732495</v>
      </c>
      <c r="F229" s="453">
        <v>0</v>
      </c>
      <c r="G229" s="453">
        <v>0</v>
      </c>
      <c r="H229" s="453">
        <f>+E229-F229</f>
        <v>387.80982328732495</v>
      </c>
      <c r="I229" s="452">
        <f>+F229/E229</f>
        <v>0</v>
      </c>
    </row>
    <row r="230" spans="1:9" x14ac:dyDescent="0.25">
      <c r="A230" s="468">
        <v>36401</v>
      </c>
      <c r="B230" s="467" t="s">
        <v>532</v>
      </c>
      <c r="C230" s="454">
        <v>387.80982328732495</v>
      </c>
      <c r="D230" s="454">
        <v>0</v>
      </c>
      <c r="E230" s="453">
        <f>+C230+D230</f>
        <v>387.80982328732495</v>
      </c>
      <c r="F230" s="454">
        <v>0</v>
      </c>
      <c r="G230" s="454">
        <v>0</v>
      </c>
      <c r="H230" s="453">
        <f>+E230-F230</f>
        <v>387.80982328732495</v>
      </c>
      <c r="I230" s="452">
        <f>+F230/E230</f>
        <v>0</v>
      </c>
    </row>
    <row r="231" spans="1:9" x14ac:dyDescent="0.25">
      <c r="A231" s="471">
        <v>365</v>
      </c>
      <c r="B231" s="475" t="s">
        <v>531</v>
      </c>
      <c r="C231" s="453">
        <f>C232</f>
        <v>80000</v>
      </c>
      <c r="D231" s="453">
        <f>D232</f>
        <v>61200</v>
      </c>
      <c r="E231" s="453">
        <f>+C231+D231</f>
        <v>141200</v>
      </c>
      <c r="F231" s="454">
        <v>113680</v>
      </c>
      <c r="G231" s="454">
        <v>113680</v>
      </c>
      <c r="H231" s="453">
        <f>+E231-F231</f>
        <v>27520</v>
      </c>
      <c r="I231" s="452">
        <f>+F231/E231</f>
        <v>0.80509915014164302</v>
      </c>
    </row>
    <row r="232" spans="1:9" x14ac:dyDescent="0.25">
      <c r="A232" s="468">
        <v>36501</v>
      </c>
      <c r="B232" s="467" t="s">
        <v>531</v>
      </c>
      <c r="C232" s="454">
        <v>80000</v>
      </c>
      <c r="D232" s="454">
        <v>61200</v>
      </c>
      <c r="E232" s="453">
        <f>+C232+D232</f>
        <v>141200</v>
      </c>
      <c r="F232" s="454">
        <v>113680</v>
      </c>
      <c r="G232" s="454">
        <v>113680</v>
      </c>
      <c r="H232" s="453">
        <f>+E232-F232</f>
        <v>27520</v>
      </c>
      <c r="I232" s="452">
        <f>+F232/E232</f>
        <v>0.80509915014164302</v>
      </c>
    </row>
    <row r="233" spans="1:9" x14ac:dyDescent="0.25">
      <c r="A233" s="471">
        <v>369</v>
      </c>
      <c r="B233" s="475" t="s">
        <v>530</v>
      </c>
      <c r="C233" s="453">
        <f>C234</f>
        <v>160309.18718677078</v>
      </c>
      <c r="D233" s="453">
        <f>D234</f>
        <v>0</v>
      </c>
      <c r="E233" s="453">
        <f>+C233+D233</f>
        <v>160309.18718677078</v>
      </c>
      <c r="F233" s="453">
        <v>0</v>
      </c>
      <c r="G233" s="453">
        <v>0</v>
      </c>
      <c r="H233" s="453">
        <f>+E233-F233</f>
        <v>160309.18718677078</v>
      </c>
      <c r="I233" s="452">
        <f>+F233/E233</f>
        <v>0</v>
      </c>
    </row>
    <row r="234" spans="1:9" x14ac:dyDescent="0.25">
      <c r="A234" s="468">
        <v>36901</v>
      </c>
      <c r="B234" s="467" t="s">
        <v>530</v>
      </c>
      <c r="C234" s="454">
        <v>160309.18718677078</v>
      </c>
      <c r="D234" s="454">
        <v>0</v>
      </c>
      <c r="E234" s="453">
        <f>+C234+D234</f>
        <v>160309.18718677078</v>
      </c>
      <c r="F234" s="454">
        <v>0</v>
      </c>
      <c r="G234" s="454">
        <v>0</v>
      </c>
      <c r="H234" s="453">
        <f>+E234-F234</f>
        <v>160309.18718677078</v>
      </c>
      <c r="I234" s="452">
        <f>+F234/E234</f>
        <v>0</v>
      </c>
    </row>
    <row r="235" spans="1:9" x14ac:dyDescent="0.25">
      <c r="A235" s="472">
        <v>3700</v>
      </c>
      <c r="B235" s="475" t="s">
        <v>529</v>
      </c>
      <c r="C235" s="453">
        <f>C236+C239+C241+C244+C246+C248</f>
        <v>3092396.6332266806</v>
      </c>
      <c r="D235" s="453">
        <f>D236+D239+D241+D244+D246+D248</f>
        <v>247941</v>
      </c>
      <c r="E235" s="453">
        <f>+C235+D235</f>
        <v>3340337.6332266806</v>
      </c>
      <c r="F235" s="453">
        <v>1578498.78</v>
      </c>
      <c r="G235" s="453">
        <v>1573016.78</v>
      </c>
      <c r="H235" s="453">
        <f>+E235-F235</f>
        <v>1761838.8532266805</v>
      </c>
      <c r="I235" s="452">
        <f>+F235/E235</f>
        <v>0.47255665544060904</v>
      </c>
    </row>
    <row r="236" spans="1:9" x14ac:dyDescent="0.25">
      <c r="A236" s="471">
        <v>371</v>
      </c>
      <c r="B236" s="475" t="s">
        <v>528</v>
      </c>
      <c r="C236" s="453">
        <f>C237+C238</f>
        <v>726220.09522999078</v>
      </c>
      <c r="D236" s="453">
        <f>D237+D238</f>
        <v>0</v>
      </c>
      <c r="E236" s="453">
        <f>+C236+D236</f>
        <v>726220.09522999078</v>
      </c>
      <c r="F236" s="453">
        <v>102758</v>
      </c>
      <c r="G236" s="453">
        <v>97276</v>
      </c>
      <c r="H236" s="453">
        <f>+E236-F236</f>
        <v>623462.09522999078</v>
      </c>
      <c r="I236" s="452">
        <f>+F236/E236</f>
        <v>0.14149704844983252</v>
      </c>
    </row>
    <row r="237" spans="1:9" x14ac:dyDescent="0.25">
      <c r="A237" s="468">
        <v>37101</v>
      </c>
      <c r="B237" s="467" t="s">
        <v>527</v>
      </c>
      <c r="C237" s="454">
        <v>726220.09522999078</v>
      </c>
      <c r="D237" s="454">
        <v>0</v>
      </c>
      <c r="E237" s="453">
        <f>+C237+D237</f>
        <v>726220.09522999078</v>
      </c>
      <c r="F237" s="454">
        <v>102758</v>
      </c>
      <c r="G237" s="454">
        <v>97276</v>
      </c>
      <c r="H237" s="453">
        <f>+E237-F237</f>
        <v>623462.09522999078</v>
      </c>
      <c r="I237" s="452">
        <f>+F237/E237</f>
        <v>0.14149704844983252</v>
      </c>
    </row>
    <row r="238" spans="1:9" x14ac:dyDescent="0.25">
      <c r="A238" s="468">
        <v>37104</v>
      </c>
      <c r="B238" s="467" t="s">
        <v>526</v>
      </c>
      <c r="C238" s="454">
        <v>0</v>
      </c>
      <c r="D238" s="454">
        <v>0</v>
      </c>
      <c r="E238" s="453">
        <f>+C238+D238</f>
        <v>0</v>
      </c>
      <c r="F238" s="454">
        <v>0</v>
      </c>
      <c r="G238" s="454">
        <v>0</v>
      </c>
      <c r="H238" s="453">
        <f>+E238-F238</f>
        <v>0</v>
      </c>
      <c r="I238" s="452"/>
    </row>
    <row r="239" spans="1:9" x14ac:dyDescent="0.25">
      <c r="A239" s="471">
        <v>372</v>
      </c>
      <c r="B239" s="475" t="s">
        <v>525</v>
      </c>
      <c r="C239" s="453">
        <f>C240</f>
        <v>70186.502399999998</v>
      </c>
      <c r="D239" s="453">
        <f>D240</f>
        <v>0</v>
      </c>
      <c r="E239" s="453">
        <f>+C239+D239</f>
        <v>70186.502399999998</v>
      </c>
      <c r="F239" s="453">
        <v>24224.02</v>
      </c>
      <c r="G239" s="453">
        <v>24224.02</v>
      </c>
      <c r="H239" s="453">
        <f>+E239-F239</f>
        <v>45962.482399999994</v>
      </c>
      <c r="I239" s="452">
        <f>+F239/E239</f>
        <v>0.34513787083939379</v>
      </c>
    </row>
    <row r="240" spans="1:9" x14ac:dyDescent="0.25">
      <c r="A240" s="468">
        <v>37201</v>
      </c>
      <c r="B240" s="467" t="s">
        <v>525</v>
      </c>
      <c r="C240" s="454">
        <v>70186.502399999998</v>
      </c>
      <c r="D240" s="454">
        <v>0</v>
      </c>
      <c r="E240" s="453">
        <f>+C240+D240</f>
        <v>70186.502399999998</v>
      </c>
      <c r="F240" s="454">
        <v>24224.02</v>
      </c>
      <c r="G240" s="454">
        <v>24224.02</v>
      </c>
      <c r="H240" s="453">
        <f>+E240-F240</f>
        <v>45962.482399999994</v>
      </c>
      <c r="I240" s="452">
        <f>+F240/E240</f>
        <v>0.34513787083939379</v>
      </c>
    </row>
    <row r="241" spans="1:9" x14ac:dyDescent="0.25">
      <c r="A241" s="471">
        <v>375</v>
      </c>
      <c r="B241" s="475" t="s">
        <v>524</v>
      </c>
      <c r="C241" s="453">
        <f>C242+C243</f>
        <v>2083335.4873966896</v>
      </c>
      <c r="D241" s="453">
        <f>D242+D243</f>
        <v>247941</v>
      </c>
      <c r="E241" s="453">
        <f>+C241+D241</f>
        <v>2331276.4873966896</v>
      </c>
      <c r="F241" s="453">
        <v>1436831.76</v>
      </c>
      <c r="G241" s="453">
        <v>1436831.76</v>
      </c>
      <c r="H241" s="453">
        <f>+E241-F241</f>
        <v>894444.72739668959</v>
      </c>
      <c r="I241" s="452">
        <f>+F241/E241</f>
        <v>0.61632833675789955</v>
      </c>
    </row>
    <row r="242" spans="1:9" x14ac:dyDescent="0.25">
      <c r="A242" s="468">
        <v>37501</v>
      </c>
      <c r="B242" s="467" t="s">
        <v>524</v>
      </c>
      <c r="C242" s="454">
        <v>1358479.8643430811</v>
      </c>
      <c r="D242" s="454">
        <v>274094</v>
      </c>
      <c r="E242" s="453">
        <f>+C242+D242</f>
        <v>1632573.8643430811</v>
      </c>
      <c r="F242" s="454">
        <v>1058911.76</v>
      </c>
      <c r="G242" s="454">
        <v>1058911.76</v>
      </c>
      <c r="H242" s="453">
        <f>+E242-F242</f>
        <v>573662.10434308113</v>
      </c>
      <c r="I242" s="452">
        <f>+F242/E242</f>
        <v>0.64861491607063515</v>
      </c>
    </row>
    <row r="243" spans="1:9" x14ac:dyDescent="0.25">
      <c r="A243" s="468">
        <v>37502</v>
      </c>
      <c r="B243" s="467" t="s">
        <v>523</v>
      </c>
      <c r="C243" s="454">
        <v>724855.62305360846</v>
      </c>
      <c r="D243" s="454">
        <v>-26153</v>
      </c>
      <c r="E243" s="453">
        <f>+C243+D243</f>
        <v>698702.62305360846</v>
      </c>
      <c r="F243" s="454">
        <v>377920</v>
      </c>
      <c r="G243" s="454">
        <v>377920</v>
      </c>
      <c r="H243" s="453">
        <f>+E243-F243</f>
        <v>320782.62305360846</v>
      </c>
      <c r="I243" s="452">
        <f>+F243/E243</f>
        <v>0.54088819410515343</v>
      </c>
    </row>
    <row r="244" spans="1:9" x14ac:dyDescent="0.25">
      <c r="A244" s="471">
        <v>376</v>
      </c>
      <c r="B244" s="475" t="s">
        <v>522</v>
      </c>
      <c r="C244" s="453">
        <f>C245</f>
        <v>150303.92800000001</v>
      </c>
      <c r="D244" s="453">
        <f>D245</f>
        <v>0</v>
      </c>
      <c r="E244" s="453">
        <f>+C244+D244</f>
        <v>150303.92800000001</v>
      </c>
      <c r="F244" s="453">
        <v>3816</v>
      </c>
      <c r="G244" s="453">
        <v>3816</v>
      </c>
      <c r="H244" s="453">
        <f>+E244-F244</f>
        <v>146487.92800000001</v>
      </c>
      <c r="I244" s="452">
        <f>+F244/E244</f>
        <v>2.5388558042208981E-2</v>
      </c>
    </row>
    <row r="245" spans="1:9" x14ac:dyDescent="0.25">
      <c r="A245" s="468">
        <v>37601</v>
      </c>
      <c r="B245" s="467" t="s">
        <v>522</v>
      </c>
      <c r="C245" s="454">
        <v>150303.92800000001</v>
      </c>
      <c r="D245" s="454">
        <v>0</v>
      </c>
      <c r="E245" s="453">
        <f>+C245+D245</f>
        <v>150303.92800000001</v>
      </c>
      <c r="F245" s="454">
        <v>3816</v>
      </c>
      <c r="G245" s="454">
        <v>3816</v>
      </c>
      <c r="H245" s="453">
        <f>+E245-F245</f>
        <v>146487.92800000001</v>
      </c>
      <c r="I245" s="452">
        <f>+F245/E245</f>
        <v>2.5388558042208981E-2</v>
      </c>
    </row>
    <row r="246" spans="1:9" x14ac:dyDescent="0.25">
      <c r="A246" s="471">
        <v>378</v>
      </c>
      <c r="B246" s="475" t="s">
        <v>521</v>
      </c>
      <c r="C246" s="453">
        <f>C247</f>
        <v>13500</v>
      </c>
      <c r="D246" s="453">
        <f>D247</f>
        <v>0</v>
      </c>
      <c r="E246" s="453">
        <f>+C246+D246</f>
        <v>13500</v>
      </c>
      <c r="F246" s="453">
        <v>5153</v>
      </c>
      <c r="G246" s="453">
        <v>5153</v>
      </c>
      <c r="H246" s="453">
        <f>+E246-F246</f>
        <v>8347</v>
      </c>
      <c r="I246" s="452">
        <f>+F246/E246</f>
        <v>0.38170370370370371</v>
      </c>
    </row>
    <row r="247" spans="1:9" x14ac:dyDescent="0.25">
      <c r="A247" s="468">
        <v>37801</v>
      </c>
      <c r="B247" s="467" t="s">
        <v>521</v>
      </c>
      <c r="C247" s="454">
        <v>13500</v>
      </c>
      <c r="D247" s="454">
        <v>0</v>
      </c>
      <c r="E247" s="453">
        <f>+C247+D247</f>
        <v>13500</v>
      </c>
      <c r="F247" s="454">
        <v>5153</v>
      </c>
      <c r="G247" s="454">
        <v>5153</v>
      </c>
      <c r="H247" s="453">
        <f>+E247-F247</f>
        <v>8347</v>
      </c>
      <c r="I247" s="452">
        <f>+F247/E247</f>
        <v>0.38170370370370371</v>
      </c>
    </row>
    <row r="248" spans="1:9" x14ac:dyDescent="0.25">
      <c r="A248" s="471">
        <v>379</v>
      </c>
      <c r="B248" s="475" t="s">
        <v>520</v>
      </c>
      <c r="C248" s="453">
        <f>C249</f>
        <v>48850.620200000005</v>
      </c>
      <c r="D248" s="453">
        <f>D249</f>
        <v>0</v>
      </c>
      <c r="E248" s="453">
        <f>+C248+D248</f>
        <v>48850.620200000005</v>
      </c>
      <c r="F248" s="453">
        <v>5716</v>
      </c>
      <c r="G248" s="453">
        <v>5716</v>
      </c>
      <c r="H248" s="453">
        <f>+E248-F248</f>
        <v>43134.620200000005</v>
      </c>
      <c r="I248" s="452">
        <f>+F248/E248</f>
        <v>0.11700977339894651</v>
      </c>
    </row>
    <row r="249" spans="1:9" x14ac:dyDescent="0.25">
      <c r="A249" s="468">
        <v>37901</v>
      </c>
      <c r="B249" s="467" t="s">
        <v>519</v>
      </c>
      <c r="C249" s="454">
        <v>48850.620200000005</v>
      </c>
      <c r="D249" s="454">
        <v>0</v>
      </c>
      <c r="E249" s="453">
        <f>+C249+D249</f>
        <v>48850.620200000005</v>
      </c>
      <c r="F249" s="454">
        <v>5716</v>
      </c>
      <c r="G249" s="454">
        <v>5716</v>
      </c>
      <c r="H249" s="453">
        <f>+E249-F249</f>
        <v>43134.620200000005</v>
      </c>
      <c r="I249" s="452">
        <f>+F249/E249</f>
        <v>0.11700977339894651</v>
      </c>
    </row>
    <row r="250" spans="1:9" x14ac:dyDescent="0.25">
      <c r="A250" s="472">
        <v>3800</v>
      </c>
      <c r="B250" s="475" t="s">
        <v>518</v>
      </c>
      <c r="C250" s="453">
        <f>C251+C253+C255+C257</f>
        <v>182017.4938</v>
      </c>
      <c r="D250" s="453">
        <f>D251+D253+D255+D257</f>
        <v>9860</v>
      </c>
      <c r="E250" s="453">
        <f>+C250+D250</f>
        <v>191877.4938</v>
      </c>
      <c r="F250" s="453">
        <v>17287</v>
      </c>
      <c r="G250" s="453">
        <v>17287</v>
      </c>
      <c r="H250" s="453">
        <f>+E250-F250</f>
        <v>174590.4938</v>
      </c>
      <c r="I250" s="452">
        <f>+F250/E250</f>
        <v>9.0093943055243306E-2</v>
      </c>
    </row>
    <row r="251" spans="1:9" x14ac:dyDescent="0.25">
      <c r="A251" s="471">
        <v>381</v>
      </c>
      <c r="B251" s="475" t="s">
        <v>517</v>
      </c>
      <c r="C251" s="453">
        <f>C252</f>
        <v>23500</v>
      </c>
      <c r="D251" s="453">
        <f>D252</f>
        <v>9860</v>
      </c>
      <c r="E251" s="453">
        <f>+C251+D251</f>
        <v>33360</v>
      </c>
      <c r="F251" s="453">
        <v>17287</v>
      </c>
      <c r="G251" s="453">
        <v>17287</v>
      </c>
      <c r="H251" s="453">
        <f>+E251-F251</f>
        <v>16073</v>
      </c>
      <c r="I251" s="452">
        <f>+F251/E251</f>
        <v>0.51819544364508396</v>
      </c>
    </row>
    <row r="252" spans="1:9" x14ac:dyDescent="0.25">
      <c r="A252" s="468">
        <v>38101</v>
      </c>
      <c r="B252" s="467" t="s">
        <v>517</v>
      </c>
      <c r="C252" s="454">
        <v>23500</v>
      </c>
      <c r="D252" s="454">
        <v>9860</v>
      </c>
      <c r="E252" s="453">
        <f>+C252+D252</f>
        <v>33360</v>
      </c>
      <c r="F252" s="454">
        <v>17287</v>
      </c>
      <c r="G252" s="454">
        <v>17287</v>
      </c>
      <c r="H252" s="453">
        <f>+E252-F252</f>
        <v>16073</v>
      </c>
      <c r="I252" s="452">
        <f>+F252/E252</f>
        <v>0.51819544364508396</v>
      </c>
    </row>
    <row r="253" spans="1:9" x14ac:dyDescent="0.25">
      <c r="A253" s="471">
        <v>382</v>
      </c>
      <c r="B253" s="475" t="s">
        <v>516</v>
      </c>
      <c r="C253" s="453">
        <f>C254</f>
        <v>0</v>
      </c>
      <c r="D253" s="453">
        <v>0</v>
      </c>
      <c r="E253" s="453">
        <f>+C253+D253</f>
        <v>0</v>
      </c>
      <c r="F253" s="453">
        <v>0</v>
      </c>
      <c r="G253" s="453">
        <v>0</v>
      </c>
      <c r="H253" s="453">
        <f>+E253-F253</f>
        <v>0</v>
      </c>
      <c r="I253" s="452"/>
    </row>
    <row r="254" spans="1:9" x14ac:dyDescent="0.25">
      <c r="A254" s="468">
        <v>38201</v>
      </c>
      <c r="B254" s="467" t="s">
        <v>516</v>
      </c>
      <c r="C254" s="454">
        <v>0</v>
      </c>
      <c r="D254" s="454">
        <v>0</v>
      </c>
      <c r="E254" s="453">
        <f>+C254+D254</f>
        <v>0</v>
      </c>
      <c r="F254" s="454">
        <v>0</v>
      </c>
      <c r="G254" s="454">
        <v>0</v>
      </c>
      <c r="H254" s="453">
        <f>+E254-F254</f>
        <v>0</v>
      </c>
      <c r="I254" s="452"/>
    </row>
    <row r="255" spans="1:9" x14ac:dyDescent="0.25">
      <c r="A255" s="471">
        <v>383</v>
      </c>
      <c r="B255" s="475" t="s">
        <v>515</v>
      </c>
      <c r="C255" s="453">
        <f>C256</f>
        <v>158517.4938</v>
      </c>
      <c r="D255" s="453">
        <f>D256</f>
        <v>0</v>
      </c>
      <c r="E255" s="453">
        <f>+C255+D255</f>
        <v>158517.4938</v>
      </c>
      <c r="F255" s="453">
        <v>0</v>
      </c>
      <c r="G255" s="453">
        <v>0</v>
      </c>
      <c r="H255" s="453">
        <f>+E255-F255</f>
        <v>158517.4938</v>
      </c>
      <c r="I255" s="452">
        <f>+F255/E255</f>
        <v>0</v>
      </c>
    </row>
    <row r="256" spans="1:9" x14ac:dyDescent="0.25">
      <c r="A256" s="468">
        <v>38301</v>
      </c>
      <c r="B256" s="467" t="s">
        <v>515</v>
      </c>
      <c r="C256" s="454">
        <v>158517.4938</v>
      </c>
      <c r="D256" s="454">
        <v>0</v>
      </c>
      <c r="E256" s="453">
        <f>+C256+D256</f>
        <v>158517.4938</v>
      </c>
      <c r="F256" s="454">
        <v>0</v>
      </c>
      <c r="G256" s="454">
        <v>0</v>
      </c>
      <c r="H256" s="453">
        <f>+E256-F256</f>
        <v>158517.4938</v>
      </c>
      <c r="I256" s="452">
        <f>+F256/E256</f>
        <v>0</v>
      </c>
    </row>
    <row r="257" spans="1:9" x14ac:dyDescent="0.25">
      <c r="A257" s="471">
        <v>385</v>
      </c>
      <c r="B257" s="475" t="s">
        <v>514</v>
      </c>
      <c r="C257" s="453">
        <f>C258</f>
        <v>0</v>
      </c>
      <c r="D257" s="453">
        <v>0</v>
      </c>
      <c r="E257" s="453">
        <f>+C257+D257</f>
        <v>0</v>
      </c>
      <c r="F257" s="453">
        <v>0</v>
      </c>
      <c r="G257" s="453">
        <v>0</v>
      </c>
      <c r="H257" s="453">
        <f>+E257-F257</f>
        <v>0</v>
      </c>
      <c r="I257" s="452"/>
    </row>
    <row r="258" spans="1:9" x14ac:dyDescent="0.25">
      <c r="A258" s="468">
        <v>38501</v>
      </c>
      <c r="B258" s="467" t="s">
        <v>513</v>
      </c>
      <c r="C258" s="454">
        <v>0</v>
      </c>
      <c r="D258" s="454">
        <v>0</v>
      </c>
      <c r="E258" s="453">
        <f>+C258+D258</f>
        <v>0</v>
      </c>
      <c r="F258" s="454">
        <v>0</v>
      </c>
      <c r="G258" s="454">
        <v>0</v>
      </c>
      <c r="H258" s="453">
        <f>+E258-F258</f>
        <v>0</v>
      </c>
      <c r="I258" s="452"/>
    </row>
    <row r="259" spans="1:9" x14ac:dyDescent="0.25">
      <c r="A259" s="472">
        <v>3900</v>
      </c>
      <c r="B259" s="475" t="s">
        <v>512</v>
      </c>
      <c r="C259" s="453">
        <f>C260+C262+C264+C266</f>
        <v>12172028.189581791</v>
      </c>
      <c r="D259" s="453">
        <f>D260+D262+D264+D266</f>
        <v>25312317.539999999</v>
      </c>
      <c r="E259" s="453">
        <f>+C259+D259</f>
        <v>37484345.729581788</v>
      </c>
      <c r="F259" s="453">
        <v>30044771.150000002</v>
      </c>
      <c r="G259" s="453">
        <v>19648618.450000003</v>
      </c>
      <c r="H259" s="453">
        <f>+E259-F259</f>
        <v>7439574.5795817859</v>
      </c>
      <c r="I259" s="452">
        <f>+F259/E259</f>
        <v>0.80152849316746522</v>
      </c>
    </row>
    <row r="260" spans="1:9" x14ac:dyDescent="0.25">
      <c r="A260" s="471">
        <v>392</v>
      </c>
      <c r="B260" s="475" t="s">
        <v>511</v>
      </c>
      <c r="C260" s="453">
        <f>C261</f>
        <v>9212516.1936479136</v>
      </c>
      <c r="D260" s="453">
        <f>D261</f>
        <v>6397471.6399999997</v>
      </c>
      <c r="E260" s="453">
        <f>+C260+D260</f>
        <v>15609987.833647914</v>
      </c>
      <c r="F260" s="453">
        <v>10034626.530000001</v>
      </c>
      <c r="G260" s="453">
        <v>192347.39</v>
      </c>
      <c r="H260" s="453">
        <f>+E260-F260</f>
        <v>5575361.303647913</v>
      </c>
      <c r="I260" s="452">
        <f>+F260/E260</f>
        <v>0.64283371883032392</v>
      </c>
    </row>
    <row r="261" spans="1:9" x14ac:dyDescent="0.25">
      <c r="A261" s="468">
        <v>39201</v>
      </c>
      <c r="B261" s="467" t="s">
        <v>511</v>
      </c>
      <c r="C261" s="454">
        <v>9212516.1936479136</v>
      </c>
      <c r="D261" s="454">
        <v>6397471.6399999997</v>
      </c>
      <c r="E261" s="453">
        <f>+C261+D261</f>
        <v>15609987.833647914</v>
      </c>
      <c r="F261" s="454">
        <v>10034626.530000001</v>
      </c>
      <c r="G261" s="454">
        <v>192347.39</v>
      </c>
      <c r="H261" s="453">
        <f>+E261-F261</f>
        <v>5575361.303647913</v>
      </c>
      <c r="I261" s="452">
        <f>+F261/E261</f>
        <v>0.64283371883032392</v>
      </c>
    </row>
    <row r="262" spans="1:9" x14ac:dyDescent="0.25">
      <c r="A262" s="471">
        <v>395</v>
      </c>
      <c r="B262" s="475" t="s">
        <v>510</v>
      </c>
      <c r="C262" s="453">
        <f>C263</f>
        <v>1095290.4708353805</v>
      </c>
      <c r="D262" s="453">
        <f>D263</f>
        <v>18202532.899999999</v>
      </c>
      <c r="E262" s="453">
        <f>+C262+D262</f>
        <v>19297823.370835379</v>
      </c>
      <c r="F262" s="453">
        <v>17741440.090000004</v>
      </c>
      <c r="G262" s="453">
        <v>17748740.969999999</v>
      </c>
      <c r="H262" s="453">
        <f>+E262-F262</f>
        <v>1556383.2808353752</v>
      </c>
      <c r="I262" s="452">
        <f>+F262/E262</f>
        <v>0.91934928354730805</v>
      </c>
    </row>
    <row r="263" spans="1:9" x14ac:dyDescent="0.25">
      <c r="A263" s="468">
        <v>39501</v>
      </c>
      <c r="B263" s="467" t="s">
        <v>510</v>
      </c>
      <c r="C263" s="454">
        <v>1095290.4708353805</v>
      </c>
      <c r="D263" s="454">
        <v>18202532.899999999</v>
      </c>
      <c r="E263" s="453">
        <f>+C263+D263</f>
        <v>19297823.370835379</v>
      </c>
      <c r="F263" s="454">
        <v>17741440.090000004</v>
      </c>
      <c r="G263" s="454">
        <v>17748740.969999999</v>
      </c>
      <c r="H263" s="453">
        <f>+E263-F263</f>
        <v>1556383.2808353752</v>
      </c>
      <c r="I263" s="452">
        <f>+F263/E263</f>
        <v>0.91934928354730805</v>
      </c>
    </row>
    <row r="264" spans="1:9" x14ac:dyDescent="0.25">
      <c r="A264" s="471">
        <v>396</v>
      </c>
      <c r="B264" s="475" t="s">
        <v>509</v>
      </c>
      <c r="C264" s="453">
        <f>C265</f>
        <v>8599.8850984971123</v>
      </c>
      <c r="D264" s="453">
        <f>D265</f>
        <v>0</v>
      </c>
      <c r="E264" s="453">
        <f>+C264+D264</f>
        <v>8599.8850984971123</v>
      </c>
      <c r="F264" s="453">
        <v>0</v>
      </c>
      <c r="G264" s="453">
        <v>0</v>
      </c>
      <c r="H264" s="453">
        <f>+E264-F264</f>
        <v>8599.8850984971123</v>
      </c>
      <c r="I264" s="452">
        <f>+F264/E264</f>
        <v>0</v>
      </c>
    </row>
    <row r="265" spans="1:9" x14ac:dyDescent="0.25">
      <c r="A265" s="468">
        <v>39601</v>
      </c>
      <c r="B265" s="467" t="s">
        <v>508</v>
      </c>
      <c r="C265" s="454">
        <v>8599.8850984971123</v>
      </c>
      <c r="D265" s="454">
        <v>0</v>
      </c>
      <c r="E265" s="453">
        <f>+C265+D265</f>
        <v>8599.8850984971123</v>
      </c>
      <c r="F265" s="454">
        <v>0</v>
      </c>
      <c r="G265" s="454">
        <v>0</v>
      </c>
      <c r="H265" s="453">
        <f>+E265-F265</f>
        <v>8599.8850984971123</v>
      </c>
      <c r="I265" s="452">
        <f>+F265/E265</f>
        <v>0</v>
      </c>
    </row>
    <row r="266" spans="1:9" ht="22.5" x14ac:dyDescent="0.25">
      <c r="A266" s="471">
        <v>398</v>
      </c>
      <c r="B266" s="475" t="s">
        <v>507</v>
      </c>
      <c r="C266" s="453">
        <f>C267</f>
        <v>1855621.6400000001</v>
      </c>
      <c r="D266" s="453">
        <f>D267</f>
        <v>712313</v>
      </c>
      <c r="E266" s="453">
        <f>+C266+D266</f>
        <v>2567934.64</v>
      </c>
      <c r="F266" s="453">
        <v>2268704.5299999998</v>
      </c>
      <c r="G266" s="453">
        <v>1707530.09</v>
      </c>
      <c r="H266" s="453">
        <f>+E266-F266</f>
        <v>299230.11000000034</v>
      </c>
      <c r="I266" s="452">
        <f>+F266/E266</f>
        <v>0.88347440571929814</v>
      </c>
    </row>
    <row r="267" spans="1:9" x14ac:dyDescent="0.25">
      <c r="A267" s="468">
        <v>39801</v>
      </c>
      <c r="B267" s="467" t="s">
        <v>506</v>
      </c>
      <c r="C267" s="454">
        <v>1855621.6400000001</v>
      </c>
      <c r="D267" s="454">
        <v>712313</v>
      </c>
      <c r="E267" s="453">
        <f>+C267+D267</f>
        <v>2567934.64</v>
      </c>
      <c r="F267" s="454">
        <v>2268704.5299999998</v>
      </c>
      <c r="G267" s="454">
        <v>1707530.09</v>
      </c>
      <c r="H267" s="453">
        <f>+E267-F267</f>
        <v>299230.11000000034</v>
      </c>
      <c r="I267" s="452">
        <f>+F267/E267</f>
        <v>0.88347440571929814</v>
      </c>
    </row>
    <row r="268" spans="1:9" x14ac:dyDescent="0.25">
      <c r="A268" s="468"/>
      <c r="B268" s="467"/>
      <c r="C268" s="454"/>
      <c r="D268" s="454">
        <v>0</v>
      </c>
      <c r="E268" s="453"/>
      <c r="F268" s="454">
        <v>0</v>
      </c>
      <c r="G268" s="454">
        <v>0</v>
      </c>
      <c r="H268" s="453">
        <f>+E268-F268</f>
        <v>0</v>
      </c>
      <c r="I268" s="452"/>
    </row>
    <row r="269" spans="1:9" ht="22.5" x14ac:dyDescent="0.25">
      <c r="A269" s="464">
        <v>4000</v>
      </c>
      <c r="B269" s="475" t="s">
        <v>505</v>
      </c>
      <c r="C269" s="453">
        <f>C270+C275+C278+C280+C283</f>
        <v>0</v>
      </c>
      <c r="D269" s="453">
        <f>D270+D275+D278+D280+D283</f>
        <v>2162000</v>
      </c>
      <c r="E269" s="453">
        <f>+C269+D269</f>
        <v>2162000</v>
      </c>
      <c r="F269" s="453">
        <v>2161999.6800000002</v>
      </c>
      <c r="G269" s="453">
        <v>2161999.6800000002</v>
      </c>
      <c r="H269" s="453">
        <f>+E269-F269</f>
        <v>0.31999999983236194</v>
      </c>
      <c r="I269" s="452">
        <f>+F269/E269</f>
        <v>0.99999985198889929</v>
      </c>
    </row>
    <row r="270" spans="1:9" ht="22.5" x14ac:dyDescent="0.25">
      <c r="A270" s="472">
        <v>4100</v>
      </c>
      <c r="B270" s="475" t="s">
        <v>504</v>
      </c>
      <c r="C270" s="453">
        <f>C271+C273</f>
        <v>0</v>
      </c>
      <c r="D270" s="453">
        <v>0</v>
      </c>
      <c r="E270" s="453">
        <f>+C270+D270</f>
        <v>0</v>
      </c>
      <c r="F270" s="453">
        <v>0</v>
      </c>
      <c r="G270" s="453">
        <v>0</v>
      </c>
      <c r="H270" s="453">
        <f>+E270-F270</f>
        <v>0</v>
      </c>
      <c r="I270" s="452"/>
    </row>
    <row r="271" spans="1:9" x14ac:dyDescent="0.25">
      <c r="A271" s="471">
        <v>411</v>
      </c>
      <c r="B271" s="475" t="s">
        <v>503</v>
      </c>
      <c r="C271" s="453">
        <f>C272</f>
        <v>0</v>
      </c>
      <c r="D271" s="453">
        <v>0</v>
      </c>
      <c r="E271" s="453">
        <f>+C271+D271</f>
        <v>0</v>
      </c>
      <c r="F271" s="453">
        <v>0</v>
      </c>
      <c r="G271" s="453">
        <v>0</v>
      </c>
      <c r="H271" s="453">
        <f>+E271-F271</f>
        <v>0</v>
      </c>
      <c r="I271" s="452"/>
    </row>
    <row r="272" spans="1:9" x14ac:dyDescent="0.25">
      <c r="A272" s="468">
        <v>41104</v>
      </c>
      <c r="B272" s="467" t="s">
        <v>502</v>
      </c>
      <c r="C272" s="453">
        <v>0</v>
      </c>
      <c r="D272" s="453">
        <v>0</v>
      </c>
      <c r="E272" s="453">
        <f>+C272+D272</f>
        <v>0</v>
      </c>
      <c r="F272" s="453">
        <v>0</v>
      </c>
      <c r="G272" s="453">
        <v>0</v>
      </c>
      <c r="H272" s="453">
        <f>+E272-F272</f>
        <v>0</v>
      </c>
      <c r="I272" s="452"/>
    </row>
    <row r="273" spans="1:9" ht="22.5" x14ac:dyDescent="0.25">
      <c r="A273" s="471">
        <v>415</v>
      </c>
      <c r="B273" s="475" t="s">
        <v>501</v>
      </c>
      <c r="C273" s="453">
        <f>C274</f>
        <v>0</v>
      </c>
      <c r="D273" s="453">
        <v>0</v>
      </c>
      <c r="E273" s="453">
        <f>+C273+D273</f>
        <v>0</v>
      </c>
      <c r="F273" s="453">
        <v>0</v>
      </c>
      <c r="G273" s="453">
        <v>0</v>
      </c>
      <c r="H273" s="453">
        <f>+E273-F273</f>
        <v>0</v>
      </c>
      <c r="I273" s="452"/>
    </row>
    <row r="274" spans="1:9" x14ac:dyDescent="0.25">
      <c r="A274" s="468">
        <v>41502</v>
      </c>
      <c r="B274" s="467" t="s">
        <v>500</v>
      </c>
      <c r="C274" s="453">
        <v>0</v>
      </c>
      <c r="D274" s="453">
        <v>0</v>
      </c>
      <c r="E274" s="453">
        <f>+C274+D274</f>
        <v>0</v>
      </c>
      <c r="F274" s="453">
        <v>0</v>
      </c>
      <c r="G274" s="453">
        <v>0</v>
      </c>
      <c r="H274" s="453">
        <f>+E274-F274</f>
        <v>0</v>
      </c>
      <c r="I274" s="452"/>
    </row>
    <row r="275" spans="1:9" x14ac:dyDescent="0.25">
      <c r="A275" s="472">
        <v>4200</v>
      </c>
      <c r="B275" s="475" t="s">
        <v>499</v>
      </c>
      <c r="C275" s="453">
        <f>C276</f>
        <v>0</v>
      </c>
      <c r="D275" s="453">
        <f>D276</f>
        <v>2162000</v>
      </c>
      <c r="E275" s="453">
        <f>+C275+D275</f>
        <v>2162000</v>
      </c>
      <c r="F275" s="453">
        <v>2161999.6800000002</v>
      </c>
      <c r="G275" s="453">
        <v>2161999.6800000002</v>
      </c>
      <c r="H275" s="453">
        <f>+E275-F275</f>
        <v>0.31999999983236194</v>
      </c>
      <c r="I275" s="452">
        <f>+F275/E275</f>
        <v>0.99999985198889929</v>
      </c>
    </row>
    <row r="276" spans="1:9" ht="22.5" x14ac:dyDescent="0.25">
      <c r="A276" s="471">
        <v>424</v>
      </c>
      <c r="B276" s="475" t="s">
        <v>498</v>
      </c>
      <c r="C276" s="453">
        <f>C277</f>
        <v>0</v>
      </c>
      <c r="D276" s="453">
        <f>D277</f>
        <v>2162000</v>
      </c>
      <c r="E276" s="453">
        <f>+C276+D276</f>
        <v>2162000</v>
      </c>
      <c r="F276" s="453">
        <v>2161999.6800000002</v>
      </c>
      <c r="G276" s="453">
        <v>2161999.6800000002</v>
      </c>
      <c r="H276" s="453">
        <f>+E276-F276</f>
        <v>0.31999999983236194</v>
      </c>
      <c r="I276" s="452">
        <f>+F276/E276</f>
        <v>0.99999985198889929</v>
      </c>
    </row>
    <row r="277" spans="1:9" ht="22.5" x14ac:dyDescent="0.25">
      <c r="A277" s="468">
        <v>42401</v>
      </c>
      <c r="B277" s="467" t="s">
        <v>498</v>
      </c>
      <c r="C277" s="454">
        <v>0</v>
      </c>
      <c r="D277" s="454">
        <v>2162000</v>
      </c>
      <c r="E277" s="453">
        <f>+C277+D277</f>
        <v>2162000</v>
      </c>
      <c r="F277" s="454">
        <v>2161999.6800000002</v>
      </c>
      <c r="G277" s="454">
        <v>2161999.6800000002</v>
      </c>
      <c r="H277" s="453">
        <f>+E277-F277</f>
        <v>0.31999999983236194</v>
      </c>
      <c r="I277" s="452">
        <f>+F277/E277</f>
        <v>0.99999985198889929</v>
      </c>
    </row>
    <row r="278" spans="1:9" x14ac:dyDescent="0.25">
      <c r="A278" s="472">
        <v>4300</v>
      </c>
      <c r="B278" s="475" t="s">
        <v>497</v>
      </c>
      <c r="C278" s="453">
        <f>C279</f>
        <v>0</v>
      </c>
      <c r="D278" s="453">
        <v>0</v>
      </c>
      <c r="E278" s="453">
        <f>+C278+D278</f>
        <v>0</v>
      </c>
      <c r="F278" s="453">
        <v>0</v>
      </c>
      <c r="G278" s="453">
        <v>0</v>
      </c>
      <c r="H278" s="453">
        <f>+E278-F278</f>
        <v>0</v>
      </c>
      <c r="I278" s="452"/>
    </row>
    <row r="279" spans="1:9" x14ac:dyDescent="0.25">
      <c r="A279" s="468">
        <v>43401</v>
      </c>
      <c r="B279" s="467" t="s">
        <v>497</v>
      </c>
      <c r="C279" s="454">
        <v>0</v>
      </c>
      <c r="D279" s="454">
        <v>0</v>
      </c>
      <c r="E279" s="453">
        <f>+C279+D279</f>
        <v>0</v>
      </c>
      <c r="F279" s="454">
        <v>0</v>
      </c>
      <c r="G279" s="454">
        <v>0</v>
      </c>
      <c r="H279" s="453">
        <f>+E279-F279</f>
        <v>0</v>
      </c>
      <c r="I279" s="452"/>
    </row>
    <row r="280" spans="1:9" x14ac:dyDescent="0.25">
      <c r="A280" s="472">
        <v>4400</v>
      </c>
      <c r="B280" s="475" t="s">
        <v>496</v>
      </c>
      <c r="C280" s="453">
        <f>C281</f>
        <v>0</v>
      </c>
      <c r="D280" s="453">
        <v>0</v>
      </c>
      <c r="E280" s="453">
        <f>+C280+D280</f>
        <v>0</v>
      </c>
      <c r="F280" s="453">
        <v>0</v>
      </c>
      <c r="G280" s="453">
        <v>0</v>
      </c>
      <c r="H280" s="453">
        <f>+E280-F280</f>
        <v>0</v>
      </c>
      <c r="I280" s="452"/>
    </row>
    <row r="281" spans="1:9" x14ac:dyDescent="0.25">
      <c r="A281" s="471">
        <v>442</v>
      </c>
      <c r="B281" s="475" t="s">
        <v>495</v>
      </c>
      <c r="C281" s="453">
        <f>C282</f>
        <v>0</v>
      </c>
      <c r="D281" s="453">
        <v>0</v>
      </c>
      <c r="E281" s="453">
        <f>+C281+D281</f>
        <v>0</v>
      </c>
      <c r="F281" s="453">
        <v>0</v>
      </c>
      <c r="G281" s="453">
        <v>0</v>
      </c>
      <c r="H281" s="453">
        <f>+E281-F281</f>
        <v>0</v>
      </c>
      <c r="I281" s="452"/>
    </row>
    <row r="282" spans="1:9" x14ac:dyDescent="0.25">
      <c r="A282" s="468">
        <v>44204</v>
      </c>
      <c r="B282" s="467" t="s">
        <v>494</v>
      </c>
      <c r="C282" s="453">
        <v>0</v>
      </c>
      <c r="D282" s="453">
        <v>0</v>
      </c>
      <c r="E282" s="453">
        <f>+C282+D282</f>
        <v>0</v>
      </c>
      <c r="F282" s="453">
        <v>0</v>
      </c>
      <c r="G282" s="453">
        <v>0</v>
      </c>
      <c r="H282" s="453">
        <f>+E282-F282</f>
        <v>0</v>
      </c>
      <c r="I282" s="452"/>
    </row>
    <row r="283" spans="1:9" x14ac:dyDescent="0.25">
      <c r="A283" s="472">
        <v>4800</v>
      </c>
      <c r="B283" s="475" t="s">
        <v>493</v>
      </c>
      <c r="C283" s="453">
        <f>C284</f>
        <v>0</v>
      </c>
      <c r="D283" s="453">
        <v>0</v>
      </c>
      <c r="E283" s="453">
        <f>+C283+D283</f>
        <v>0</v>
      </c>
      <c r="F283" s="453">
        <v>0</v>
      </c>
      <c r="G283" s="453">
        <v>0</v>
      </c>
      <c r="H283" s="453">
        <f>+E283-F283</f>
        <v>0</v>
      </c>
      <c r="I283" s="452"/>
    </row>
    <row r="284" spans="1:9" x14ac:dyDescent="0.25">
      <c r="A284" s="471">
        <v>481</v>
      </c>
      <c r="B284" s="475" t="s">
        <v>492</v>
      </c>
      <c r="C284" s="453">
        <f>C285</f>
        <v>0</v>
      </c>
      <c r="D284" s="453">
        <v>0</v>
      </c>
      <c r="E284" s="453">
        <f>+C284+D284</f>
        <v>0</v>
      </c>
      <c r="F284" s="453">
        <v>0</v>
      </c>
      <c r="G284" s="453">
        <v>0</v>
      </c>
      <c r="H284" s="453">
        <f>+E284-F284</f>
        <v>0</v>
      </c>
      <c r="I284" s="452"/>
    </row>
    <row r="285" spans="1:9" x14ac:dyDescent="0.25">
      <c r="A285" s="468">
        <v>48101</v>
      </c>
      <c r="B285" s="467" t="s">
        <v>492</v>
      </c>
      <c r="C285" s="454">
        <v>0</v>
      </c>
      <c r="D285" s="454">
        <v>0</v>
      </c>
      <c r="E285" s="453">
        <f>+C285+D285</f>
        <v>0</v>
      </c>
      <c r="F285" s="454">
        <v>0</v>
      </c>
      <c r="G285" s="454">
        <v>0</v>
      </c>
      <c r="H285" s="453">
        <f>+E285-F285</f>
        <v>0</v>
      </c>
      <c r="I285" s="452"/>
    </row>
    <row r="286" spans="1:9" x14ac:dyDescent="0.25">
      <c r="A286" s="468"/>
      <c r="B286" s="467"/>
      <c r="C286" s="454">
        <v>0</v>
      </c>
      <c r="D286" s="454">
        <v>0</v>
      </c>
      <c r="E286" s="453">
        <f>+C286+D286</f>
        <v>0</v>
      </c>
      <c r="F286" s="454">
        <v>0</v>
      </c>
      <c r="G286" s="454">
        <v>0</v>
      </c>
      <c r="H286" s="453">
        <f>+E286-F286</f>
        <v>0</v>
      </c>
      <c r="I286" s="452"/>
    </row>
    <row r="287" spans="1:9" x14ac:dyDescent="0.25">
      <c r="A287" s="464">
        <v>5000</v>
      </c>
      <c r="B287" s="475" t="s">
        <v>491</v>
      </c>
      <c r="C287" s="453">
        <f>C288+C297+C302+C305+C310+C324+C327</f>
        <v>0</v>
      </c>
      <c r="D287" s="453">
        <f>D288+D297+D302+D305+D310+D324+D327</f>
        <v>656331.28</v>
      </c>
      <c r="E287" s="453">
        <f>+C287+D287</f>
        <v>656331.28</v>
      </c>
      <c r="F287" s="453">
        <v>652980.71</v>
      </c>
      <c r="G287" s="453">
        <v>574380.71</v>
      </c>
      <c r="H287" s="453">
        <f>+E287-F287</f>
        <v>3350.5700000000652</v>
      </c>
      <c r="I287" s="452">
        <f>+F287/E287</f>
        <v>0.99489500180457635</v>
      </c>
    </row>
    <row r="288" spans="1:9" x14ac:dyDescent="0.25">
      <c r="A288" s="472">
        <v>5100</v>
      </c>
      <c r="B288" s="475" t="s">
        <v>490</v>
      </c>
      <c r="C288" s="453">
        <f>C289+C291+C293+C295</f>
        <v>0</v>
      </c>
      <c r="D288" s="453">
        <f>D289+D291+D293+D295</f>
        <v>7700</v>
      </c>
      <c r="E288" s="453">
        <f>+C288+D288</f>
        <v>7700</v>
      </c>
      <c r="F288" s="453">
        <v>7580</v>
      </c>
      <c r="G288" s="453">
        <v>7580</v>
      </c>
      <c r="H288" s="453">
        <f>+E288-F288</f>
        <v>120</v>
      </c>
      <c r="I288" s="452"/>
    </row>
    <row r="289" spans="1:9" x14ac:dyDescent="0.25">
      <c r="A289" s="471">
        <v>511</v>
      </c>
      <c r="B289" s="475" t="s">
        <v>489</v>
      </c>
      <c r="C289" s="453">
        <f>C290</f>
        <v>0</v>
      </c>
      <c r="D289" s="453">
        <f>D290</f>
        <v>0</v>
      </c>
      <c r="E289" s="453">
        <f>+C289+D289</f>
        <v>0</v>
      </c>
      <c r="F289" s="453"/>
      <c r="G289" s="453">
        <v>0</v>
      </c>
      <c r="H289" s="453">
        <f>+E289-F289</f>
        <v>0</v>
      </c>
      <c r="I289" s="452"/>
    </row>
    <row r="290" spans="1:9" x14ac:dyDescent="0.25">
      <c r="A290" s="468">
        <v>51101</v>
      </c>
      <c r="B290" s="467" t="s">
        <v>488</v>
      </c>
      <c r="C290" s="454"/>
      <c r="D290" s="454">
        <v>0</v>
      </c>
      <c r="E290" s="453">
        <f>+C290+D290</f>
        <v>0</v>
      </c>
      <c r="F290" s="454"/>
      <c r="G290" s="454">
        <v>0</v>
      </c>
      <c r="H290" s="453">
        <f>+E290-F290</f>
        <v>0</v>
      </c>
      <c r="I290" s="452"/>
    </row>
    <row r="291" spans="1:9" x14ac:dyDescent="0.25">
      <c r="A291" s="471">
        <v>512</v>
      </c>
      <c r="B291" s="475" t="s">
        <v>487</v>
      </c>
      <c r="C291" s="453">
        <f>C292</f>
        <v>0</v>
      </c>
      <c r="D291" s="453">
        <f>D292</f>
        <v>0</v>
      </c>
      <c r="E291" s="453">
        <f>+C291+D291</f>
        <v>0</v>
      </c>
      <c r="F291" s="453">
        <v>0</v>
      </c>
      <c r="G291" s="453">
        <v>0</v>
      </c>
      <c r="H291" s="453">
        <f>+E291-F291</f>
        <v>0</v>
      </c>
      <c r="I291" s="452"/>
    </row>
    <row r="292" spans="1:9" x14ac:dyDescent="0.25">
      <c r="A292" s="468">
        <v>51201</v>
      </c>
      <c r="B292" s="467" t="s">
        <v>487</v>
      </c>
      <c r="C292" s="454"/>
      <c r="D292" s="454">
        <v>0</v>
      </c>
      <c r="E292" s="453">
        <f>+C292+D292</f>
        <v>0</v>
      </c>
      <c r="F292" s="454">
        <v>0</v>
      </c>
      <c r="G292" s="454">
        <v>0</v>
      </c>
      <c r="H292" s="453">
        <f>+E292-F292</f>
        <v>0</v>
      </c>
      <c r="I292" s="452"/>
    </row>
    <row r="293" spans="1:9" x14ac:dyDescent="0.25">
      <c r="A293" s="471">
        <v>515</v>
      </c>
      <c r="B293" s="475" t="s">
        <v>486</v>
      </c>
      <c r="C293" s="453">
        <f>C294</f>
        <v>0</v>
      </c>
      <c r="D293" s="453">
        <f>D294</f>
        <v>7700</v>
      </c>
      <c r="E293" s="453">
        <f>+C293+D293</f>
        <v>7700</v>
      </c>
      <c r="F293" s="453">
        <v>7580</v>
      </c>
      <c r="G293" s="453">
        <v>7580</v>
      </c>
      <c r="H293" s="453">
        <f>+E293-F293</f>
        <v>120</v>
      </c>
      <c r="I293" s="452"/>
    </row>
    <row r="294" spans="1:9" x14ac:dyDescent="0.25">
      <c r="A294" s="468">
        <v>51501</v>
      </c>
      <c r="B294" s="467" t="s">
        <v>485</v>
      </c>
      <c r="C294" s="454"/>
      <c r="D294" s="454">
        <v>7700</v>
      </c>
      <c r="E294" s="453">
        <f>+C294+D294</f>
        <v>7700</v>
      </c>
      <c r="F294" s="454">
        <v>7580</v>
      </c>
      <c r="G294" s="454">
        <v>7580</v>
      </c>
      <c r="H294" s="453">
        <f>+E294-F294</f>
        <v>120</v>
      </c>
      <c r="I294" s="452"/>
    </row>
    <row r="295" spans="1:9" x14ac:dyDescent="0.25">
      <c r="A295" s="471">
        <v>519</v>
      </c>
      <c r="B295" s="475" t="s">
        <v>484</v>
      </c>
      <c r="C295" s="453">
        <f>C296</f>
        <v>0</v>
      </c>
      <c r="D295" s="453">
        <f>D296</f>
        <v>0</v>
      </c>
      <c r="E295" s="453">
        <f>+C295+D295</f>
        <v>0</v>
      </c>
      <c r="F295" s="453">
        <v>0</v>
      </c>
      <c r="G295" s="453">
        <v>0</v>
      </c>
      <c r="H295" s="453">
        <f>+E295-F295</f>
        <v>0</v>
      </c>
      <c r="I295" s="452"/>
    </row>
    <row r="296" spans="1:9" x14ac:dyDescent="0.25">
      <c r="A296" s="468">
        <v>51901</v>
      </c>
      <c r="B296" s="467" t="s">
        <v>483</v>
      </c>
      <c r="C296" s="454"/>
      <c r="D296" s="454">
        <v>0</v>
      </c>
      <c r="E296" s="453">
        <f>+C296+D296</f>
        <v>0</v>
      </c>
      <c r="F296" s="454">
        <v>0</v>
      </c>
      <c r="G296" s="454">
        <v>0</v>
      </c>
      <c r="H296" s="453">
        <f>+E296-F296</f>
        <v>0</v>
      </c>
      <c r="I296" s="452"/>
    </row>
    <row r="297" spans="1:9" x14ac:dyDescent="0.25">
      <c r="A297" s="472">
        <v>5200</v>
      </c>
      <c r="B297" s="475" t="s">
        <v>482</v>
      </c>
      <c r="C297" s="453">
        <f>C298+C300</f>
        <v>0</v>
      </c>
      <c r="D297" s="453">
        <f>D298+D300</f>
        <v>0</v>
      </c>
      <c r="E297" s="453">
        <f>+C297+D297</f>
        <v>0</v>
      </c>
      <c r="F297" s="453">
        <v>0</v>
      </c>
      <c r="G297" s="453">
        <v>0</v>
      </c>
      <c r="H297" s="453">
        <f>+E297-F297</f>
        <v>0</v>
      </c>
      <c r="I297" s="452"/>
    </row>
    <row r="298" spans="1:9" x14ac:dyDescent="0.25">
      <c r="A298" s="471">
        <v>521</v>
      </c>
      <c r="B298" s="475" t="s">
        <v>481</v>
      </c>
      <c r="C298" s="453">
        <f>C299</f>
        <v>0</v>
      </c>
      <c r="D298" s="453">
        <f>D299</f>
        <v>0</v>
      </c>
      <c r="E298" s="453">
        <f>+C298+D298</f>
        <v>0</v>
      </c>
      <c r="F298" s="453">
        <v>0</v>
      </c>
      <c r="G298" s="453">
        <v>0</v>
      </c>
      <c r="H298" s="453">
        <f>+E298-F298</f>
        <v>0</v>
      </c>
      <c r="I298" s="452"/>
    </row>
    <row r="299" spans="1:9" x14ac:dyDescent="0.25">
      <c r="A299" s="468">
        <v>52101</v>
      </c>
      <c r="B299" s="467" t="s">
        <v>481</v>
      </c>
      <c r="C299" s="454"/>
      <c r="D299" s="454">
        <v>0</v>
      </c>
      <c r="E299" s="453">
        <f>+C299+D299</f>
        <v>0</v>
      </c>
      <c r="F299" s="454">
        <v>0</v>
      </c>
      <c r="G299" s="454">
        <v>0</v>
      </c>
      <c r="H299" s="453">
        <f>+E299-F299</f>
        <v>0</v>
      </c>
      <c r="I299" s="452"/>
    </row>
    <row r="300" spans="1:9" x14ac:dyDescent="0.25">
      <c r="A300" s="471">
        <v>523</v>
      </c>
      <c r="B300" s="475" t="s">
        <v>480</v>
      </c>
      <c r="C300" s="453">
        <f>C301</f>
        <v>0</v>
      </c>
      <c r="D300" s="453">
        <f>D301</f>
        <v>0</v>
      </c>
      <c r="E300" s="453">
        <f>+C300+D300</f>
        <v>0</v>
      </c>
      <c r="F300" s="453">
        <v>0</v>
      </c>
      <c r="G300" s="453">
        <v>0</v>
      </c>
      <c r="H300" s="453">
        <f>+E300-F300</f>
        <v>0</v>
      </c>
      <c r="I300" s="452"/>
    </row>
    <row r="301" spans="1:9" x14ac:dyDescent="0.25">
      <c r="A301" s="468">
        <v>52301</v>
      </c>
      <c r="B301" s="467" t="s">
        <v>480</v>
      </c>
      <c r="C301" s="454"/>
      <c r="D301" s="454">
        <v>0</v>
      </c>
      <c r="E301" s="453">
        <f>+C301+D301</f>
        <v>0</v>
      </c>
      <c r="F301" s="454">
        <v>0</v>
      </c>
      <c r="G301" s="454">
        <v>0</v>
      </c>
      <c r="H301" s="453">
        <f>+E301-F301</f>
        <v>0</v>
      </c>
      <c r="I301" s="452"/>
    </row>
    <row r="302" spans="1:9" x14ac:dyDescent="0.25">
      <c r="A302" s="472">
        <v>5300</v>
      </c>
      <c r="B302" s="475" t="s">
        <v>479</v>
      </c>
      <c r="C302" s="454">
        <f>C303</f>
        <v>0</v>
      </c>
      <c r="D302" s="454">
        <f>D303</f>
        <v>0</v>
      </c>
      <c r="E302" s="453">
        <f>+C302+D302</f>
        <v>0</v>
      </c>
      <c r="F302" s="454">
        <v>0</v>
      </c>
      <c r="G302" s="454">
        <v>0</v>
      </c>
      <c r="H302" s="453">
        <f>+E302-F302</f>
        <v>0</v>
      </c>
      <c r="I302" s="452"/>
    </row>
    <row r="303" spans="1:9" x14ac:dyDescent="0.25">
      <c r="A303" s="471">
        <v>532</v>
      </c>
      <c r="B303" s="475" t="s">
        <v>478</v>
      </c>
      <c r="C303" s="454">
        <f>C304</f>
        <v>0</v>
      </c>
      <c r="D303" s="454">
        <f>D304</f>
        <v>0</v>
      </c>
      <c r="E303" s="453">
        <f>+C303+D303</f>
        <v>0</v>
      </c>
      <c r="F303" s="454">
        <v>0</v>
      </c>
      <c r="G303" s="454">
        <v>0</v>
      </c>
      <c r="H303" s="453">
        <f>+E303-F303</f>
        <v>0</v>
      </c>
      <c r="I303" s="452"/>
    </row>
    <row r="304" spans="1:9" x14ac:dyDescent="0.25">
      <c r="A304" s="468">
        <v>53201</v>
      </c>
      <c r="B304" s="467" t="s">
        <v>478</v>
      </c>
      <c r="C304" s="454"/>
      <c r="D304" s="454">
        <v>0</v>
      </c>
      <c r="E304" s="453">
        <f>+C304+D304</f>
        <v>0</v>
      </c>
      <c r="F304" s="454">
        <v>0</v>
      </c>
      <c r="G304" s="454">
        <v>0</v>
      </c>
      <c r="H304" s="453">
        <f>+E304-F304</f>
        <v>0</v>
      </c>
      <c r="I304" s="452"/>
    </row>
    <row r="305" spans="1:9" x14ac:dyDescent="0.25">
      <c r="A305" s="472">
        <v>5400</v>
      </c>
      <c r="B305" s="475" t="s">
        <v>477</v>
      </c>
      <c r="C305" s="453">
        <f>C306+C308</f>
        <v>0</v>
      </c>
      <c r="D305" s="453">
        <f>D306+D308</f>
        <v>241161.68</v>
      </c>
      <c r="E305" s="453">
        <f>+C305+D305</f>
        <v>241161.68</v>
      </c>
      <c r="F305" s="453">
        <v>239585.33</v>
      </c>
      <c r="G305" s="453">
        <v>239585.33</v>
      </c>
      <c r="H305" s="453">
        <f>+E305-F305</f>
        <v>1576.3500000000058</v>
      </c>
      <c r="I305" s="452">
        <f>+F305/E305</f>
        <v>0.99346351377217146</v>
      </c>
    </row>
    <row r="306" spans="1:9" x14ac:dyDescent="0.25">
      <c r="A306" s="471">
        <v>541</v>
      </c>
      <c r="B306" s="475" t="s">
        <v>477</v>
      </c>
      <c r="C306" s="453">
        <f>C307</f>
        <v>0</v>
      </c>
      <c r="D306" s="453">
        <f>D307</f>
        <v>1576.68</v>
      </c>
      <c r="E306" s="453">
        <f>+C306+D306</f>
        <v>1576.68</v>
      </c>
      <c r="F306" s="453">
        <v>0</v>
      </c>
      <c r="G306" s="453">
        <v>0</v>
      </c>
      <c r="H306" s="453">
        <f>+E306-F306</f>
        <v>1576.68</v>
      </c>
      <c r="I306" s="452">
        <f>+F306/E306</f>
        <v>0</v>
      </c>
    </row>
    <row r="307" spans="1:9" x14ac:dyDescent="0.25">
      <c r="A307" s="468">
        <v>54101</v>
      </c>
      <c r="B307" s="467" t="s">
        <v>476</v>
      </c>
      <c r="C307" s="454"/>
      <c r="D307" s="454">
        <v>1576.68</v>
      </c>
      <c r="E307" s="453">
        <f>+C307+D307</f>
        <v>1576.68</v>
      </c>
      <c r="F307" s="454">
        <v>0</v>
      </c>
      <c r="G307" s="454">
        <v>0</v>
      </c>
      <c r="H307" s="453">
        <f>+E307-F307</f>
        <v>1576.68</v>
      </c>
      <c r="I307" s="452">
        <f>+F307/E307</f>
        <v>0</v>
      </c>
    </row>
    <row r="308" spans="1:9" x14ac:dyDescent="0.25">
      <c r="A308" s="471">
        <v>549</v>
      </c>
      <c r="B308" s="475" t="s">
        <v>475</v>
      </c>
      <c r="C308" s="453">
        <f>C309</f>
        <v>0</v>
      </c>
      <c r="D308" s="453">
        <f>D309</f>
        <v>239585</v>
      </c>
      <c r="E308" s="453">
        <f>+C308+D308</f>
        <v>239585</v>
      </c>
      <c r="F308" s="453">
        <v>239585.33</v>
      </c>
      <c r="G308" s="453">
        <v>239585.33</v>
      </c>
      <c r="H308" s="453">
        <f>+E308-F308</f>
        <v>-0.32999999998719431</v>
      </c>
      <c r="I308" s="452"/>
    </row>
    <row r="309" spans="1:9" x14ac:dyDescent="0.25">
      <c r="A309" s="468">
        <v>54901</v>
      </c>
      <c r="B309" s="467" t="s">
        <v>475</v>
      </c>
      <c r="C309" s="454"/>
      <c r="D309" s="454">
        <v>239585</v>
      </c>
      <c r="E309" s="453">
        <f>+C309+D309</f>
        <v>239585</v>
      </c>
      <c r="F309" s="454">
        <v>239585.33</v>
      </c>
      <c r="G309" s="454">
        <v>239585.33</v>
      </c>
      <c r="H309" s="453">
        <f>+E309-F309</f>
        <v>-0.32999999998719431</v>
      </c>
      <c r="I309" s="452"/>
    </row>
    <row r="310" spans="1:9" x14ac:dyDescent="0.25">
      <c r="A310" s="472">
        <v>5600</v>
      </c>
      <c r="B310" s="475" t="s">
        <v>474</v>
      </c>
      <c r="C310" s="453">
        <f>C311+C313+C315+C317+C319+C321</f>
        <v>0</v>
      </c>
      <c r="D310" s="453">
        <f>D311+D313+D315+D317+D319+D321</f>
        <v>407469.6</v>
      </c>
      <c r="E310" s="453">
        <f>+C310+D310</f>
        <v>407469.6</v>
      </c>
      <c r="F310" s="453">
        <v>405815.38</v>
      </c>
      <c r="G310" s="453">
        <v>327215.38</v>
      </c>
      <c r="H310" s="453">
        <f>+E310-F310</f>
        <v>1654.2199999999721</v>
      </c>
      <c r="I310" s="452">
        <f>+F310/E310</f>
        <v>0.99594026155570881</v>
      </c>
    </row>
    <row r="311" spans="1:9" x14ac:dyDescent="0.25">
      <c r="A311" s="471">
        <v>562</v>
      </c>
      <c r="B311" s="475" t="s">
        <v>473</v>
      </c>
      <c r="C311" s="453">
        <f>C312</f>
        <v>0</v>
      </c>
      <c r="D311" s="453">
        <f>D312</f>
        <v>376497.6</v>
      </c>
      <c r="E311" s="453">
        <f>+C311+D311</f>
        <v>376497.6</v>
      </c>
      <c r="F311" s="453">
        <v>374843.38</v>
      </c>
      <c r="G311" s="453">
        <v>296243.38</v>
      </c>
      <c r="H311" s="453">
        <f>+E311-F311</f>
        <v>1654.2199999999721</v>
      </c>
      <c r="I311" s="452">
        <f>+F311/E311</f>
        <v>0.99560629337345052</v>
      </c>
    </row>
    <row r="312" spans="1:9" x14ac:dyDescent="0.25">
      <c r="A312" s="468">
        <v>56201</v>
      </c>
      <c r="B312" s="467" t="s">
        <v>473</v>
      </c>
      <c r="C312" s="454"/>
      <c r="D312" s="454">
        <v>376497.6</v>
      </c>
      <c r="E312" s="453">
        <f>+C312+D312</f>
        <v>376497.6</v>
      </c>
      <c r="F312" s="454">
        <v>374843.38</v>
      </c>
      <c r="G312" s="454">
        <v>296243.38</v>
      </c>
      <c r="H312" s="453">
        <f>+E312-F312</f>
        <v>1654.2199999999721</v>
      </c>
      <c r="I312" s="452">
        <f>+F312/E312</f>
        <v>0.99560629337345052</v>
      </c>
    </row>
    <row r="313" spans="1:9" ht="22.5" x14ac:dyDescent="0.25">
      <c r="A313" s="471">
        <v>564</v>
      </c>
      <c r="B313" s="475" t="s">
        <v>472</v>
      </c>
      <c r="C313" s="453">
        <f>C314</f>
        <v>0</v>
      </c>
      <c r="D313" s="453">
        <f>D314</f>
        <v>30972</v>
      </c>
      <c r="E313" s="453">
        <f>+C313+D313</f>
        <v>30972</v>
      </c>
      <c r="F313" s="453">
        <v>30972</v>
      </c>
      <c r="G313" s="453">
        <v>30972</v>
      </c>
      <c r="H313" s="453">
        <f>+E313-F313</f>
        <v>0</v>
      </c>
      <c r="I313" s="452"/>
    </row>
    <row r="314" spans="1:9" ht="22.5" x14ac:dyDescent="0.25">
      <c r="A314" s="468">
        <v>56401</v>
      </c>
      <c r="B314" s="467" t="s">
        <v>472</v>
      </c>
      <c r="C314" s="454"/>
      <c r="D314" s="454">
        <v>30972</v>
      </c>
      <c r="E314" s="453">
        <f>+C314+D314</f>
        <v>30972</v>
      </c>
      <c r="F314" s="454">
        <v>30972</v>
      </c>
      <c r="G314" s="454">
        <v>30972</v>
      </c>
      <c r="H314" s="453">
        <f>+E314-F314</f>
        <v>0</v>
      </c>
      <c r="I314" s="452"/>
    </row>
    <row r="315" spans="1:9" x14ac:dyDescent="0.25">
      <c r="A315" s="474">
        <v>565</v>
      </c>
      <c r="B315" s="470" t="s">
        <v>471</v>
      </c>
      <c r="C315" s="453">
        <f>C316</f>
        <v>0</v>
      </c>
      <c r="D315" s="453">
        <f>D316</f>
        <v>0</v>
      </c>
      <c r="E315" s="453">
        <f>+C315+D315</f>
        <v>0</v>
      </c>
      <c r="F315" s="453">
        <v>0</v>
      </c>
      <c r="G315" s="453">
        <v>0</v>
      </c>
      <c r="H315" s="453">
        <f>+E315-F315</f>
        <v>0</v>
      </c>
      <c r="I315" s="452"/>
    </row>
    <row r="316" spans="1:9" x14ac:dyDescent="0.25">
      <c r="A316" s="473">
        <v>56501</v>
      </c>
      <c r="B316" s="469" t="s">
        <v>471</v>
      </c>
      <c r="C316" s="454"/>
      <c r="D316" s="454">
        <v>0</v>
      </c>
      <c r="E316" s="453">
        <f>+C316+D316</f>
        <v>0</v>
      </c>
      <c r="F316" s="454">
        <v>0</v>
      </c>
      <c r="G316" s="454">
        <v>0</v>
      </c>
      <c r="H316" s="453">
        <f>+E316-F316</f>
        <v>0</v>
      </c>
      <c r="I316" s="452"/>
    </row>
    <row r="317" spans="1:9" ht="22.5" x14ac:dyDescent="0.25">
      <c r="A317" s="474">
        <v>566</v>
      </c>
      <c r="B317" s="470" t="s">
        <v>470</v>
      </c>
      <c r="C317" s="453">
        <f>C318</f>
        <v>0</v>
      </c>
      <c r="D317" s="453">
        <f>D318</f>
        <v>0</v>
      </c>
      <c r="E317" s="453">
        <f>+C317+D317</f>
        <v>0</v>
      </c>
      <c r="F317" s="453">
        <v>0</v>
      </c>
      <c r="G317" s="453">
        <v>0</v>
      </c>
      <c r="H317" s="453">
        <f>+E317-F317</f>
        <v>0</v>
      </c>
      <c r="I317" s="452"/>
    </row>
    <row r="318" spans="1:9" x14ac:dyDescent="0.25">
      <c r="A318" s="473">
        <v>56601</v>
      </c>
      <c r="B318" s="469" t="s">
        <v>469</v>
      </c>
      <c r="C318" s="454"/>
      <c r="D318" s="454">
        <v>0</v>
      </c>
      <c r="E318" s="453">
        <f>+C318+D318</f>
        <v>0</v>
      </c>
      <c r="F318" s="454">
        <v>0</v>
      </c>
      <c r="G318" s="454">
        <v>0</v>
      </c>
      <c r="H318" s="453">
        <f>+E318-F318</f>
        <v>0</v>
      </c>
      <c r="I318" s="452"/>
    </row>
    <row r="319" spans="1:9" x14ac:dyDescent="0.25">
      <c r="A319" s="474">
        <v>567</v>
      </c>
      <c r="B319" s="470" t="s">
        <v>468</v>
      </c>
      <c r="C319" s="453">
        <f>C320</f>
        <v>0</v>
      </c>
      <c r="D319" s="453">
        <f>D320</f>
        <v>0</v>
      </c>
      <c r="E319" s="453">
        <f>+C319+D319</f>
        <v>0</v>
      </c>
      <c r="F319" s="453">
        <v>0</v>
      </c>
      <c r="G319" s="453">
        <v>0</v>
      </c>
      <c r="H319" s="453">
        <f>+E319-F319</f>
        <v>0</v>
      </c>
      <c r="I319" s="452"/>
    </row>
    <row r="320" spans="1:9" x14ac:dyDescent="0.25">
      <c r="A320" s="473">
        <v>56701</v>
      </c>
      <c r="B320" s="469" t="s">
        <v>467</v>
      </c>
      <c r="C320" s="454"/>
      <c r="D320" s="454">
        <v>0</v>
      </c>
      <c r="E320" s="453">
        <f>+C320+D320</f>
        <v>0</v>
      </c>
      <c r="F320" s="454">
        <v>0</v>
      </c>
      <c r="G320" s="454">
        <v>0</v>
      </c>
      <c r="H320" s="453">
        <f>+E320-F320</f>
        <v>0</v>
      </c>
      <c r="I320" s="452"/>
    </row>
    <row r="321" spans="1:9" x14ac:dyDescent="0.25">
      <c r="A321" s="474">
        <v>569</v>
      </c>
      <c r="B321" s="470" t="s">
        <v>466</v>
      </c>
      <c r="C321" s="453">
        <f>C322+C323</f>
        <v>0</v>
      </c>
      <c r="D321" s="453">
        <f>D322+D323</f>
        <v>0</v>
      </c>
      <c r="E321" s="453">
        <f>+C321+D321</f>
        <v>0</v>
      </c>
      <c r="F321" s="453">
        <v>0</v>
      </c>
      <c r="G321" s="453">
        <v>0</v>
      </c>
      <c r="H321" s="453">
        <f>+E321-F321</f>
        <v>0</v>
      </c>
      <c r="I321" s="452"/>
    </row>
    <row r="322" spans="1:9" x14ac:dyDescent="0.25">
      <c r="A322" s="473">
        <v>56901</v>
      </c>
      <c r="B322" s="469" t="s">
        <v>465</v>
      </c>
      <c r="C322" s="454"/>
      <c r="D322" s="454">
        <v>0</v>
      </c>
      <c r="E322" s="453">
        <f>+C322+D322</f>
        <v>0</v>
      </c>
      <c r="F322" s="454">
        <v>0</v>
      </c>
      <c r="G322" s="454">
        <v>0</v>
      </c>
      <c r="H322" s="453">
        <f>+E322-F322</f>
        <v>0</v>
      </c>
      <c r="I322" s="452"/>
    </row>
    <row r="323" spans="1:9" x14ac:dyDescent="0.25">
      <c r="A323" s="473">
        <v>56902</v>
      </c>
      <c r="B323" s="469" t="s">
        <v>464</v>
      </c>
      <c r="C323" s="454"/>
      <c r="D323" s="454">
        <v>0</v>
      </c>
      <c r="E323" s="453">
        <f>+C323+D323</f>
        <v>0</v>
      </c>
      <c r="F323" s="454">
        <v>0</v>
      </c>
      <c r="G323" s="454">
        <v>0</v>
      </c>
      <c r="H323" s="453">
        <f>+E323-F323</f>
        <v>0</v>
      </c>
      <c r="I323" s="452"/>
    </row>
    <row r="324" spans="1:9" x14ac:dyDescent="0.25">
      <c r="A324" s="472">
        <v>5800</v>
      </c>
      <c r="B324" s="470" t="s">
        <v>156</v>
      </c>
      <c r="C324" s="454">
        <f>C325</f>
        <v>0</v>
      </c>
      <c r="D324" s="454">
        <f>D325</f>
        <v>0</v>
      </c>
      <c r="E324" s="453">
        <f>+C324+D324</f>
        <v>0</v>
      </c>
      <c r="F324" s="454">
        <v>0</v>
      </c>
      <c r="G324" s="454">
        <v>0</v>
      </c>
      <c r="H324" s="453">
        <f>+E324-F324</f>
        <v>0</v>
      </c>
      <c r="I324" s="452"/>
    </row>
    <row r="325" spans="1:9" x14ac:dyDescent="0.25">
      <c r="A325" s="471">
        <v>581</v>
      </c>
      <c r="B325" s="470" t="s">
        <v>463</v>
      </c>
      <c r="C325" s="454">
        <f>C326</f>
        <v>0</v>
      </c>
      <c r="D325" s="454">
        <f>D326</f>
        <v>0</v>
      </c>
      <c r="E325" s="453">
        <f>+C325+D325</f>
        <v>0</v>
      </c>
      <c r="F325" s="454">
        <v>0</v>
      </c>
      <c r="G325" s="454">
        <v>0</v>
      </c>
      <c r="H325" s="453">
        <f>+E325-F325</f>
        <v>0</v>
      </c>
      <c r="I325" s="452"/>
    </row>
    <row r="326" spans="1:9" x14ac:dyDescent="0.25">
      <c r="A326" s="468">
        <v>58101</v>
      </c>
      <c r="B326" s="469" t="s">
        <v>463</v>
      </c>
      <c r="C326" s="454"/>
      <c r="D326" s="454">
        <v>0</v>
      </c>
      <c r="E326" s="453">
        <f>+C326+D326</f>
        <v>0</v>
      </c>
      <c r="F326" s="454">
        <v>0</v>
      </c>
      <c r="G326" s="454">
        <v>0</v>
      </c>
      <c r="H326" s="453">
        <f>+E326-F326</f>
        <v>0</v>
      </c>
      <c r="I326" s="452"/>
    </row>
    <row r="327" spans="1:9" x14ac:dyDescent="0.25">
      <c r="A327" s="472">
        <v>5900</v>
      </c>
      <c r="B327" s="470" t="s">
        <v>462</v>
      </c>
      <c r="C327" s="453">
        <f>C328</f>
        <v>0</v>
      </c>
      <c r="D327" s="453">
        <f>D328</f>
        <v>0</v>
      </c>
      <c r="E327" s="453">
        <f>+C327+D327</f>
        <v>0</v>
      </c>
      <c r="F327" s="453">
        <v>0</v>
      </c>
      <c r="G327" s="453">
        <v>0</v>
      </c>
      <c r="H327" s="453">
        <f>+E327-F327</f>
        <v>0</v>
      </c>
      <c r="I327" s="452"/>
    </row>
    <row r="328" spans="1:9" x14ac:dyDescent="0.25">
      <c r="A328" s="471">
        <v>591</v>
      </c>
      <c r="B328" s="470" t="s">
        <v>461</v>
      </c>
      <c r="C328" s="453">
        <f>C329</f>
        <v>0</v>
      </c>
      <c r="D328" s="453">
        <f>D329</f>
        <v>0</v>
      </c>
      <c r="E328" s="453">
        <f>+C328+D328</f>
        <v>0</v>
      </c>
      <c r="F328" s="453">
        <v>0</v>
      </c>
      <c r="G328" s="453">
        <v>0</v>
      </c>
      <c r="H328" s="453">
        <f>+E328-F328</f>
        <v>0</v>
      </c>
      <c r="I328" s="452"/>
    </row>
    <row r="329" spans="1:9" x14ac:dyDescent="0.25">
      <c r="A329" s="468">
        <v>59101</v>
      </c>
      <c r="B329" s="469" t="s">
        <v>461</v>
      </c>
      <c r="C329" s="454">
        <v>0</v>
      </c>
      <c r="D329" s="454">
        <v>0</v>
      </c>
      <c r="E329" s="453">
        <f>+C329+D329</f>
        <v>0</v>
      </c>
      <c r="F329" s="454">
        <v>0</v>
      </c>
      <c r="G329" s="454">
        <v>0</v>
      </c>
      <c r="H329" s="453">
        <f>+E329-F329</f>
        <v>0</v>
      </c>
      <c r="I329" s="452"/>
    </row>
    <row r="330" spans="1:9" x14ac:dyDescent="0.25">
      <c r="A330" s="468"/>
      <c r="B330" s="467"/>
      <c r="C330" s="454">
        <v>0</v>
      </c>
      <c r="D330" s="454">
        <v>0</v>
      </c>
      <c r="E330" s="453">
        <f>+C330+D330</f>
        <v>0</v>
      </c>
      <c r="F330" s="454">
        <v>0</v>
      </c>
      <c r="G330" s="454">
        <v>0</v>
      </c>
      <c r="H330" s="453">
        <f>+E330-F330</f>
        <v>0</v>
      </c>
      <c r="I330" s="452"/>
    </row>
    <row r="331" spans="1:9" x14ac:dyDescent="0.25">
      <c r="A331" s="459">
        <v>6000</v>
      </c>
      <c r="B331" s="464" t="s">
        <v>154</v>
      </c>
      <c r="C331" s="453">
        <f>C332+C353</f>
        <v>166755176</v>
      </c>
      <c r="D331" s="453">
        <f>D332+D353</f>
        <v>82157438.599999979</v>
      </c>
      <c r="E331" s="453">
        <f>+C331+D331</f>
        <v>248912614.59999996</v>
      </c>
      <c r="F331" s="453">
        <v>47176738.199999996</v>
      </c>
      <c r="G331" s="453">
        <v>40646119.579999998</v>
      </c>
      <c r="H331" s="453">
        <f>+E331-F331</f>
        <v>201735876.39999998</v>
      </c>
      <c r="I331" s="452">
        <f>+F331/E331</f>
        <v>0.18953132719212537</v>
      </c>
    </row>
    <row r="332" spans="1:9" x14ac:dyDescent="0.25">
      <c r="A332" s="462"/>
      <c r="B332" s="464" t="s">
        <v>460</v>
      </c>
      <c r="C332" s="453">
        <f>C333+C348</f>
        <v>78479942</v>
      </c>
      <c r="D332" s="453">
        <f>D333+D348</f>
        <v>22686152.609999996</v>
      </c>
      <c r="E332" s="453">
        <f>+C332+D332</f>
        <v>101166094.61</v>
      </c>
      <c r="F332" s="453">
        <v>16932338.75</v>
      </c>
      <c r="G332" s="453">
        <v>10943441.100000001</v>
      </c>
      <c r="H332" s="453">
        <f>+E332-F332</f>
        <v>84233755.859999999</v>
      </c>
      <c r="I332" s="452">
        <f>+F332/E332</f>
        <v>0.16737167541432685</v>
      </c>
    </row>
    <row r="333" spans="1:9" x14ac:dyDescent="0.25">
      <c r="A333" s="459">
        <v>6100</v>
      </c>
      <c r="B333" s="464" t="s">
        <v>453</v>
      </c>
      <c r="C333" s="453">
        <f>C334+C339</f>
        <v>78479942</v>
      </c>
      <c r="D333" s="453">
        <f>D334+D339</f>
        <v>22686152.609999996</v>
      </c>
      <c r="E333" s="453">
        <f>+C333+D333</f>
        <v>101166094.61</v>
      </c>
      <c r="F333" s="453">
        <v>16932338.75</v>
      </c>
      <c r="G333" s="453">
        <v>10943441.100000001</v>
      </c>
      <c r="H333" s="453">
        <f>+E333-F333</f>
        <v>84233755.859999999</v>
      </c>
      <c r="I333" s="452">
        <f>+F333/E333</f>
        <v>0.16737167541432685</v>
      </c>
    </row>
    <row r="334" spans="1:9" ht="22.5" x14ac:dyDescent="0.25">
      <c r="A334" s="462">
        <v>613</v>
      </c>
      <c r="B334" s="464" t="s">
        <v>452</v>
      </c>
      <c r="C334" s="453">
        <f>SUM(C335:C338)</f>
        <v>0</v>
      </c>
      <c r="D334" s="453">
        <f>SUM(D335:D338)</f>
        <v>500000</v>
      </c>
      <c r="E334" s="453">
        <f>+C334+D334</f>
        <v>500000</v>
      </c>
      <c r="F334" s="453">
        <v>250000</v>
      </c>
      <c r="G334" s="453">
        <v>250000</v>
      </c>
      <c r="H334" s="453">
        <f>+E334-F334</f>
        <v>250000</v>
      </c>
      <c r="I334" s="452"/>
    </row>
    <row r="335" spans="1:9" ht="22.5" x14ac:dyDescent="0.25">
      <c r="A335" s="460">
        <v>61305</v>
      </c>
      <c r="B335" s="463" t="s">
        <v>451</v>
      </c>
      <c r="C335" s="454"/>
      <c r="D335" s="454">
        <v>500000</v>
      </c>
      <c r="E335" s="453">
        <f>+C335+D335</f>
        <v>500000</v>
      </c>
      <c r="F335" s="454">
        <v>250000</v>
      </c>
      <c r="G335" s="454">
        <v>250000</v>
      </c>
      <c r="H335" s="453">
        <f>+E335-F335</f>
        <v>250000</v>
      </c>
      <c r="I335" s="452"/>
    </row>
    <row r="336" spans="1:9" ht="22.5" x14ac:dyDescent="0.25">
      <c r="A336" s="460">
        <v>61309</v>
      </c>
      <c r="B336" s="463" t="s">
        <v>459</v>
      </c>
      <c r="C336" s="454"/>
      <c r="D336" s="454">
        <v>0</v>
      </c>
      <c r="E336" s="453">
        <f>+C336+D336</f>
        <v>0</v>
      </c>
      <c r="F336" s="454">
        <v>0</v>
      </c>
      <c r="G336" s="454">
        <v>0</v>
      </c>
      <c r="H336" s="453">
        <f>+E336-F336</f>
        <v>0</v>
      </c>
      <c r="I336" s="452"/>
    </row>
    <row r="337" spans="1:9" x14ac:dyDescent="0.25">
      <c r="A337" s="460">
        <v>61310</v>
      </c>
      <c r="B337" s="463" t="s">
        <v>450</v>
      </c>
      <c r="C337" s="454"/>
      <c r="D337" s="454">
        <v>0</v>
      </c>
      <c r="E337" s="453">
        <f>+C337+D337</f>
        <v>0</v>
      </c>
      <c r="F337" s="454">
        <v>0</v>
      </c>
      <c r="G337" s="454">
        <v>0</v>
      </c>
      <c r="H337" s="453">
        <f>+E337-F337</f>
        <v>0</v>
      </c>
      <c r="I337" s="452"/>
    </row>
    <row r="338" spans="1:9" x14ac:dyDescent="0.25">
      <c r="A338" s="460">
        <v>61315</v>
      </c>
      <c r="B338" s="463" t="s">
        <v>444</v>
      </c>
      <c r="C338" s="454"/>
      <c r="D338" s="454">
        <v>0</v>
      </c>
      <c r="E338" s="453">
        <f>+C338+D338</f>
        <v>0</v>
      </c>
      <c r="F338" s="454">
        <v>0</v>
      </c>
      <c r="G338" s="454">
        <v>0</v>
      </c>
      <c r="H338" s="453">
        <f>+E338-F338</f>
        <v>0</v>
      </c>
      <c r="I338" s="452"/>
    </row>
    <row r="339" spans="1:9" ht="22.5" x14ac:dyDescent="0.25">
      <c r="A339" s="462">
        <v>614</v>
      </c>
      <c r="B339" s="464" t="s">
        <v>448</v>
      </c>
      <c r="C339" s="453">
        <f>SUM(C340:C347)</f>
        <v>78479942</v>
      </c>
      <c r="D339" s="453">
        <f>SUM(D340:D347)</f>
        <v>22186152.609999996</v>
      </c>
      <c r="E339" s="453">
        <f>+C339+D339</f>
        <v>100666094.61</v>
      </c>
      <c r="F339" s="453">
        <v>16682338.75</v>
      </c>
      <c r="G339" s="453">
        <v>10693441.100000001</v>
      </c>
      <c r="H339" s="453">
        <f>+E339-F339</f>
        <v>83983755.859999999</v>
      </c>
      <c r="I339" s="452">
        <f>+F339/E339</f>
        <v>0.16571953858576335</v>
      </c>
    </row>
    <row r="340" spans="1:9" x14ac:dyDescent="0.25">
      <c r="A340" s="460">
        <v>61404</v>
      </c>
      <c r="B340" s="463" t="s">
        <v>456</v>
      </c>
      <c r="C340" s="454"/>
      <c r="D340" s="454">
        <v>0</v>
      </c>
      <c r="E340" s="453">
        <f>+C340+D340</f>
        <v>0</v>
      </c>
      <c r="F340" s="454">
        <v>0</v>
      </c>
      <c r="G340" s="454">
        <v>0</v>
      </c>
      <c r="H340" s="453">
        <f>+E340-F340</f>
        <v>0</v>
      </c>
      <c r="I340" s="452"/>
    </row>
    <row r="341" spans="1:9" x14ac:dyDescent="0.25">
      <c r="A341" s="460">
        <v>61405</v>
      </c>
      <c r="B341" s="463" t="s">
        <v>458</v>
      </c>
      <c r="C341" s="454"/>
      <c r="D341" s="454">
        <v>0</v>
      </c>
      <c r="E341" s="453">
        <f>+C341+D341</f>
        <v>0</v>
      </c>
      <c r="F341" s="454">
        <v>0</v>
      </c>
      <c r="G341" s="454">
        <v>0</v>
      </c>
      <c r="H341" s="453">
        <f>+E341-F341</f>
        <v>0</v>
      </c>
      <c r="I341" s="452"/>
    </row>
    <row r="342" spans="1:9" x14ac:dyDescent="0.25">
      <c r="A342" s="460">
        <v>61406</v>
      </c>
      <c r="B342" s="463" t="s">
        <v>447</v>
      </c>
      <c r="C342" s="454"/>
      <c r="D342" s="454">
        <v>9620000</v>
      </c>
      <c r="E342" s="453">
        <f>+C342+D342</f>
        <v>9620000</v>
      </c>
      <c r="F342" s="454">
        <v>1234136.03</v>
      </c>
      <c r="G342" s="454">
        <v>1234136.03</v>
      </c>
      <c r="H342" s="453">
        <f>+E342-F342</f>
        <v>8385863.9699999997</v>
      </c>
      <c r="I342" s="452"/>
    </row>
    <row r="343" spans="1:9" x14ac:dyDescent="0.25">
      <c r="A343" s="460">
        <v>61408</v>
      </c>
      <c r="B343" s="463" t="s">
        <v>446</v>
      </c>
      <c r="C343" s="454">
        <v>78479942</v>
      </c>
      <c r="D343" s="454">
        <v>-11010925.520000003</v>
      </c>
      <c r="E343" s="453">
        <f>+C343+D343</f>
        <v>67469016.479999989</v>
      </c>
      <c r="F343" s="454">
        <v>6468830.7699999996</v>
      </c>
      <c r="G343" s="454">
        <v>4368231.91</v>
      </c>
      <c r="H343" s="453">
        <f>+E343-F343</f>
        <v>61000185.709999993</v>
      </c>
      <c r="I343" s="452">
        <f>+F343/E343</f>
        <v>9.5878539624444814E-2</v>
      </c>
    </row>
    <row r="344" spans="1:9" x14ac:dyDescent="0.25">
      <c r="A344" s="460">
        <v>61409</v>
      </c>
      <c r="B344" s="463" t="s">
        <v>445</v>
      </c>
      <c r="C344" s="454"/>
      <c r="D344" s="454">
        <v>16756941</v>
      </c>
      <c r="E344" s="453">
        <f>+C344+D344</f>
        <v>16756941</v>
      </c>
      <c r="F344" s="454">
        <v>3888298.79</v>
      </c>
      <c r="G344" s="454">
        <v>0</v>
      </c>
      <c r="H344" s="453">
        <f>+E344-F344</f>
        <v>12868642.210000001</v>
      </c>
      <c r="I344" s="452"/>
    </row>
    <row r="345" spans="1:9" x14ac:dyDescent="0.25">
      <c r="A345" s="460">
        <v>61415</v>
      </c>
      <c r="B345" s="463" t="s">
        <v>444</v>
      </c>
      <c r="C345" s="454"/>
      <c r="D345" s="454">
        <v>0</v>
      </c>
      <c r="E345" s="453">
        <f>+C345+D345</f>
        <v>0</v>
      </c>
      <c r="F345" s="454">
        <v>0</v>
      </c>
      <c r="G345" s="454">
        <v>0</v>
      </c>
      <c r="H345" s="453">
        <f>+E345-F345</f>
        <v>0</v>
      </c>
      <c r="I345" s="452"/>
    </row>
    <row r="346" spans="1:9" ht="22.5" x14ac:dyDescent="0.25">
      <c r="A346" s="456">
        <v>61424</v>
      </c>
      <c r="B346" s="455" t="s">
        <v>443</v>
      </c>
      <c r="C346" s="454"/>
      <c r="D346" s="454">
        <v>6325000</v>
      </c>
      <c r="E346" s="453">
        <f>+C346+D346</f>
        <v>6325000</v>
      </c>
      <c r="F346" s="454">
        <v>4950000</v>
      </c>
      <c r="G346" s="454">
        <v>4950000</v>
      </c>
      <c r="H346" s="453">
        <f>+E346-F346</f>
        <v>1375000</v>
      </c>
      <c r="I346" s="452"/>
    </row>
    <row r="347" spans="1:9" x14ac:dyDescent="0.25">
      <c r="A347" s="456">
        <v>61425</v>
      </c>
      <c r="B347" s="455" t="s">
        <v>442</v>
      </c>
      <c r="C347" s="454"/>
      <c r="D347" s="454">
        <v>495137.13000000006</v>
      </c>
      <c r="E347" s="453">
        <f>+C347+D347</f>
        <v>495137.13000000006</v>
      </c>
      <c r="F347" s="454">
        <v>141073.16</v>
      </c>
      <c r="G347" s="454">
        <v>141073.16</v>
      </c>
      <c r="H347" s="453">
        <f>+E347-F347</f>
        <v>354063.97000000009</v>
      </c>
      <c r="I347" s="452"/>
    </row>
    <row r="348" spans="1:9" x14ac:dyDescent="0.25">
      <c r="A348" s="466">
        <v>6200</v>
      </c>
      <c r="B348" s="457" t="s">
        <v>457</v>
      </c>
      <c r="C348" s="453">
        <f>C349</f>
        <v>0</v>
      </c>
      <c r="D348" s="453">
        <f>D349</f>
        <v>0</v>
      </c>
      <c r="E348" s="453">
        <f>+C348+D348</f>
        <v>0</v>
      </c>
      <c r="F348" s="453">
        <v>0</v>
      </c>
      <c r="G348" s="453">
        <v>0</v>
      </c>
      <c r="H348" s="453">
        <f>+E348-F348</f>
        <v>0</v>
      </c>
      <c r="I348" s="452"/>
    </row>
    <row r="349" spans="1:9" ht="22.5" x14ac:dyDescent="0.25">
      <c r="A349" s="462">
        <v>624</v>
      </c>
      <c r="B349" s="457" t="s">
        <v>448</v>
      </c>
      <c r="C349" s="453">
        <f>C350+C351</f>
        <v>0</v>
      </c>
      <c r="D349" s="453">
        <f>D350+D351</f>
        <v>0</v>
      </c>
      <c r="E349" s="453">
        <f>+C349+D349</f>
        <v>0</v>
      </c>
      <c r="F349" s="453">
        <v>0</v>
      </c>
      <c r="G349" s="453">
        <v>0</v>
      </c>
      <c r="H349" s="453">
        <f>+E349-F349</f>
        <v>0</v>
      </c>
      <c r="I349" s="452"/>
    </row>
    <row r="350" spans="1:9" x14ac:dyDescent="0.25">
      <c r="A350" s="456">
        <v>62404</v>
      </c>
      <c r="B350" s="455" t="s">
        <v>456</v>
      </c>
      <c r="C350" s="454"/>
      <c r="D350" s="454">
        <v>0</v>
      </c>
      <c r="E350" s="453">
        <f>+C350+D350</f>
        <v>0</v>
      </c>
      <c r="F350" s="454">
        <v>0</v>
      </c>
      <c r="G350" s="454">
        <v>0</v>
      </c>
      <c r="H350" s="453">
        <f>+E350-F350</f>
        <v>0</v>
      </c>
      <c r="I350" s="452"/>
    </row>
    <row r="351" spans="1:9" x14ac:dyDescent="0.25">
      <c r="A351" s="456">
        <v>61406</v>
      </c>
      <c r="B351" s="455" t="s">
        <v>455</v>
      </c>
      <c r="C351" s="454"/>
      <c r="D351" s="454">
        <v>0</v>
      </c>
      <c r="E351" s="453">
        <f>+C351+D351</f>
        <v>0</v>
      </c>
      <c r="F351" s="454">
        <v>0</v>
      </c>
      <c r="G351" s="454">
        <v>0</v>
      </c>
      <c r="H351" s="453">
        <f>+E351-F351</f>
        <v>0</v>
      </c>
      <c r="I351" s="452"/>
    </row>
    <row r="352" spans="1:9" x14ac:dyDescent="0.25">
      <c r="A352" s="456"/>
      <c r="B352" s="455"/>
      <c r="C352" s="454"/>
      <c r="D352" s="454">
        <v>0</v>
      </c>
      <c r="E352" s="453">
        <f>+C352+D352</f>
        <v>0</v>
      </c>
      <c r="F352" s="454">
        <v>0</v>
      </c>
      <c r="G352" s="454">
        <v>0</v>
      </c>
      <c r="H352" s="453">
        <f>+E352-F352</f>
        <v>0</v>
      </c>
      <c r="I352" s="452"/>
    </row>
    <row r="353" spans="1:9" x14ac:dyDescent="0.25">
      <c r="A353" s="465"/>
      <c r="B353" s="466" t="s">
        <v>454</v>
      </c>
      <c r="C353" s="453">
        <f>C354</f>
        <v>88275234</v>
      </c>
      <c r="D353" s="453">
        <f>D354</f>
        <v>59471285.989999987</v>
      </c>
      <c r="E353" s="453">
        <f>+C353+D353</f>
        <v>147746519.98999998</v>
      </c>
      <c r="F353" s="454">
        <v>30244399.449999996</v>
      </c>
      <c r="G353" s="454">
        <v>29702678.48</v>
      </c>
      <c r="H353" s="453">
        <f>+E353-F353</f>
        <v>117502120.53999999</v>
      </c>
      <c r="I353" s="452">
        <f>+F353/E353</f>
        <v>0.20470464855650777</v>
      </c>
    </row>
    <row r="354" spans="1:9" x14ac:dyDescent="0.25">
      <c r="A354" s="466">
        <v>6100</v>
      </c>
      <c r="B354" s="457" t="s">
        <v>453</v>
      </c>
      <c r="C354" s="453">
        <f>C355+C360</f>
        <v>88275234</v>
      </c>
      <c r="D354" s="453">
        <f>D355+D360</f>
        <v>59471285.989999987</v>
      </c>
      <c r="E354" s="453">
        <f>+C354+D354</f>
        <v>147746519.98999998</v>
      </c>
      <c r="F354" s="453">
        <v>30244399.449999996</v>
      </c>
      <c r="G354" s="453">
        <v>29702678.48</v>
      </c>
      <c r="H354" s="453">
        <f>+E354-F354</f>
        <v>117502120.53999999</v>
      </c>
      <c r="I354" s="452">
        <f>+F354/E354</f>
        <v>0.20470464855650777</v>
      </c>
    </row>
    <row r="355" spans="1:9" ht="22.5" x14ac:dyDescent="0.25">
      <c r="A355" s="465">
        <v>613</v>
      </c>
      <c r="B355" s="464" t="s">
        <v>452</v>
      </c>
      <c r="C355" s="453">
        <f>SUM(C356:C359)</f>
        <v>0</v>
      </c>
      <c r="D355" s="453">
        <f>SUM(D356:D359)</f>
        <v>500000</v>
      </c>
      <c r="E355" s="453">
        <f>+C355+D355</f>
        <v>500000</v>
      </c>
      <c r="F355" s="453">
        <v>250000</v>
      </c>
      <c r="G355" s="453">
        <v>250000</v>
      </c>
      <c r="H355" s="453">
        <f>+E355-F355</f>
        <v>250000</v>
      </c>
      <c r="I355" s="452"/>
    </row>
    <row r="356" spans="1:9" ht="22.5" x14ac:dyDescent="0.25">
      <c r="A356" s="456">
        <v>61305</v>
      </c>
      <c r="B356" s="463" t="s">
        <v>451</v>
      </c>
      <c r="C356" s="454"/>
      <c r="D356" s="454">
        <v>500000</v>
      </c>
      <c r="E356" s="453">
        <f>+C356+D356</f>
        <v>500000</v>
      </c>
      <c r="F356" s="454">
        <v>250000</v>
      </c>
      <c r="G356" s="454">
        <v>250000</v>
      </c>
      <c r="H356" s="453">
        <f>+E356-F356</f>
        <v>250000</v>
      </c>
      <c r="I356" s="452"/>
    </row>
    <row r="357" spans="1:9" x14ac:dyDescent="0.25">
      <c r="A357" s="456">
        <v>61310</v>
      </c>
      <c r="B357" s="463" t="s">
        <v>450</v>
      </c>
      <c r="C357" s="454"/>
      <c r="D357" s="454">
        <v>0</v>
      </c>
      <c r="E357" s="453">
        <f>+C357+D357</f>
        <v>0</v>
      </c>
      <c r="F357" s="454">
        <v>0</v>
      </c>
      <c r="G357" s="454">
        <v>0</v>
      </c>
      <c r="H357" s="453">
        <f>+E357-F357</f>
        <v>0</v>
      </c>
      <c r="I357" s="452"/>
    </row>
    <row r="358" spans="1:9" ht="22.5" x14ac:dyDescent="0.25">
      <c r="A358" s="456">
        <v>61313</v>
      </c>
      <c r="B358" s="463" t="s">
        <v>449</v>
      </c>
      <c r="C358" s="454"/>
      <c r="D358" s="454">
        <v>0</v>
      </c>
      <c r="E358" s="453">
        <f>+C358+D358</f>
        <v>0</v>
      </c>
      <c r="F358" s="454">
        <v>0</v>
      </c>
      <c r="G358" s="454">
        <v>0</v>
      </c>
      <c r="H358" s="453">
        <f>+E358-F358</f>
        <v>0</v>
      </c>
      <c r="I358" s="452"/>
    </row>
    <row r="359" spans="1:9" x14ac:dyDescent="0.25">
      <c r="A359" s="456">
        <v>61315</v>
      </c>
      <c r="B359" s="463" t="s">
        <v>444</v>
      </c>
      <c r="C359" s="454"/>
      <c r="D359" s="454">
        <v>0</v>
      </c>
      <c r="E359" s="453">
        <f>+C359+D359</f>
        <v>0</v>
      </c>
      <c r="F359" s="454">
        <v>0</v>
      </c>
      <c r="G359" s="454">
        <v>0</v>
      </c>
      <c r="H359" s="453">
        <f>+E359-F359</f>
        <v>0</v>
      </c>
      <c r="I359" s="452"/>
    </row>
    <row r="360" spans="1:9" ht="22.5" x14ac:dyDescent="0.25">
      <c r="A360" s="462">
        <v>614</v>
      </c>
      <c r="B360" s="464" t="s">
        <v>448</v>
      </c>
      <c r="C360" s="453">
        <f>C361+C362+C363+C364+C365+C366</f>
        <v>88275234</v>
      </c>
      <c r="D360" s="453">
        <f>D361+D362+D363+D364+D365+D366</f>
        <v>58971285.989999987</v>
      </c>
      <c r="E360" s="453">
        <f>+C360+D360</f>
        <v>147246519.98999998</v>
      </c>
      <c r="F360" s="453">
        <v>29994399.449999996</v>
      </c>
      <c r="G360" s="453">
        <v>29452678.48</v>
      </c>
      <c r="H360" s="453">
        <f>+E360-F360</f>
        <v>117252120.53999999</v>
      </c>
      <c r="I360" s="452">
        <f>+F360/E360</f>
        <v>0.20370192417475821</v>
      </c>
    </row>
    <row r="361" spans="1:9" x14ac:dyDescent="0.25">
      <c r="A361" s="460">
        <v>61406</v>
      </c>
      <c r="B361" s="463" t="s">
        <v>447</v>
      </c>
      <c r="C361" s="453"/>
      <c r="D361" s="454">
        <v>7000000</v>
      </c>
      <c r="E361" s="453">
        <f>+C361+D361</f>
        <v>7000000</v>
      </c>
      <c r="F361" s="453">
        <v>190136.03</v>
      </c>
      <c r="G361" s="453">
        <v>190136.03</v>
      </c>
      <c r="H361" s="453">
        <f>+E361-F361</f>
        <v>6809863.9699999997</v>
      </c>
      <c r="I361" s="452"/>
    </row>
    <row r="362" spans="1:9" x14ac:dyDescent="0.25">
      <c r="A362" s="460">
        <v>61408</v>
      </c>
      <c r="B362" s="463" t="s">
        <v>446</v>
      </c>
      <c r="C362" s="454">
        <v>88275234</v>
      </c>
      <c r="D362" s="454">
        <v>-3749257.9800000004</v>
      </c>
      <c r="E362" s="453">
        <f>+C362+D362</f>
        <v>84525976.019999996</v>
      </c>
      <c r="F362" s="454">
        <v>14493454.469999999</v>
      </c>
      <c r="G362" s="454">
        <v>14003852.299999999</v>
      </c>
      <c r="H362" s="453">
        <f>+E362-F362</f>
        <v>70032521.549999997</v>
      </c>
      <c r="I362" s="452">
        <f>+F362/E362</f>
        <v>0.17146746068416471</v>
      </c>
    </row>
    <row r="363" spans="1:9" x14ac:dyDescent="0.25">
      <c r="A363" s="460">
        <v>61409</v>
      </c>
      <c r="B363" s="463" t="s">
        <v>445</v>
      </c>
      <c r="C363" s="454"/>
      <c r="D363" s="454">
        <v>54962550.989999995</v>
      </c>
      <c r="E363" s="453">
        <f>+C363+D363</f>
        <v>54962550.989999995</v>
      </c>
      <c r="F363" s="454">
        <v>15018774.02</v>
      </c>
      <c r="G363" s="454">
        <v>15018774.02</v>
      </c>
      <c r="H363" s="453">
        <f>+E363-F363</f>
        <v>39943776.969999999</v>
      </c>
      <c r="I363" s="452">
        <f>+F363/E363</f>
        <v>0.2732546752193607</v>
      </c>
    </row>
    <row r="364" spans="1:9" x14ac:dyDescent="0.25">
      <c r="A364" s="460">
        <v>61415</v>
      </c>
      <c r="B364" s="463" t="s">
        <v>444</v>
      </c>
      <c r="C364" s="454"/>
      <c r="D364" s="454">
        <v>0</v>
      </c>
      <c r="E364" s="453">
        <f>+C364+D364</f>
        <v>0</v>
      </c>
      <c r="F364" s="454">
        <v>0</v>
      </c>
      <c r="G364" s="454">
        <v>0</v>
      </c>
      <c r="H364" s="453">
        <f>+E364-F364</f>
        <v>0</v>
      </c>
      <c r="I364" s="452"/>
    </row>
    <row r="365" spans="1:9" ht="22.5" x14ac:dyDescent="0.25">
      <c r="A365" s="460">
        <v>61424</v>
      </c>
      <c r="B365" s="463" t="s">
        <v>443</v>
      </c>
      <c r="C365" s="454"/>
      <c r="D365" s="454">
        <v>376211.16000000003</v>
      </c>
      <c r="E365" s="453">
        <f>+C365+D365</f>
        <v>376211.16000000003</v>
      </c>
      <c r="F365" s="454">
        <v>167688.69</v>
      </c>
      <c r="G365" s="454">
        <v>167688.69</v>
      </c>
      <c r="H365" s="453">
        <f>+E365-F365</f>
        <v>208522.47000000003</v>
      </c>
      <c r="I365" s="452">
        <f>+F365/E365</f>
        <v>0.44573023830553032</v>
      </c>
    </row>
    <row r="366" spans="1:9" x14ac:dyDescent="0.25">
      <c r="A366" s="460">
        <v>61425</v>
      </c>
      <c r="B366" s="463" t="s">
        <v>442</v>
      </c>
      <c r="C366" s="454"/>
      <c r="D366" s="454">
        <v>381781.82</v>
      </c>
      <c r="E366" s="453">
        <f>+C366+D366</f>
        <v>381781.82</v>
      </c>
      <c r="F366" s="454">
        <v>124346.23999999999</v>
      </c>
      <c r="G366" s="454">
        <v>72227.44</v>
      </c>
      <c r="H366" s="453">
        <f>+E366-F366</f>
        <v>257435.58000000002</v>
      </c>
      <c r="I366" s="452"/>
    </row>
    <row r="367" spans="1:9" x14ac:dyDescent="0.25">
      <c r="A367" s="460"/>
      <c r="B367" s="463"/>
      <c r="C367" s="454"/>
      <c r="D367" s="454"/>
      <c r="E367" s="453">
        <f>+C367+D367</f>
        <v>0</v>
      </c>
      <c r="F367" s="454">
        <v>0</v>
      </c>
      <c r="G367" s="454">
        <v>0</v>
      </c>
      <c r="H367" s="453">
        <f>+E367-F367</f>
        <v>0</v>
      </c>
      <c r="I367" s="452"/>
    </row>
    <row r="368" spans="1:9" x14ac:dyDescent="0.25">
      <c r="A368" s="459">
        <v>7000</v>
      </c>
      <c r="B368" s="464" t="s">
        <v>441</v>
      </c>
      <c r="C368" s="453">
        <f>C369</f>
        <v>48432617</v>
      </c>
      <c r="D368" s="453">
        <f>D369</f>
        <v>0</v>
      </c>
      <c r="E368" s="453">
        <f>+C368+D368</f>
        <v>48432617</v>
      </c>
      <c r="F368" s="454">
        <v>0</v>
      </c>
      <c r="G368" s="454">
        <v>0</v>
      </c>
      <c r="H368" s="453">
        <f>+E368-F368</f>
        <v>48432617</v>
      </c>
      <c r="I368" s="452">
        <f>+F368/E368</f>
        <v>0</v>
      </c>
    </row>
    <row r="369" spans="1:9" ht="22.5" x14ac:dyDescent="0.25">
      <c r="A369" s="459">
        <v>7900</v>
      </c>
      <c r="B369" s="464" t="s">
        <v>440</v>
      </c>
      <c r="C369" s="453">
        <f>C370</f>
        <v>48432617</v>
      </c>
      <c r="D369" s="453">
        <f>D370</f>
        <v>0</v>
      </c>
      <c r="E369" s="453">
        <f>+C369+D369</f>
        <v>48432617</v>
      </c>
      <c r="F369" s="454">
        <v>0</v>
      </c>
      <c r="G369" s="454">
        <v>0</v>
      </c>
      <c r="H369" s="453">
        <f>+E369-F369</f>
        <v>48432617</v>
      </c>
      <c r="I369" s="452">
        <f>+F369/E369</f>
        <v>0</v>
      </c>
    </row>
    <row r="370" spans="1:9" x14ac:dyDescent="0.25">
      <c r="A370" s="462">
        <v>799</v>
      </c>
      <c r="B370" s="464" t="s">
        <v>439</v>
      </c>
      <c r="C370" s="453">
        <f>C371</f>
        <v>48432617</v>
      </c>
      <c r="D370" s="453">
        <f>D371</f>
        <v>0</v>
      </c>
      <c r="E370" s="453">
        <f>+C370+D370</f>
        <v>48432617</v>
      </c>
      <c r="F370" s="454">
        <v>0</v>
      </c>
      <c r="G370" s="454">
        <v>0</v>
      </c>
      <c r="H370" s="453">
        <f>+E370-F370</f>
        <v>48432617</v>
      </c>
      <c r="I370" s="452">
        <f>+F370/E370</f>
        <v>0</v>
      </c>
    </row>
    <row r="371" spans="1:9" x14ac:dyDescent="0.25">
      <c r="A371" s="460">
        <v>79901</v>
      </c>
      <c r="B371" s="463" t="s">
        <v>439</v>
      </c>
      <c r="C371" s="454">
        <v>48432617</v>
      </c>
      <c r="D371" s="454"/>
      <c r="E371" s="453">
        <f>+C371+D371</f>
        <v>48432617</v>
      </c>
      <c r="F371" s="454">
        <v>0</v>
      </c>
      <c r="G371" s="454">
        <v>0</v>
      </c>
      <c r="H371" s="453">
        <f>+E371-F371</f>
        <v>48432617</v>
      </c>
      <c r="I371" s="452">
        <f>+F371/E371</f>
        <v>0</v>
      </c>
    </row>
    <row r="372" spans="1:9" x14ac:dyDescent="0.25">
      <c r="A372" s="456"/>
      <c r="B372" s="455"/>
      <c r="C372" s="454"/>
      <c r="D372" s="454"/>
      <c r="E372" s="453">
        <f>+C372+D372</f>
        <v>0</v>
      </c>
      <c r="F372" s="454">
        <v>0</v>
      </c>
      <c r="G372" s="454">
        <v>0</v>
      </c>
      <c r="H372" s="453">
        <f>+E372-F372</f>
        <v>0</v>
      </c>
      <c r="I372" s="452"/>
    </row>
    <row r="373" spans="1:9" x14ac:dyDescent="0.25">
      <c r="A373" s="459">
        <v>9000</v>
      </c>
      <c r="B373" s="457" t="s">
        <v>438</v>
      </c>
      <c r="C373" s="453">
        <f>C374+C378+C382</f>
        <v>0</v>
      </c>
      <c r="D373" s="453">
        <f>D374+D378+D382</f>
        <v>82564453.810000002</v>
      </c>
      <c r="E373" s="453">
        <f>+C373+D373</f>
        <v>82564453.810000002</v>
      </c>
      <c r="F373" s="453">
        <v>82554628.049999997</v>
      </c>
      <c r="G373" s="453">
        <v>80585673.950000003</v>
      </c>
      <c r="H373" s="453">
        <f>+E373-F373</f>
        <v>9825.7600000053644</v>
      </c>
      <c r="I373" s="452">
        <f>+F373/E373</f>
        <v>0.9998809928541087</v>
      </c>
    </row>
    <row r="374" spans="1:9" x14ac:dyDescent="0.25">
      <c r="A374" s="459">
        <v>9100</v>
      </c>
      <c r="B374" s="457" t="s">
        <v>437</v>
      </c>
      <c r="C374" s="453">
        <f>C375</f>
        <v>0</v>
      </c>
      <c r="D374" s="453">
        <f>D375</f>
        <v>14834441.289999999</v>
      </c>
      <c r="E374" s="453">
        <f>+C374+D374</f>
        <v>14834441.289999999</v>
      </c>
      <c r="F374" s="453">
        <v>14834441.280000001</v>
      </c>
      <c r="G374" s="453">
        <v>14834441.280000001</v>
      </c>
      <c r="H374" s="453">
        <f>+E374-F374</f>
        <v>9.9999979138374329E-3</v>
      </c>
      <c r="I374" s="452">
        <f>+F374/E374</f>
        <v>0.99999999932589323</v>
      </c>
    </row>
    <row r="375" spans="1:9" ht="22.5" x14ac:dyDescent="0.25">
      <c r="A375" s="462">
        <v>911</v>
      </c>
      <c r="B375" s="457" t="s">
        <v>436</v>
      </c>
      <c r="C375" s="453">
        <f>C376+C377</f>
        <v>0</v>
      </c>
      <c r="D375" s="453">
        <f>D376+D377</f>
        <v>14834441.289999999</v>
      </c>
      <c r="E375" s="453">
        <f>+C375+D375</f>
        <v>14834441.289999999</v>
      </c>
      <c r="F375" s="453">
        <v>14834441.280000001</v>
      </c>
      <c r="G375" s="453">
        <v>14834441.280000001</v>
      </c>
      <c r="H375" s="453">
        <f>+E375-F375</f>
        <v>9.9999979138374329E-3</v>
      </c>
      <c r="I375" s="452">
        <f>+F375/E375</f>
        <v>0.99999999932589323</v>
      </c>
    </row>
    <row r="376" spans="1:9" x14ac:dyDescent="0.25">
      <c r="A376" s="460">
        <v>91101</v>
      </c>
      <c r="B376" s="455" t="s">
        <v>435</v>
      </c>
      <c r="C376" s="454"/>
      <c r="D376" s="454">
        <v>0</v>
      </c>
      <c r="E376" s="453">
        <f>+C376+D376</f>
        <v>0</v>
      </c>
      <c r="F376" s="454">
        <v>0</v>
      </c>
      <c r="G376" s="454">
        <v>0</v>
      </c>
      <c r="H376" s="453">
        <f>+E376-F376</f>
        <v>0</v>
      </c>
      <c r="I376" s="452"/>
    </row>
    <row r="377" spans="1:9" x14ac:dyDescent="0.25">
      <c r="A377" s="460">
        <v>91102</v>
      </c>
      <c r="B377" s="455" t="s">
        <v>434</v>
      </c>
      <c r="C377" s="454"/>
      <c r="D377" s="454">
        <v>14834441.289999999</v>
      </c>
      <c r="E377" s="453">
        <f>+C377+D377</f>
        <v>14834441.289999999</v>
      </c>
      <c r="F377" s="454">
        <v>14834441.280000001</v>
      </c>
      <c r="G377" s="454">
        <v>14834441.280000001</v>
      </c>
      <c r="H377" s="453">
        <f>+E377-F377</f>
        <v>9.9999979138374329E-3</v>
      </c>
      <c r="I377" s="452">
        <f>+F377/E377</f>
        <v>0.99999999932589323</v>
      </c>
    </row>
    <row r="378" spans="1:9" x14ac:dyDescent="0.25">
      <c r="A378" s="459">
        <v>9200</v>
      </c>
      <c r="B378" s="457" t="s">
        <v>433</v>
      </c>
      <c r="C378" s="453">
        <f>C379</f>
        <v>0</v>
      </c>
      <c r="D378" s="453">
        <f>D379</f>
        <v>17020130.91</v>
      </c>
      <c r="E378" s="453">
        <f>+C378+D378</f>
        <v>17020130.91</v>
      </c>
      <c r="F378" s="453">
        <v>17020130.91</v>
      </c>
      <c r="G378" s="453">
        <v>17020130.91</v>
      </c>
      <c r="H378" s="453">
        <f>+E378-F378</f>
        <v>0</v>
      </c>
      <c r="I378" s="452">
        <f>+F378/E378</f>
        <v>1</v>
      </c>
    </row>
    <row r="379" spans="1:9" ht="22.5" x14ac:dyDescent="0.25">
      <c r="A379" s="462">
        <v>921</v>
      </c>
      <c r="B379" s="457" t="s">
        <v>432</v>
      </c>
      <c r="C379" s="453">
        <f>C380+C381</f>
        <v>0</v>
      </c>
      <c r="D379" s="453">
        <f>D380+D381</f>
        <v>17020130.91</v>
      </c>
      <c r="E379" s="453">
        <f>+C379+D379</f>
        <v>17020130.91</v>
      </c>
      <c r="F379" s="453">
        <v>17020130.91</v>
      </c>
      <c r="G379" s="453">
        <v>17020130.91</v>
      </c>
      <c r="H379" s="453">
        <f>+E379-F379</f>
        <v>0</v>
      </c>
      <c r="I379" s="452">
        <f>+F379/E379</f>
        <v>1</v>
      </c>
    </row>
    <row r="380" spans="1:9" x14ac:dyDescent="0.25">
      <c r="A380" s="460">
        <v>92101</v>
      </c>
      <c r="B380" s="455" t="s">
        <v>431</v>
      </c>
      <c r="C380" s="454"/>
      <c r="D380" s="461">
        <v>0</v>
      </c>
      <c r="E380" s="453">
        <f>+C380+D380</f>
        <v>0</v>
      </c>
      <c r="F380" s="454">
        <v>0</v>
      </c>
      <c r="G380" s="454">
        <v>0</v>
      </c>
      <c r="H380" s="453">
        <f>+E380-F380</f>
        <v>0</v>
      </c>
      <c r="I380" s="452"/>
    </row>
    <row r="381" spans="1:9" x14ac:dyDescent="0.25">
      <c r="A381" s="460">
        <v>92102</v>
      </c>
      <c r="B381" s="455" t="s">
        <v>430</v>
      </c>
      <c r="C381" s="454"/>
      <c r="D381" s="454">
        <v>17020130.91</v>
      </c>
      <c r="E381" s="453">
        <f>+C381+D381</f>
        <v>17020130.91</v>
      </c>
      <c r="F381" s="454">
        <v>17020130.91</v>
      </c>
      <c r="G381" s="454">
        <v>17020130.91</v>
      </c>
      <c r="H381" s="453">
        <f>+E381-F381</f>
        <v>0</v>
      </c>
      <c r="I381" s="452">
        <f>+F381/E381</f>
        <v>1</v>
      </c>
    </row>
    <row r="382" spans="1:9" x14ac:dyDescent="0.25">
      <c r="A382" s="459">
        <v>9900</v>
      </c>
      <c r="B382" s="457" t="s">
        <v>429</v>
      </c>
      <c r="C382" s="453">
        <f>C383</f>
        <v>0</v>
      </c>
      <c r="D382" s="453">
        <f>D383</f>
        <v>50709881.609999999</v>
      </c>
      <c r="E382" s="453">
        <f>+C382+D382</f>
        <v>50709881.609999999</v>
      </c>
      <c r="F382" s="453">
        <v>50700055.859999999</v>
      </c>
      <c r="G382" s="453">
        <v>48731101.760000005</v>
      </c>
      <c r="H382" s="453">
        <f>+E382-F382</f>
        <v>9825.75</v>
      </c>
      <c r="I382" s="452">
        <f>+F382/E382</f>
        <v>0.99980623599014551</v>
      </c>
    </row>
    <row r="383" spans="1:9" x14ac:dyDescent="0.25">
      <c r="A383" s="458">
        <v>991</v>
      </c>
      <c r="B383" s="457" t="s">
        <v>428</v>
      </c>
      <c r="C383" s="453">
        <f>C384+C385+C386</f>
        <v>0</v>
      </c>
      <c r="D383" s="453">
        <f>D384+D385+D386</f>
        <v>50709881.609999999</v>
      </c>
      <c r="E383" s="453">
        <f>+C383+D383</f>
        <v>50709881.609999999</v>
      </c>
      <c r="F383" s="453">
        <v>50700055.859999999</v>
      </c>
      <c r="G383" s="453">
        <v>48731101.760000005</v>
      </c>
      <c r="H383" s="453">
        <f>+E383-F383</f>
        <v>9825.75</v>
      </c>
      <c r="I383" s="452">
        <f>+F383/E383</f>
        <v>0.99980623599014551</v>
      </c>
    </row>
    <row r="384" spans="1:9" x14ac:dyDescent="0.25">
      <c r="A384" s="456">
        <v>99101</v>
      </c>
      <c r="B384" s="455" t="s">
        <v>427</v>
      </c>
      <c r="C384" s="454"/>
      <c r="D384" s="454">
        <f>32640325.61+139200+17383312</f>
        <v>50162837.609999999</v>
      </c>
      <c r="E384" s="453">
        <f>+C384+D384</f>
        <v>50162837.609999999</v>
      </c>
      <c r="F384" s="454">
        <v>50162837.700000003</v>
      </c>
      <c r="G384" s="454">
        <v>48193883.599999994</v>
      </c>
      <c r="H384" s="453">
        <f>+E384-F384</f>
        <v>-9.0000003576278687E-2</v>
      </c>
      <c r="I384" s="452">
        <f>+F384/E384</f>
        <v>1.000000001794157</v>
      </c>
    </row>
    <row r="385" spans="1:10" x14ac:dyDescent="0.25">
      <c r="A385" s="456">
        <v>99101</v>
      </c>
      <c r="B385" s="455" t="s">
        <v>426</v>
      </c>
      <c r="C385" s="454"/>
      <c r="D385" s="454">
        <v>547044</v>
      </c>
      <c r="E385" s="453">
        <f>+C385+D385</f>
        <v>547044</v>
      </c>
      <c r="F385" s="454">
        <v>537218.16</v>
      </c>
      <c r="G385" s="454">
        <v>537218.16</v>
      </c>
      <c r="H385" s="453">
        <f>+E385-F385</f>
        <v>9825.8399999999674</v>
      </c>
      <c r="I385" s="452"/>
    </row>
    <row r="386" spans="1:10" x14ac:dyDescent="0.25">
      <c r="A386" s="456">
        <v>99101</v>
      </c>
      <c r="B386" s="455" t="s">
        <v>425</v>
      </c>
      <c r="C386" s="454">
        <v>0</v>
      </c>
      <c r="D386" s="454">
        <v>0</v>
      </c>
      <c r="E386" s="453">
        <f>+C386+D386</f>
        <v>0</v>
      </c>
      <c r="F386" s="454">
        <v>0</v>
      </c>
      <c r="G386" s="454">
        <v>0</v>
      </c>
      <c r="H386" s="453">
        <f>+E386-F386</f>
        <v>0</v>
      </c>
      <c r="I386" s="452"/>
    </row>
    <row r="387" spans="1:10" x14ac:dyDescent="0.25">
      <c r="A387" s="437"/>
      <c r="B387" s="437"/>
      <c r="C387" s="451">
        <f>+C373+C331+C287+C269+C149+C73+C9+C368</f>
        <v>623389417.66593051</v>
      </c>
      <c r="D387" s="451">
        <f>+D373+D331+D287+D269+D149+D73+D9+D368</f>
        <v>182226125.19999996</v>
      </c>
      <c r="E387" s="451">
        <f>+E373+E331+E287+E269+E149+E73+E9+E368</f>
        <v>805615542.86593032</v>
      </c>
      <c r="F387" s="451">
        <f>+F373+F331+F287+F269+F149+F73+F9+F368</f>
        <v>458746265.13999999</v>
      </c>
      <c r="G387" s="451">
        <f>+G373+G331+G287+G269+G149+G73+G9+G368</f>
        <v>414066339.92000002</v>
      </c>
      <c r="H387" s="451">
        <f>+H373+H331+H287+H269+H149+H73+H9+H368</f>
        <v>346869277.72593033</v>
      </c>
      <c r="J387" s="450"/>
    </row>
    <row r="388" spans="1:10" x14ac:dyDescent="0.25">
      <c r="A388" s="437"/>
      <c r="B388" s="437"/>
      <c r="H388" s="439"/>
    </row>
    <row r="389" spans="1:10" x14ac:dyDescent="0.25">
      <c r="A389" s="437"/>
      <c r="B389" s="437"/>
      <c r="C389" s="449"/>
      <c r="D389" s="449"/>
      <c r="E389" s="449"/>
      <c r="F389" s="449"/>
      <c r="G389" s="449"/>
      <c r="H389" s="449"/>
      <c r="I389" s="448"/>
    </row>
    <row r="390" spans="1:10" x14ac:dyDescent="0.25">
      <c r="A390" s="437"/>
      <c r="B390" s="437"/>
      <c r="C390" s="438"/>
      <c r="E390" s="448"/>
      <c r="F390" s="448"/>
      <c r="G390" s="448"/>
      <c r="H390" s="448"/>
      <c r="I390" s="448"/>
    </row>
    <row r="391" spans="1:10" ht="16.5" x14ac:dyDescent="0.25">
      <c r="A391" s="437"/>
      <c r="B391" s="442"/>
      <c r="C391" s="442"/>
      <c r="D391" s="443"/>
      <c r="E391" s="442"/>
      <c r="F391" s="442"/>
      <c r="G391" s="442"/>
      <c r="H391" s="442"/>
      <c r="I391" s="441"/>
    </row>
    <row r="392" spans="1:10" ht="16.5" x14ac:dyDescent="0.25">
      <c r="A392" s="437"/>
      <c r="B392" s="446" t="s">
        <v>424</v>
      </c>
      <c r="C392" s="442"/>
      <c r="D392" s="443"/>
      <c r="E392" s="442"/>
      <c r="F392" s="445" t="s">
        <v>423</v>
      </c>
      <c r="G392" s="445"/>
      <c r="H392" s="445"/>
      <c r="I392" s="447"/>
    </row>
    <row r="393" spans="1:10" ht="16.5" x14ac:dyDescent="0.25">
      <c r="A393" s="437"/>
      <c r="B393" s="446" t="s">
        <v>422</v>
      </c>
      <c r="C393" s="442"/>
      <c r="D393" s="442"/>
      <c r="E393" s="442"/>
      <c r="F393" s="445" t="s">
        <v>421</v>
      </c>
      <c r="G393" s="444"/>
      <c r="H393" s="444"/>
      <c r="I393" s="444"/>
    </row>
    <row r="394" spans="1:10" ht="16.5" x14ac:dyDescent="0.25">
      <c r="B394" s="78"/>
      <c r="C394" s="442"/>
      <c r="D394" s="443"/>
      <c r="E394" s="442"/>
      <c r="F394" s="442"/>
      <c r="G394" s="442"/>
      <c r="H394" s="442"/>
      <c r="I394" s="441"/>
    </row>
    <row r="395" spans="1:10" x14ac:dyDescent="0.25">
      <c r="F395" s="440"/>
    </row>
    <row r="401" spans="4:4" x14ac:dyDescent="0.25">
      <c r="D401" s="439" t="s">
        <v>44</v>
      </c>
    </row>
  </sheetData>
  <mergeCells count="17">
    <mergeCell ref="H7:H8"/>
    <mergeCell ref="I7:I8"/>
    <mergeCell ref="F392:H392"/>
    <mergeCell ref="F393:I393"/>
    <mergeCell ref="F7:F8"/>
    <mergeCell ref="A7:A8"/>
    <mergeCell ref="B7:B8"/>
    <mergeCell ref="C7:C8"/>
    <mergeCell ref="D7:D8"/>
    <mergeCell ref="E7:E8"/>
    <mergeCell ref="G7:G8"/>
    <mergeCell ref="H6:I6"/>
    <mergeCell ref="A1:I1"/>
    <mergeCell ref="A2:I2"/>
    <mergeCell ref="A3:I3"/>
    <mergeCell ref="A4:I4"/>
    <mergeCell ref="A5:I5"/>
  </mergeCells>
  <pageMargins left="0" right="0" top="0.35433070866141736" bottom="0" header="0.31496062992125984" footer="0.31496062992125984"/>
  <pageSetup scale="6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5E0E5-004B-40B1-AAA6-15F99FF494A3}">
  <sheetPr>
    <tabColor theme="0" tint="-0.14999847407452621"/>
  </sheetPr>
  <dimension ref="A1:I32"/>
  <sheetViews>
    <sheetView view="pageBreakPreview" topLeftCell="A24" zoomScaleNormal="100" zoomScaleSheetLayoutView="100" workbookViewId="0">
      <selection activeCell="D30" sqref="D30"/>
    </sheetView>
  </sheetViews>
  <sheetFormatPr baseColWidth="10" defaultColWidth="11.42578125" defaultRowHeight="15" x14ac:dyDescent="0.25"/>
  <cols>
    <col min="1" max="1" width="32.140625" customWidth="1"/>
    <col min="3" max="3" width="13" customWidth="1"/>
  </cols>
  <sheetData>
    <row r="1" spans="1:9" ht="15.75" x14ac:dyDescent="0.25">
      <c r="A1" s="173" t="str">
        <f>'[1]ETCA-I-01'!A1:G1</f>
        <v xml:space="preserve">Comision Estatal del Agua </v>
      </c>
      <c r="B1" s="173"/>
      <c r="C1" s="173"/>
      <c r="D1" s="173"/>
      <c r="E1" s="173"/>
      <c r="F1" s="173"/>
      <c r="G1" s="173"/>
      <c r="H1" s="515"/>
      <c r="I1" s="515"/>
    </row>
    <row r="2" spans="1:9" ht="15.75" customHeight="1" x14ac:dyDescent="0.25">
      <c r="A2" s="172" t="s">
        <v>730</v>
      </c>
      <c r="B2" s="172"/>
      <c r="C2" s="172"/>
      <c r="D2" s="172"/>
      <c r="E2" s="172"/>
      <c r="F2" s="172"/>
      <c r="G2" s="172"/>
      <c r="H2" s="7"/>
      <c r="I2" s="7"/>
    </row>
    <row r="3" spans="1:9" ht="15.75" customHeight="1" x14ac:dyDescent="0.25">
      <c r="A3" s="172" t="s">
        <v>729</v>
      </c>
      <c r="B3" s="172"/>
      <c r="C3" s="172"/>
      <c r="D3" s="172"/>
      <c r="E3" s="172"/>
      <c r="F3" s="172"/>
      <c r="G3" s="172"/>
      <c r="H3" s="7"/>
      <c r="I3" s="7"/>
    </row>
    <row r="4" spans="1:9" ht="15.75" customHeight="1" x14ac:dyDescent="0.25">
      <c r="A4" s="514" t="str">
        <f>'[1]ETCA-I-03'!A3:D3</f>
        <v>Del 01 de enero  al 30 de Septiembre de 2020</v>
      </c>
      <c r="B4" s="514"/>
      <c r="C4" s="514"/>
      <c r="D4" s="514"/>
      <c r="E4" s="514"/>
      <c r="F4" s="514"/>
      <c r="G4" s="514"/>
      <c r="H4" s="513"/>
      <c r="I4" s="513"/>
    </row>
    <row r="5" spans="1:9" ht="15.75" customHeight="1" thickBot="1" x14ac:dyDescent="0.3">
      <c r="A5" s="170" t="s">
        <v>297</v>
      </c>
      <c r="B5" s="170"/>
      <c r="C5" s="170"/>
      <c r="D5" s="170"/>
      <c r="E5" s="170"/>
      <c r="F5" s="170"/>
      <c r="G5" s="170"/>
      <c r="H5" s="512"/>
      <c r="I5" s="512"/>
    </row>
    <row r="6" spans="1:9" ht="15.75" thickBot="1" x14ac:dyDescent="0.3">
      <c r="A6" s="511" t="s">
        <v>296</v>
      </c>
      <c r="B6" s="510" t="s">
        <v>295</v>
      </c>
      <c r="C6" s="509"/>
      <c r="D6" s="509"/>
      <c r="E6" s="509"/>
      <c r="F6" s="508"/>
      <c r="G6" s="507" t="s">
        <v>294</v>
      </c>
    </row>
    <row r="7" spans="1:9" ht="20.25" thickBot="1" x14ac:dyDescent="0.3">
      <c r="A7" s="506"/>
      <c r="B7" s="505" t="s">
        <v>293</v>
      </c>
      <c r="C7" s="505" t="s">
        <v>292</v>
      </c>
      <c r="D7" s="505" t="s">
        <v>291</v>
      </c>
      <c r="E7" s="505" t="s">
        <v>29</v>
      </c>
      <c r="F7" s="505" t="s">
        <v>338</v>
      </c>
      <c r="G7" s="504"/>
    </row>
    <row r="8" spans="1:9" ht="19.5" x14ac:dyDescent="0.25">
      <c r="A8" s="498" t="s">
        <v>728</v>
      </c>
      <c r="B8" s="497">
        <f>B9+B10+B11+B12+B13+B14+B15+B18</f>
        <v>204443147.32279521</v>
      </c>
      <c r="C8" s="497">
        <f>C9+C10+C11+C12+C13+C14+C15+C18</f>
        <v>384364.13</v>
      </c>
      <c r="D8" s="497">
        <f>D9+D10+D11+D12+D13+D14+D15+D18</f>
        <v>204827511.45279521</v>
      </c>
      <c r="E8" s="497">
        <f>E9+E10+E11+E12+E13+E14+E15+E18</f>
        <v>162114545.16</v>
      </c>
      <c r="F8" s="497">
        <f>F9+F10+F11+F12+F13+F14+F15+F18</f>
        <v>149095499.43000001</v>
      </c>
      <c r="G8" s="497">
        <f>G9+G10+G11+G12+G13+G14+G15+G18</f>
        <v>42712966.292795211</v>
      </c>
    </row>
    <row r="9" spans="1:9" ht="19.5" x14ac:dyDescent="0.25">
      <c r="A9" s="502" t="s">
        <v>726</v>
      </c>
      <c r="B9" s="501">
        <v>204443147.32279521</v>
      </c>
      <c r="C9" s="500">
        <v>384364.13</v>
      </c>
      <c r="D9" s="499">
        <f>B9+C9</f>
        <v>204827511.45279521</v>
      </c>
      <c r="E9" s="500">
        <v>162114545.16</v>
      </c>
      <c r="F9" s="500">
        <v>149095499.43000001</v>
      </c>
      <c r="G9" s="499">
        <f>D9-E9</f>
        <v>42712966.292795211</v>
      </c>
    </row>
    <row r="10" spans="1:9" x14ac:dyDescent="0.25">
      <c r="A10" s="502" t="s">
        <v>725</v>
      </c>
      <c r="B10" s="501"/>
      <c r="C10" s="500"/>
      <c r="D10" s="499">
        <f>B10+C10</f>
        <v>0</v>
      </c>
      <c r="E10" s="500"/>
      <c r="F10" s="500"/>
      <c r="G10" s="499">
        <f>D10-E10</f>
        <v>0</v>
      </c>
    </row>
    <row r="11" spans="1:9" x14ac:dyDescent="0.25">
      <c r="A11" s="502" t="s">
        <v>724</v>
      </c>
      <c r="B11" s="501"/>
      <c r="C11" s="500"/>
      <c r="D11" s="499">
        <f>B11+C11</f>
        <v>0</v>
      </c>
      <c r="E11" s="500"/>
      <c r="F11" s="500"/>
      <c r="G11" s="499">
        <f>D11-E11</f>
        <v>0</v>
      </c>
    </row>
    <row r="12" spans="1:9" x14ac:dyDescent="0.25">
      <c r="A12" s="502" t="s">
        <v>723</v>
      </c>
      <c r="B12" s="501"/>
      <c r="C12" s="500"/>
      <c r="D12" s="499">
        <f>B12+C12</f>
        <v>0</v>
      </c>
      <c r="E12" s="500"/>
      <c r="F12" s="500"/>
      <c r="G12" s="499">
        <f>D12-E12</f>
        <v>0</v>
      </c>
    </row>
    <row r="13" spans="1:9" x14ac:dyDescent="0.25">
      <c r="A13" s="502" t="s">
        <v>722</v>
      </c>
      <c r="B13" s="501"/>
      <c r="C13" s="500"/>
      <c r="D13" s="499">
        <f>B13+C13</f>
        <v>0</v>
      </c>
      <c r="E13" s="500"/>
      <c r="F13" s="500"/>
      <c r="G13" s="499">
        <f>D13-E13</f>
        <v>0</v>
      </c>
    </row>
    <row r="14" spans="1:9" x14ac:dyDescent="0.25">
      <c r="A14" s="502" t="s">
        <v>721</v>
      </c>
      <c r="B14" s="501"/>
      <c r="C14" s="500"/>
      <c r="D14" s="499">
        <f>B14+C14</f>
        <v>0</v>
      </c>
      <c r="E14" s="500"/>
      <c r="F14" s="500"/>
      <c r="G14" s="499">
        <f>D14-E14</f>
        <v>0</v>
      </c>
    </row>
    <row r="15" spans="1:9" ht="29.25" x14ac:dyDescent="0.25">
      <c r="A15" s="502" t="s">
        <v>720</v>
      </c>
      <c r="B15" s="497">
        <f>B16+B17</f>
        <v>0</v>
      </c>
      <c r="C15" s="497">
        <f>C16+C17</f>
        <v>0</v>
      </c>
      <c r="D15" s="497">
        <f>D16+D17</f>
        <v>0</v>
      </c>
      <c r="E15" s="497">
        <f>E16+E17</f>
        <v>0</v>
      </c>
      <c r="F15" s="497">
        <f>F16+F17</f>
        <v>0</v>
      </c>
      <c r="G15" s="497">
        <f>G16+G17</f>
        <v>0</v>
      </c>
    </row>
    <row r="16" spans="1:9" x14ac:dyDescent="0.25">
      <c r="A16" s="503" t="s">
        <v>719</v>
      </c>
      <c r="B16" s="501"/>
      <c r="C16" s="500"/>
      <c r="D16" s="499">
        <f>B16+C16</f>
        <v>0</v>
      </c>
      <c r="E16" s="500"/>
      <c r="F16" s="500"/>
      <c r="G16" s="499">
        <f>D16-E16</f>
        <v>0</v>
      </c>
    </row>
    <row r="17" spans="1:7" x14ac:dyDescent="0.25">
      <c r="A17" s="503" t="s">
        <v>718</v>
      </c>
      <c r="B17" s="501"/>
      <c r="C17" s="500"/>
      <c r="D17" s="499">
        <f>B17+C17</f>
        <v>0</v>
      </c>
      <c r="E17" s="500"/>
      <c r="F17" s="500"/>
      <c r="G17" s="499">
        <f>D17-E17</f>
        <v>0</v>
      </c>
    </row>
    <row r="18" spans="1:7" x14ac:dyDescent="0.25">
      <c r="A18" s="502" t="s">
        <v>717</v>
      </c>
      <c r="B18" s="501"/>
      <c r="C18" s="500"/>
      <c r="D18" s="499">
        <f>B18+C18</f>
        <v>0</v>
      </c>
      <c r="E18" s="500"/>
      <c r="F18" s="500"/>
      <c r="G18" s="499">
        <f>D18-E18</f>
        <v>0</v>
      </c>
    </row>
    <row r="19" spans="1:7" x14ac:dyDescent="0.25">
      <c r="A19" s="502"/>
      <c r="B19" s="497"/>
      <c r="C19" s="499"/>
      <c r="D19" s="499"/>
      <c r="E19" s="499"/>
      <c r="F19" s="499"/>
      <c r="G19" s="499"/>
    </row>
    <row r="20" spans="1:7" ht="19.5" x14ac:dyDescent="0.25">
      <c r="A20" s="498" t="s">
        <v>727</v>
      </c>
      <c r="B20" s="497">
        <f>B21+B22+B23+B24+B25+B26+B27+B30</f>
        <v>0</v>
      </c>
      <c r="C20" s="497">
        <f>C21+C22+C23+C24+C25+C26+C27+C30</f>
        <v>0</v>
      </c>
      <c r="D20" s="497">
        <f>D21+D22+D23+D24+D25+D26+D27+D30</f>
        <v>0</v>
      </c>
      <c r="E20" s="497">
        <f>E21+E22+E23+E24+E25+E26+E27+E30</f>
        <v>0</v>
      </c>
      <c r="F20" s="497">
        <f>F21+F22+F23+F24+F25+F26+F27+F30</f>
        <v>0</v>
      </c>
      <c r="G20" s="497">
        <f>G21+G22+G23+G24+G25+G26+G27+G30</f>
        <v>0</v>
      </c>
    </row>
    <row r="21" spans="1:7" ht="19.5" x14ac:dyDescent="0.25">
      <c r="A21" s="502" t="s">
        <v>726</v>
      </c>
      <c r="B21" s="501"/>
      <c r="C21" s="500"/>
      <c r="D21" s="499">
        <f>B21+C21</f>
        <v>0</v>
      </c>
      <c r="E21" s="500"/>
      <c r="F21" s="500"/>
      <c r="G21" s="499">
        <f>D21-E21</f>
        <v>0</v>
      </c>
    </row>
    <row r="22" spans="1:7" x14ac:dyDescent="0.25">
      <c r="A22" s="502" t="s">
        <v>725</v>
      </c>
      <c r="B22" s="501"/>
      <c r="C22" s="500"/>
      <c r="D22" s="499">
        <f>B22+C22</f>
        <v>0</v>
      </c>
      <c r="E22" s="500"/>
      <c r="F22" s="500"/>
      <c r="G22" s="499">
        <f>D22-E22</f>
        <v>0</v>
      </c>
    </row>
    <row r="23" spans="1:7" x14ac:dyDescent="0.25">
      <c r="A23" s="502" t="s">
        <v>724</v>
      </c>
      <c r="B23" s="501"/>
      <c r="C23" s="500"/>
      <c r="D23" s="499">
        <f>B23+C23</f>
        <v>0</v>
      </c>
      <c r="E23" s="500"/>
      <c r="F23" s="500"/>
      <c r="G23" s="499">
        <f>D23-E23</f>
        <v>0</v>
      </c>
    </row>
    <row r="24" spans="1:7" x14ac:dyDescent="0.25">
      <c r="A24" s="502" t="s">
        <v>723</v>
      </c>
      <c r="B24" s="501"/>
      <c r="C24" s="500"/>
      <c r="D24" s="499">
        <f>B24+C24</f>
        <v>0</v>
      </c>
      <c r="E24" s="500"/>
      <c r="F24" s="500"/>
      <c r="G24" s="499">
        <f>D24-E24</f>
        <v>0</v>
      </c>
    </row>
    <row r="25" spans="1:7" x14ac:dyDescent="0.25">
      <c r="A25" s="502" t="s">
        <v>722</v>
      </c>
      <c r="B25" s="501"/>
      <c r="C25" s="500"/>
      <c r="D25" s="499">
        <f>B25+C25</f>
        <v>0</v>
      </c>
      <c r="E25" s="500"/>
      <c r="F25" s="500"/>
      <c r="G25" s="499">
        <f>D25-E25</f>
        <v>0</v>
      </c>
    </row>
    <row r="26" spans="1:7" x14ac:dyDescent="0.25">
      <c r="A26" s="502" t="s">
        <v>721</v>
      </c>
      <c r="B26" s="501"/>
      <c r="C26" s="500"/>
      <c r="D26" s="499">
        <f>B26+C26</f>
        <v>0</v>
      </c>
      <c r="E26" s="500"/>
      <c r="F26" s="500"/>
      <c r="G26" s="499">
        <f>D26-E26</f>
        <v>0</v>
      </c>
    </row>
    <row r="27" spans="1:7" ht="29.25" x14ac:dyDescent="0.25">
      <c r="A27" s="502" t="s">
        <v>720</v>
      </c>
      <c r="B27" s="497">
        <f>B28+B29</f>
        <v>0</v>
      </c>
      <c r="C27" s="497">
        <f>C28+C29</f>
        <v>0</v>
      </c>
      <c r="D27" s="497">
        <f>D28+D29</f>
        <v>0</v>
      </c>
      <c r="E27" s="497">
        <f>E28+E29</f>
        <v>0</v>
      </c>
      <c r="F27" s="497">
        <f>F28+F29</f>
        <v>0</v>
      </c>
      <c r="G27" s="497">
        <f>G28+G29</f>
        <v>0</v>
      </c>
    </row>
    <row r="28" spans="1:7" x14ac:dyDescent="0.25">
      <c r="A28" s="503" t="s">
        <v>719</v>
      </c>
      <c r="B28" s="501"/>
      <c r="C28" s="500"/>
      <c r="D28" s="499">
        <f>B28+C28</f>
        <v>0</v>
      </c>
      <c r="E28" s="500"/>
      <c r="F28" s="500"/>
      <c r="G28" s="499">
        <f>D28-E28</f>
        <v>0</v>
      </c>
    </row>
    <row r="29" spans="1:7" x14ac:dyDescent="0.25">
      <c r="A29" s="503" t="s">
        <v>718</v>
      </c>
      <c r="B29" s="501"/>
      <c r="C29" s="500"/>
      <c r="D29" s="499">
        <f>B29+C29</f>
        <v>0</v>
      </c>
      <c r="E29" s="500"/>
      <c r="F29" s="500"/>
      <c r="G29" s="499">
        <f>D29-E29</f>
        <v>0</v>
      </c>
    </row>
    <row r="30" spans="1:7" x14ac:dyDescent="0.25">
      <c r="A30" s="502" t="s">
        <v>717</v>
      </c>
      <c r="B30" s="501"/>
      <c r="C30" s="500"/>
      <c r="D30" s="499">
        <f>B30+C30</f>
        <v>0</v>
      </c>
      <c r="E30" s="500"/>
      <c r="F30" s="500"/>
      <c r="G30" s="499">
        <f>D30-E30</f>
        <v>0</v>
      </c>
    </row>
    <row r="31" spans="1:7" ht="19.5" x14ac:dyDescent="0.25">
      <c r="A31" s="498" t="s">
        <v>716</v>
      </c>
      <c r="B31" s="497">
        <f>B8+B20</f>
        <v>204443147.32279521</v>
      </c>
      <c r="C31" s="497">
        <f>C8+C20</f>
        <v>384364.13</v>
      </c>
      <c r="D31" s="497">
        <f>D8+D20</f>
        <v>204827511.45279521</v>
      </c>
      <c r="E31" s="497">
        <f>E8+E20</f>
        <v>162114545.16</v>
      </c>
      <c r="F31" s="497">
        <f>F8+F20</f>
        <v>149095499.43000001</v>
      </c>
      <c r="G31" s="497">
        <f>G8+G20</f>
        <v>42712966.292795211</v>
      </c>
    </row>
    <row r="32" spans="1:7" ht="15.75" thickBot="1" x14ac:dyDescent="0.3">
      <c r="A32" s="496"/>
      <c r="B32" s="495"/>
      <c r="C32" s="494"/>
      <c r="D32" s="494"/>
      <c r="E32" s="494"/>
      <c r="F32" s="494"/>
      <c r="G32" s="494"/>
    </row>
  </sheetData>
  <sheetProtection password="C195" sheet="1" scenarios="1" insertHyperlinks="0"/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0965-4E74-4586-BBB0-023F336C3E9D}">
  <sheetPr>
    <tabColor theme="0" tint="-0.14999847407452621"/>
    <pageSetUpPr fitToPage="1"/>
  </sheetPr>
  <dimension ref="A1:D48"/>
  <sheetViews>
    <sheetView view="pageBreakPreview" topLeftCell="A33" zoomScaleNormal="100" zoomScaleSheetLayoutView="100" workbookViewId="0">
      <selection activeCell="D30" sqref="D30"/>
    </sheetView>
  </sheetViews>
  <sheetFormatPr baseColWidth="10" defaultColWidth="11.28515625" defaultRowHeight="16.5" x14ac:dyDescent="0.25"/>
  <cols>
    <col min="1" max="1" width="64.5703125" style="1" customWidth="1"/>
    <col min="2" max="2" width="25.7109375" style="1" customWidth="1"/>
    <col min="3" max="3" width="25.7109375" style="516" customWidth="1"/>
    <col min="4" max="4" width="89.140625" style="1" customWidth="1"/>
    <col min="5" max="16384" width="11.28515625" style="1"/>
  </cols>
  <sheetData>
    <row r="1" spans="1:4" x14ac:dyDescent="0.25">
      <c r="A1" s="105" t="str">
        <f>'[1]ETCA-I-01'!A1:G1</f>
        <v xml:space="preserve">Comision Estatal del Agua </v>
      </c>
      <c r="B1" s="105"/>
      <c r="C1" s="105"/>
      <c r="D1" s="548"/>
    </row>
    <row r="2" spans="1:4" s="103" customFormat="1" ht="15.75" x14ac:dyDescent="0.25">
      <c r="A2" s="105" t="s">
        <v>748</v>
      </c>
      <c r="B2" s="105"/>
      <c r="C2" s="105"/>
    </row>
    <row r="3" spans="1:4" s="103" customFormat="1" x14ac:dyDescent="0.25">
      <c r="A3" s="104" t="str">
        <f>'[1]ETCA-I-01'!A3:G3</f>
        <v>Al 30 de Septiembre de 2020</v>
      </c>
      <c r="B3" s="104"/>
      <c r="C3" s="104"/>
    </row>
    <row r="4" spans="1:4" s="26" customFormat="1" ht="17.25" thickBot="1" x14ac:dyDescent="0.3">
      <c r="A4" s="547"/>
      <c r="B4" s="546"/>
      <c r="C4" s="545"/>
    </row>
    <row r="5" spans="1:4" s="220" customFormat="1" ht="27" customHeight="1" thickBot="1" x14ac:dyDescent="0.3">
      <c r="A5" s="544" t="s">
        <v>747</v>
      </c>
      <c r="B5" s="543"/>
      <c r="C5" s="178">
        <f>'ETCA II-04'!E80</f>
        <v>458746265.13999999</v>
      </c>
      <c r="D5" s="538" t="str">
        <f>IF((C5-'ETCA II-04'!E80)&gt;0.9,"ERROR!!!!! EL MONTO NO COINCIDE CON LO REPORTADO EN EL FORMATO ETCA-II-04, EN EL TOTAL DE EGRESOS DEVENGADO ANUAL","")</f>
        <v/>
      </c>
    </row>
    <row r="6" spans="1:4" s="220" customFormat="1" ht="9.75" customHeight="1" x14ac:dyDescent="0.25">
      <c r="A6" s="542"/>
      <c r="B6" s="200"/>
      <c r="C6" s="541"/>
      <c r="D6" s="538"/>
    </row>
    <row r="7" spans="1:4" s="220" customFormat="1" ht="17.25" customHeight="1" thickBot="1" x14ac:dyDescent="0.3">
      <c r="A7" s="540"/>
      <c r="B7" s="196"/>
      <c r="C7" s="539"/>
      <c r="D7" s="538"/>
    </row>
    <row r="8" spans="1:4" ht="20.100000000000001" customHeight="1" x14ac:dyDescent="0.25">
      <c r="A8" s="531" t="s">
        <v>746</v>
      </c>
      <c r="B8" s="537"/>
      <c r="C8" s="529">
        <f>SUM(B9:B29)</f>
        <v>121850897.78</v>
      </c>
      <c r="D8" s="78"/>
    </row>
    <row r="9" spans="1:4" ht="20.100000000000001" customHeight="1" x14ac:dyDescent="0.25">
      <c r="A9" s="528" t="s">
        <v>745</v>
      </c>
      <c r="B9" s="527"/>
      <c r="C9" s="526"/>
      <c r="D9" s="78"/>
    </row>
    <row r="10" spans="1:4" ht="20.100000000000001" customHeight="1" x14ac:dyDescent="0.25">
      <c r="A10" s="528" t="s">
        <v>744</v>
      </c>
      <c r="B10" s="527"/>
      <c r="C10" s="526"/>
      <c r="D10" s="78"/>
    </row>
    <row r="11" spans="1:4" ht="20.100000000000001" customHeight="1" x14ac:dyDescent="0.25">
      <c r="A11" s="528" t="s">
        <v>163</v>
      </c>
      <c r="B11" s="527">
        <v>7580</v>
      </c>
      <c r="C11" s="526"/>
      <c r="D11" s="78"/>
    </row>
    <row r="12" spans="1:4" x14ac:dyDescent="0.25">
      <c r="A12" s="528" t="s">
        <v>162</v>
      </c>
      <c r="B12" s="527"/>
      <c r="C12" s="526"/>
      <c r="D12" s="78"/>
    </row>
    <row r="13" spans="1:4" ht="20.100000000000001" customHeight="1" x14ac:dyDescent="0.25">
      <c r="A13" s="528" t="s">
        <v>161</v>
      </c>
      <c r="B13" s="527"/>
      <c r="C13" s="526"/>
      <c r="D13" s="78"/>
    </row>
    <row r="14" spans="1:4" ht="20.100000000000001" customHeight="1" x14ac:dyDescent="0.25">
      <c r="A14" s="528" t="s">
        <v>160</v>
      </c>
      <c r="B14" s="527">
        <v>239585.33</v>
      </c>
      <c r="C14" s="526"/>
      <c r="D14" s="78"/>
    </row>
    <row r="15" spans="1:4" ht="20.100000000000001" customHeight="1" x14ac:dyDescent="0.25">
      <c r="A15" s="528" t="s">
        <v>159</v>
      </c>
      <c r="B15" s="527"/>
      <c r="C15" s="526"/>
      <c r="D15" s="78"/>
    </row>
    <row r="16" spans="1:4" ht="20.100000000000001" customHeight="1" x14ac:dyDescent="0.25">
      <c r="A16" s="528" t="s">
        <v>158</v>
      </c>
      <c r="B16" s="527">
        <v>405815.38</v>
      </c>
      <c r="C16" s="526"/>
      <c r="D16" s="78"/>
    </row>
    <row r="17" spans="1:4" ht="20.100000000000001" customHeight="1" x14ac:dyDescent="0.25">
      <c r="A17" s="528" t="s">
        <v>743</v>
      </c>
      <c r="B17" s="527"/>
      <c r="C17" s="526"/>
      <c r="D17" s="78"/>
    </row>
    <row r="18" spans="1:4" ht="20.100000000000001" customHeight="1" x14ac:dyDescent="0.25">
      <c r="A18" s="528" t="s">
        <v>156</v>
      </c>
      <c r="B18" s="527"/>
      <c r="C18" s="526"/>
      <c r="D18" s="78"/>
    </row>
    <row r="19" spans="1:4" ht="20.100000000000001" customHeight="1" x14ac:dyDescent="0.25">
      <c r="A19" s="528" t="s">
        <v>155</v>
      </c>
      <c r="B19" s="527"/>
      <c r="C19" s="526"/>
      <c r="D19" s="78"/>
    </row>
    <row r="20" spans="1:4" ht="20.100000000000001" customHeight="1" x14ac:dyDescent="0.25">
      <c r="A20" s="528" t="s">
        <v>153</v>
      </c>
      <c r="B20" s="527">
        <v>39794321.589999996</v>
      </c>
      <c r="C20" s="526"/>
      <c r="D20" s="78"/>
    </row>
    <row r="21" spans="1:4" ht="20.100000000000001" customHeight="1" x14ac:dyDescent="0.25">
      <c r="A21" s="528" t="s">
        <v>152</v>
      </c>
      <c r="B21" s="527"/>
      <c r="C21" s="526"/>
      <c r="D21" s="78"/>
    </row>
    <row r="22" spans="1:4" ht="20.100000000000001" customHeight="1" x14ac:dyDescent="0.25">
      <c r="A22" s="528" t="s">
        <v>148</v>
      </c>
      <c r="B22" s="527"/>
      <c r="C22" s="526"/>
      <c r="D22" s="78"/>
    </row>
    <row r="23" spans="1:4" ht="20.100000000000001" customHeight="1" x14ac:dyDescent="0.25">
      <c r="A23" s="528" t="s">
        <v>147</v>
      </c>
      <c r="B23" s="527"/>
      <c r="C23" s="526"/>
      <c r="D23" s="78"/>
    </row>
    <row r="24" spans="1:4" ht="20.100000000000001" customHeight="1" x14ac:dyDescent="0.25">
      <c r="A24" s="528" t="s">
        <v>146</v>
      </c>
      <c r="B24" s="527"/>
      <c r="C24" s="526"/>
      <c r="D24" s="78"/>
    </row>
    <row r="25" spans="1:4" ht="20.100000000000001" customHeight="1" x14ac:dyDescent="0.25">
      <c r="A25" s="528" t="s">
        <v>145</v>
      </c>
      <c r="B25" s="527"/>
      <c r="C25" s="526"/>
      <c r="D25" s="78"/>
    </row>
    <row r="26" spans="1:4" ht="20.100000000000001" customHeight="1" x14ac:dyDescent="0.25">
      <c r="A26" s="528" t="s">
        <v>143</v>
      </c>
      <c r="B26" s="527"/>
      <c r="C26" s="526"/>
      <c r="D26" s="78"/>
    </row>
    <row r="27" spans="1:4" ht="20.100000000000001" customHeight="1" x14ac:dyDescent="0.25">
      <c r="A27" s="528" t="s">
        <v>742</v>
      </c>
      <c r="B27" s="527">
        <v>14834441.280000001</v>
      </c>
      <c r="C27" s="526"/>
      <c r="D27" s="78"/>
    </row>
    <row r="28" spans="1:4" ht="20.100000000000001" customHeight="1" x14ac:dyDescent="0.25">
      <c r="A28" s="528" t="s">
        <v>741</v>
      </c>
      <c r="B28" s="527">
        <v>50700055.859999999</v>
      </c>
      <c r="C28" s="526"/>
      <c r="D28" s="78"/>
    </row>
    <row r="29" spans="1:4" ht="20.100000000000001" customHeight="1" thickBot="1" x14ac:dyDescent="0.3">
      <c r="A29" s="528" t="s">
        <v>740</v>
      </c>
      <c r="B29" s="536">
        <v>15869098.34</v>
      </c>
      <c r="C29" s="523"/>
      <c r="D29" s="78"/>
    </row>
    <row r="30" spans="1:4" ht="7.5" customHeight="1" x14ac:dyDescent="0.25">
      <c r="A30" s="535"/>
      <c r="B30" s="200"/>
      <c r="C30" s="534"/>
      <c r="D30" s="78"/>
    </row>
    <row r="31" spans="1:4" ht="20.100000000000001" customHeight="1" thickBot="1" x14ac:dyDescent="0.3">
      <c r="A31" s="533"/>
      <c r="B31" s="196"/>
      <c r="C31" s="532"/>
      <c r="D31" s="78"/>
    </row>
    <row r="32" spans="1:4" ht="20.100000000000001" customHeight="1" x14ac:dyDescent="0.25">
      <c r="A32" s="531" t="s">
        <v>739</v>
      </c>
      <c r="B32" s="530"/>
      <c r="C32" s="529">
        <f>SUM(B33:B39)</f>
        <v>42702745.25</v>
      </c>
      <c r="D32" s="78"/>
    </row>
    <row r="33" spans="1:4" x14ac:dyDescent="0.25">
      <c r="A33" s="528" t="s">
        <v>738</v>
      </c>
      <c r="B33" s="527">
        <v>5056005.32</v>
      </c>
      <c r="C33" s="526"/>
      <c r="D33" s="78"/>
    </row>
    <row r="34" spans="1:4" ht="20.100000000000001" customHeight="1" x14ac:dyDescent="0.25">
      <c r="A34" s="528" t="s">
        <v>737</v>
      </c>
      <c r="B34" s="527"/>
      <c r="C34" s="526"/>
      <c r="D34" s="177" t="str">
        <f>IF(B33&lt;&gt;'[1]ETCA-I-03'!C52,"ERROR!!!!! EL MONTO NO COINCIDE CON LO REPORTADO EN EL FORMATO ETCA-I-02 POR CONCEPTO DE ESTIMACIONES, DEPRECIACIONES, ETC..","")</f>
        <v/>
      </c>
    </row>
    <row r="35" spans="1:4" ht="20.100000000000001" customHeight="1" x14ac:dyDescent="0.25">
      <c r="A35" s="528" t="s">
        <v>736</v>
      </c>
      <c r="B35" s="527"/>
      <c r="C35" s="526"/>
      <c r="D35" s="78"/>
    </row>
    <row r="36" spans="1:4" ht="25.5" customHeight="1" x14ac:dyDescent="0.25">
      <c r="A36" s="528" t="s">
        <v>735</v>
      </c>
      <c r="B36" s="527">
        <v>37646739.93</v>
      </c>
      <c r="C36" s="526"/>
      <c r="D36" s="78"/>
    </row>
    <row r="37" spans="1:4" ht="20.100000000000001" customHeight="1" x14ac:dyDescent="0.25">
      <c r="A37" s="528" t="s">
        <v>734</v>
      </c>
      <c r="B37" s="527"/>
      <c r="C37" s="526"/>
      <c r="D37" s="78"/>
    </row>
    <row r="38" spans="1:4" ht="20.100000000000001" customHeight="1" x14ac:dyDescent="0.25">
      <c r="A38" s="528" t="s">
        <v>733</v>
      </c>
      <c r="B38" s="527"/>
      <c r="C38" s="526"/>
      <c r="D38" s="78"/>
    </row>
    <row r="39" spans="1:4" ht="20.100000000000001" customHeight="1" x14ac:dyDescent="0.25">
      <c r="A39" s="528" t="s">
        <v>732</v>
      </c>
      <c r="B39" s="527"/>
      <c r="C39" s="526"/>
      <c r="D39" s="78"/>
    </row>
    <row r="40" spans="1:4" ht="20.100000000000001" customHeight="1" thickBot="1" x14ac:dyDescent="0.3">
      <c r="A40" s="525"/>
      <c r="B40" s="524"/>
      <c r="C40" s="523"/>
      <c r="D40" s="78"/>
    </row>
    <row r="41" spans="1:4" ht="20.100000000000001" customHeight="1" thickBot="1" x14ac:dyDescent="0.3">
      <c r="A41" s="522" t="s">
        <v>731</v>
      </c>
      <c r="B41" s="521"/>
      <c r="C41" s="178">
        <f>C5-C8+C32</f>
        <v>379598112.61000001</v>
      </c>
      <c r="D41" s="78"/>
    </row>
    <row r="42" spans="1:4" ht="20.100000000000001" customHeight="1" x14ac:dyDescent="0.25">
      <c r="A42" s="519"/>
      <c r="B42" s="518"/>
      <c r="C42" s="517"/>
      <c r="D42" s="78" t="str">
        <f>IF((C41-'[1]ETCA-I-03'!C61)&gt;0.9,"ERROR!!!!! EL MONTO NO COINCIDE CON LO REPORTADO EN EL FORMATO ETCA-I-03, EN EL MISMO RUBRO","")</f>
        <v/>
      </c>
    </row>
    <row r="43" spans="1:4" ht="20.100000000000001" customHeight="1" x14ac:dyDescent="0.25">
      <c r="A43" s="520"/>
      <c r="B43" s="518"/>
      <c r="C43" s="517"/>
      <c r="D43" s="78"/>
    </row>
    <row r="44" spans="1:4" ht="20.100000000000001" customHeight="1" x14ac:dyDescent="0.25">
      <c r="A44" s="520"/>
      <c r="B44" s="518"/>
      <c r="C44" s="517"/>
      <c r="D44" s="78"/>
    </row>
    <row r="45" spans="1:4" ht="20.100000000000001" customHeight="1" x14ac:dyDescent="0.25">
      <c r="A45" s="520"/>
      <c r="B45" s="518"/>
      <c r="C45" s="517"/>
      <c r="D45" s="78"/>
    </row>
    <row r="46" spans="1:4" ht="20.100000000000001" customHeight="1" x14ac:dyDescent="0.25">
      <c r="A46" s="520"/>
      <c r="B46" s="518"/>
      <c r="C46" s="517"/>
      <c r="D46" s="78"/>
    </row>
    <row r="47" spans="1:4" ht="26.25" customHeight="1" x14ac:dyDescent="0.25">
      <c r="A47" s="519"/>
      <c r="B47" s="518"/>
      <c r="C47" s="517"/>
      <c r="D47" s="78"/>
    </row>
    <row r="48" spans="1:4" x14ac:dyDescent="0.25">
      <c r="D48" s="78"/>
    </row>
  </sheetData>
  <sheetProtection password="C115" sheet="1" scenarios="1" formatColumns="0" formatRows="0" insertHyperlinks="0"/>
  <mergeCells count="3">
    <mergeCell ref="A1:C1"/>
    <mergeCell ref="A2:C2"/>
    <mergeCell ref="A3:C3"/>
  </mergeCells>
  <printOptions horizontalCentered="1"/>
  <pageMargins left="0.39370078740157483" right="0.39370078740157483" top="0.74803149606299213" bottom="0.74803149606299213" header="0.31496062992125984" footer="0.31496062992125984"/>
  <pageSetup scale="79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DBBF-B163-42C5-BA73-41C65F7E0145}">
  <sheetPr>
    <tabColor theme="0" tint="-0.14999847407452621"/>
  </sheetPr>
  <dimension ref="A1:J37"/>
  <sheetViews>
    <sheetView view="pageBreakPreview" topLeftCell="A23" zoomScaleNormal="100" zoomScaleSheetLayoutView="100" workbookViewId="0">
      <selection activeCell="D30" sqref="D30"/>
    </sheetView>
  </sheetViews>
  <sheetFormatPr baseColWidth="10" defaultColWidth="11.28515625" defaultRowHeight="16.5" x14ac:dyDescent="0.3"/>
  <cols>
    <col min="1" max="1" width="4.28515625" style="549" customWidth="1"/>
    <col min="2" max="2" width="41.7109375" style="549" customWidth="1"/>
    <col min="3" max="5" width="16.7109375" style="549" customWidth="1"/>
    <col min="6" max="16384" width="11.28515625" style="549"/>
  </cols>
  <sheetData>
    <row r="1" spans="1:5" x14ac:dyDescent="0.3">
      <c r="A1" s="173" t="str">
        <f>'[1]ETCA-I-01'!A1:G1</f>
        <v xml:space="preserve">Comision Estatal del Agua </v>
      </c>
      <c r="B1" s="173"/>
      <c r="C1" s="173"/>
      <c r="D1" s="173"/>
      <c r="E1" s="173"/>
    </row>
    <row r="2" spans="1:5" x14ac:dyDescent="0.3">
      <c r="A2" s="585" t="s">
        <v>759</v>
      </c>
      <c r="B2" s="585"/>
      <c r="C2" s="585"/>
      <c r="D2" s="585"/>
      <c r="E2" s="585"/>
    </row>
    <row r="3" spans="1:5" x14ac:dyDescent="0.3">
      <c r="A3" s="586" t="str">
        <f>'[1]ETCA-I-03'!A3:D3</f>
        <v>Del 01 de enero  al 30 de Septiembre de 2020</v>
      </c>
      <c r="B3" s="586"/>
      <c r="C3" s="586"/>
      <c r="D3" s="586"/>
      <c r="E3" s="586"/>
    </row>
    <row r="4" spans="1:5" ht="17.25" thickBot="1" x14ac:dyDescent="0.35">
      <c r="A4" s="584"/>
      <c r="B4" s="585" t="s">
        <v>763</v>
      </c>
      <c r="C4" s="585"/>
      <c r="D4" s="99"/>
      <c r="E4" s="584"/>
    </row>
    <row r="5" spans="1:5" s="55" customFormat="1" ht="30" customHeight="1" x14ac:dyDescent="0.25">
      <c r="A5" s="583" t="s">
        <v>762</v>
      </c>
      <c r="B5" s="582"/>
      <c r="C5" s="581" t="s">
        <v>761</v>
      </c>
      <c r="D5" s="580" t="s">
        <v>760</v>
      </c>
      <c r="E5" s="579" t="s">
        <v>759</v>
      </c>
    </row>
    <row r="6" spans="1:5" s="55" customFormat="1" ht="30" customHeight="1" thickBot="1" x14ac:dyDescent="0.3">
      <c r="A6" s="578"/>
      <c r="B6" s="577"/>
      <c r="C6" s="576" t="s">
        <v>758</v>
      </c>
      <c r="D6" s="576" t="s">
        <v>757</v>
      </c>
      <c r="E6" s="575" t="s">
        <v>756</v>
      </c>
    </row>
    <row r="7" spans="1:5" s="55" customFormat="1" ht="21" customHeight="1" x14ac:dyDescent="0.25">
      <c r="A7" s="574" t="s">
        <v>755</v>
      </c>
      <c r="B7" s="573"/>
      <c r="C7" s="573"/>
      <c r="D7" s="573"/>
      <c r="E7" s="572"/>
    </row>
    <row r="8" spans="1:5" s="55" customFormat="1" ht="20.25" customHeight="1" x14ac:dyDescent="0.25">
      <c r="A8" s="564">
        <v>1</v>
      </c>
      <c r="B8" s="567" t="s">
        <v>754</v>
      </c>
      <c r="C8" s="566">
        <v>446913961</v>
      </c>
      <c r="D8" s="565">
        <f>115913072.36+4010257+4163392.68+0.01+4322375.99+4487430.24+4658787.26+5154272.54+5021381.48</f>
        <v>147730969.55999997</v>
      </c>
      <c r="E8" s="560">
        <f>IF(B8="","",C8-D8)</f>
        <v>299182991.44000006</v>
      </c>
    </row>
    <row r="9" spans="1:5" s="55" customFormat="1" ht="20.25" customHeight="1" x14ac:dyDescent="0.25">
      <c r="A9" s="564">
        <v>2</v>
      </c>
      <c r="B9" s="567"/>
      <c r="C9" s="566"/>
      <c r="D9" s="565"/>
      <c r="E9" s="560" t="str">
        <f>IF(B9="","",C9-D9)</f>
        <v/>
      </c>
    </row>
    <row r="10" spans="1:5" s="55" customFormat="1" ht="20.25" customHeight="1" x14ac:dyDescent="0.25">
      <c r="A10" s="564">
        <v>3</v>
      </c>
      <c r="B10" s="567"/>
      <c r="C10" s="566"/>
      <c r="D10" s="565"/>
      <c r="E10" s="560" t="str">
        <f>IF(B10="","",C10-D10)</f>
        <v/>
      </c>
    </row>
    <row r="11" spans="1:5" s="55" customFormat="1" ht="20.25" customHeight="1" x14ac:dyDescent="0.25">
      <c r="A11" s="564">
        <v>4</v>
      </c>
      <c r="B11" s="567"/>
      <c r="C11" s="566"/>
      <c r="D11" s="565"/>
      <c r="E11" s="560" t="str">
        <f>IF(B11="","",C11-D11)</f>
        <v/>
      </c>
    </row>
    <row r="12" spans="1:5" s="55" customFormat="1" ht="20.25" customHeight="1" x14ac:dyDescent="0.25">
      <c r="A12" s="564">
        <v>5</v>
      </c>
      <c r="B12" s="567"/>
      <c r="C12" s="566"/>
      <c r="D12" s="565"/>
      <c r="E12" s="560" t="str">
        <f>IF(B12="","",C12-D12)</f>
        <v/>
      </c>
    </row>
    <row r="13" spans="1:5" s="55" customFormat="1" ht="20.25" customHeight="1" x14ac:dyDescent="0.25">
      <c r="A13" s="564">
        <v>6</v>
      </c>
      <c r="B13" s="567"/>
      <c r="C13" s="566"/>
      <c r="D13" s="565"/>
      <c r="E13" s="560" t="str">
        <f>IF(B13="","",C13-D13)</f>
        <v/>
      </c>
    </row>
    <row r="14" spans="1:5" s="55" customFormat="1" ht="20.25" customHeight="1" x14ac:dyDescent="0.25">
      <c r="A14" s="564">
        <v>7</v>
      </c>
      <c r="B14" s="567"/>
      <c r="C14" s="566"/>
      <c r="D14" s="565"/>
      <c r="E14" s="560" t="str">
        <f>IF(B14="","",C14-D14)</f>
        <v/>
      </c>
    </row>
    <row r="15" spans="1:5" s="55" customFormat="1" ht="20.25" customHeight="1" x14ac:dyDescent="0.25">
      <c r="A15" s="564">
        <v>8</v>
      </c>
      <c r="B15" s="567"/>
      <c r="C15" s="566"/>
      <c r="D15" s="565"/>
      <c r="E15" s="560" t="str">
        <f>IF(B15="","",C15-D15)</f>
        <v/>
      </c>
    </row>
    <row r="16" spans="1:5" s="55" customFormat="1" ht="20.25" customHeight="1" x14ac:dyDescent="0.25">
      <c r="A16" s="564">
        <v>9</v>
      </c>
      <c r="B16" s="567"/>
      <c r="C16" s="566"/>
      <c r="D16" s="565"/>
      <c r="E16" s="560" t="str">
        <f>IF(B16="","",C16-D16)</f>
        <v/>
      </c>
    </row>
    <row r="17" spans="1:5" s="55" customFormat="1" ht="20.25" customHeight="1" x14ac:dyDescent="0.25">
      <c r="A17" s="564">
        <v>10</v>
      </c>
      <c r="B17" s="567"/>
      <c r="C17" s="566"/>
      <c r="D17" s="565"/>
      <c r="E17" s="560" t="str">
        <f>IF(B17="","",C17-D17)</f>
        <v/>
      </c>
    </row>
    <row r="18" spans="1:5" s="55" customFormat="1" ht="20.25" customHeight="1" x14ac:dyDescent="0.25">
      <c r="A18" s="564"/>
      <c r="B18" s="571" t="s">
        <v>753</v>
      </c>
      <c r="C18" s="562">
        <f>SUM(C8:C17)</f>
        <v>446913961</v>
      </c>
      <c r="D18" s="561">
        <f>SUM(D8:D17)</f>
        <v>147730969.55999997</v>
      </c>
      <c r="E18" s="560">
        <f>SUM(E8:E17)</f>
        <v>299182991.44000006</v>
      </c>
    </row>
    <row r="19" spans="1:5" s="55" customFormat="1" ht="21" customHeight="1" x14ac:dyDescent="0.25">
      <c r="A19" s="570" t="s">
        <v>752</v>
      </c>
      <c r="B19" s="569"/>
      <c r="C19" s="569"/>
      <c r="D19" s="569"/>
      <c r="E19" s="568"/>
    </row>
    <row r="20" spans="1:5" s="55" customFormat="1" ht="20.25" customHeight="1" x14ac:dyDescent="0.25">
      <c r="A20" s="564">
        <v>1</v>
      </c>
      <c r="B20" s="567"/>
      <c r="C20" s="566"/>
      <c r="D20" s="565"/>
      <c r="E20" s="560" t="str">
        <f>IF(B20="","",C20-D20)</f>
        <v/>
      </c>
    </row>
    <row r="21" spans="1:5" s="55" customFormat="1" ht="20.25" customHeight="1" x14ac:dyDescent="0.25">
      <c r="A21" s="564">
        <v>2</v>
      </c>
      <c r="B21" s="567"/>
      <c r="C21" s="566"/>
      <c r="D21" s="565"/>
      <c r="E21" s="560" t="str">
        <f>IF(B21="","",C21-D21)</f>
        <v/>
      </c>
    </row>
    <row r="22" spans="1:5" s="55" customFormat="1" ht="20.25" customHeight="1" x14ac:dyDescent="0.25">
      <c r="A22" s="564">
        <v>3</v>
      </c>
      <c r="B22" s="567"/>
      <c r="C22" s="566"/>
      <c r="D22" s="565"/>
      <c r="E22" s="560" t="str">
        <f>IF(B22="","",C22-D22)</f>
        <v/>
      </c>
    </row>
    <row r="23" spans="1:5" s="55" customFormat="1" ht="20.25" customHeight="1" x14ac:dyDescent="0.25">
      <c r="A23" s="564">
        <v>4</v>
      </c>
      <c r="B23" s="567"/>
      <c r="C23" s="566"/>
      <c r="D23" s="565"/>
      <c r="E23" s="560" t="str">
        <f>IF(B23="","",C23-D23)</f>
        <v/>
      </c>
    </row>
    <row r="24" spans="1:5" s="55" customFormat="1" ht="20.25" customHeight="1" x14ac:dyDescent="0.25">
      <c r="A24" s="564">
        <v>5</v>
      </c>
      <c r="B24" s="567"/>
      <c r="C24" s="566"/>
      <c r="D24" s="565"/>
      <c r="E24" s="560" t="str">
        <f>IF(B24="","",C24-D24)</f>
        <v/>
      </c>
    </row>
    <row r="25" spans="1:5" s="55" customFormat="1" ht="20.25" customHeight="1" x14ac:dyDescent="0.25">
      <c r="A25" s="564">
        <v>6</v>
      </c>
      <c r="B25" s="567"/>
      <c r="C25" s="566"/>
      <c r="D25" s="565"/>
      <c r="E25" s="560" t="str">
        <f>IF(B25="","",C25-D25)</f>
        <v/>
      </c>
    </row>
    <row r="26" spans="1:5" s="55" customFormat="1" ht="20.25" customHeight="1" x14ac:dyDescent="0.25">
      <c r="A26" s="564">
        <v>7</v>
      </c>
      <c r="B26" s="567"/>
      <c r="C26" s="566"/>
      <c r="D26" s="565"/>
      <c r="E26" s="560" t="str">
        <f>IF(B26="","",C26-D26)</f>
        <v/>
      </c>
    </row>
    <row r="27" spans="1:5" s="55" customFormat="1" ht="20.25" customHeight="1" x14ac:dyDescent="0.25">
      <c r="A27" s="564">
        <v>8</v>
      </c>
      <c r="B27" s="567"/>
      <c r="C27" s="566"/>
      <c r="D27" s="565"/>
      <c r="E27" s="560" t="str">
        <f>IF(B27="","",C27-D28)</f>
        <v/>
      </c>
    </row>
    <row r="28" spans="1:5" s="55" customFormat="1" ht="20.25" customHeight="1" x14ac:dyDescent="0.25">
      <c r="A28" s="564">
        <v>9</v>
      </c>
      <c r="B28" s="567"/>
      <c r="C28" s="566"/>
      <c r="D28" s="565"/>
      <c r="E28" s="560" t="str">
        <f>IF(B28="","",C28-#REF!)</f>
        <v/>
      </c>
    </row>
    <row r="29" spans="1:5" s="55" customFormat="1" ht="20.25" customHeight="1" x14ac:dyDescent="0.25">
      <c r="A29" s="564">
        <v>10</v>
      </c>
      <c r="B29" s="567"/>
      <c r="C29" s="566"/>
      <c r="D29" s="565"/>
      <c r="E29" s="560" t="str">
        <f>IF(B29="","",C29-D29)</f>
        <v/>
      </c>
    </row>
    <row r="30" spans="1:5" s="559" customFormat="1" ht="39.950000000000003" customHeight="1" thickBot="1" x14ac:dyDescent="0.35">
      <c r="A30" s="564"/>
      <c r="B30" s="563" t="s">
        <v>751</v>
      </c>
      <c r="C30" s="562">
        <f>SUM(C20:C29)</f>
        <v>0</v>
      </c>
      <c r="D30" s="561">
        <f>SUM(D20:D29)</f>
        <v>0</v>
      </c>
      <c r="E30" s="560">
        <f>SUM(E20:E29)</f>
        <v>0</v>
      </c>
    </row>
    <row r="31" spans="1:5" ht="30" customHeight="1" thickBot="1" x14ac:dyDescent="0.35">
      <c r="A31" s="558"/>
      <c r="B31" s="557" t="s">
        <v>750</v>
      </c>
      <c r="C31" s="556">
        <f>SUM(C18,C30)</f>
        <v>446913961</v>
      </c>
      <c r="D31" s="556">
        <f>SUM(D18,D30)</f>
        <v>147730969.55999997</v>
      </c>
      <c r="E31" s="555">
        <f>SUM(E18,E30)</f>
        <v>299182991.44000006</v>
      </c>
    </row>
    <row r="32" spans="1:5" ht="17.100000000000001" customHeight="1" x14ac:dyDescent="0.3">
      <c r="A32" s="554" t="s">
        <v>749</v>
      </c>
    </row>
    <row r="33" spans="1:10" ht="17.100000000000001" customHeight="1" x14ac:dyDescent="0.3">
      <c r="A33" s="553"/>
      <c r="B33" s="552"/>
      <c r="C33" s="551"/>
      <c r="D33" s="551"/>
      <c r="E33" s="551"/>
    </row>
    <row r="34" spans="1:10" ht="17.100000000000001" customHeight="1" x14ac:dyDescent="0.3">
      <c r="A34" s="553"/>
      <c r="B34" s="552"/>
      <c r="C34" s="551"/>
      <c r="D34" s="551"/>
      <c r="E34" s="551"/>
    </row>
    <row r="35" spans="1:10" ht="17.100000000000001" customHeight="1" x14ac:dyDescent="0.3">
      <c r="A35" s="553"/>
      <c r="B35" s="552"/>
      <c r="C35" s="551"/>
      <c r="D35" s="551"/>
      <c r="E35" s="551"/>
    </row>
    <row r="36" spans="1:10" ht="17.100000000000001" customHeight="1" x14ac:dyDescent="0.3">
      <c r="A36" s="553"/>
      <c r="B36" s="552"/>
      <c r="C36" s="551"/>
      <c r="D36" s="551"/>
      <c r="E36" s="551"/>
    </row>
    <row r="37" spans="1:10" ht="17.100000000000001" customHeight="1" x14ac:dyDescent="0.3">
      <c r="A37" s="549" t="s">
        <v>44</v>
      </c>
      <c r="J37" s="550"/>
    </row>
  </sheetData>
  <sheetProtection insertHyperlinks="0"/>
  <mergeCells count="7">
    <mergeCell ref="A1:E1"/>
    <mergeCell ref="A3:E3"/>
    <mergeCell ref="A19:E19"/>
    <mergeCell ref="A2:E2"/>
    <mergeCell ref="A5:B6"/>
    <mergeCell ref="A7:E7"/>
    <mergeCell ref="B4:C4"/>
  </mergeCells>
  <printOptions horizontalCentered="1"/>
  <pageMargins left="0.39370078740157483" right="0.39370078740157483" top="0.74803149606299213" bottom="0.74803149606299213" header="0.31496062992125984" footer="0.31496062992125984"/>
  <pageSetup scale="9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8D926-4DFE-490B-8072-2003AAE4AE83}">
  <sheetPr>
    <tabColor theme="0" tint="-0.14999847407452621"/>
  </sheetPr>
  <dimension ref="A1:I37"/>
  <sheetViews>
    <sheetView view="pageBreakPreview" topLeftCell="A19" zoomScale="90" zoomScaleNormal="100" zoomScaleSheetLayoutView="90" workbookViewId="0">
      <selection activeCell="D30" sqref="D30"/>
    </sheetView>
  </sheetViews>
  <sheetFormatPr baseColWidth="10" defaultColWidth="11.28515625" defaultRowHeight="16.5" x14ac:dyDescent="0.3"/>
  <cols>
    <col min="1" max="1" width="4.85546875" style="549" customWidth="1"/>
    <col min="2" max="2" width="41" style="549" customWidth="1"/>
    <col min="3" max="4" width="25.7109375" style="549" customWidth="1"/>
    <col min="5" max="16384" width="11.28515625" style="549"/>
  </cols>
  <sheetData>
    <row r="1" spans="1:6" x14ac:dyDescent="0.3">
      <c r="A1" s="597"/>
      <c r="B1" s="173" t="str">
        <f>'[1]ETCA-I-01'!A1</f>
        <v xml:space="preserve">Comision Estatal del Agua </v>
      </c>
      <c r="C1" s="173"/>
      <c r="D1" s="173"/>
    </row>
    <row r="2" spans="1:6" x14ac:dyDescent="0.3">
      <c r="B2" s="585" t="s">
        <v>768</v>
      </c>
      <c r="C2" s="585"/>
      <c r="D2" s="585"/>
      <c r="F2" s="596"/>
    </row>
    <row r="3" spans="1:6" x14ac:dyDescent="0.3">
      <c r="B3" s="586" t="str">
        <f>'[1]ETCA-I-03'!A3</f>
        <v>Del 01 de enero  al 30 de Septiembre de 2020</v>
      </c>
      <c r="C3" s="586"/>
      <c r="D3" s="586"/>
    </row>
    <row r="4" spans="1:6" x14ac:dyDescent="0.3">
      <c r="A4" s="595"/>
      <c r="B4" s="594" t="s">
        <v>767</v>
      </c>
      <c r="C4" s="594"/>
      <c r="D4" s="225"/>
    </row>
    <row r="5" spans="1:6" ht="6.75" customHeight="1" thickBot="1" x14ac:dyDescent="0.35"/>
    <row r="6" spans="1:6" s="55" customFormat="1" ht="27.95" customHeight="1" x14ac:dyDescent="0.25">
      <c r="A6" s="583" t="s">
        <v>762</v>
      </c>
      <c r="B6" s="582"/>
      <c r="C6" s="593" t="s">
        <v>108</v>
      </c>
      <c r="D6" s="592" t="s">
        <v>338</v>
      </c>
    </row>
    <row r="7" spans="1:6" s="55" customFormat="1" ht="4.5" customHeight="1" thickBot="1" x14ac:dyDescent="0.3">
      <c r="A7" s="578"/>
      <c r="B7" s="577"/>
      <c r="C7" s="591"/>
      <c r="D7" s="590"/>
    </row>
    <row r="8" spans="1:6" s="55" customFormat="1" ht="21" customHeight="1" x14ac:dyDescent="0.25">
      <c r="A8" s="574" t="s">
        <v>755</v>
      </c>
      <c r="B8" s="573"/>
      <c r="C8" s="573"/>
      <c r="D8" s="572"/>
    </row>
    <row r="9" spans="1:6" s="55" customFormat="1" ht="18" customHeight="1" x14ac:dyDescent="0.25">
      <c r="A9" s="564">
        <v>1</v>
      </c>
      <c r="B9" s="567" t="s">
        <v>766</v>
      </c>
      <c r="C9" s="589">
        <v>12363625.460000001</v>
      </c>
      <c r="D9" s="588">
        <v>17020130.93</v>
      </c>
    </row>
    <row r="10" spans="1:6" s="55" customFormat="1" ht="18" customHeight="1" x14ac:dyDescent="0.25">
      <c r="A10" s="564">
        <v>2</v>
      </c>
      <c r="B10" s="567"/>
      <c r="C10" s="589"/>
      <c r="D10" s="588"/>
    </row>
    <row r="11" spans="1:6" s="55" customFormat="1" ht="18" customHeight="1" x14ac:dyDescent="0.25">
      <c r="A11" s="564">
        <v>3</v>
      </c>
      <c r="B11" s="567"/>
      <c r="C11" s="589"/>
      <c r="D11" s="588"/>
    </row>
    <row r="12" spans="1:6" s="55" customFormat="1" ht="18" customHeight="1" x14ac:dyDescent="0.25">
      <c r="A12" s="564">
        <v>4</v>
      </c>
      <c r="B12" s="567"/>
      <c r="C12" s="589"/>
      <c r="D12" s="588"/>
    </row>
    <row r="13" spans="1:6" s="55" customFormat="1" ht="18" customHeight="1" x14ac:dyDescent="0.25">
      <c r="A13" s="564">
        <v>5</v>
      </c>
      <c r="B13" s="567"/>
      <c r="C13" s="589"/>
      <c r="D13" s="588"/>
    </row>
    <row r="14" spans="1:6" s="55" customFormat="1" ht="18" customHeight="1" x14ac:dyDescent="0.25">
      <c r="A14" s="564">
        <v>6</v>
      </c>
      <c r="B14" s="567"/>
      <c r="C14" s="589"/>
      <c r="D14" s="588"/>
    </row>
    <row r="15" spans="1:6" s="55" customFormat="1" ht="18" customHeight="1" x14ac:dyDescent="0.25">
      <c r="A15" s="564">
        <v>7</v>
      </c>
      <c r="B15" s="567"/>
      <c r="C15" s="589"/>
      <c r="D15" s="588"/>
    </row>
    <row r="16" spans="1:6" s="55" customFormat="1" ht="18" customHeight="1" x14ac:dyDescent="0.25">
      <c r="A16" s="564">
        <v>8</v>
      </c>
      <c r="B16" s="567"/>
      <c r="C16" s="589"/>
      <c r="D16" s="588"/>
    </row>
    <row r="17" spans="1:4" s="55" customFormat="1" ht="18" customHeight="1" x14ac:dyDescent="0.25">
      <c r="A17" s="564">
        <v>9</v>
      </c>
      <c r="B17" s="567"/>
      <c r="C17" s="589"/>
      <c r="D17" s="588"/>
    </row>
    <row r="18" spans="1:4" s="55" customFormat="1" ht="18" customHeight="1" x14ac:dyDescent="0.25">
      <c r="A18" s="564">
        <v>10</v>
      </c>
      <c r="B18" s="567"/>
      <c r="C18" s="589"/>
      <c r="D18" s="588"/>
    </row>
    <row r="19" spans="1:4" s="55" customFormat="1" ht="18" customHeight="1" x14ac:dyDescent="0.25">
      <c r="A19" s="564"/>
      <c r="B19" s="571" t="s">
        <v>765</v>
      </c>
      <c r="C19" s="562">
        <f>SUM(C9:C18)</f>
        <v>12363625.460000001</v>
      </c>
      <c r="D19" s="560">
        <f>SUM(D9:D18)</f>
        <v>17020130.93</v>
      </c>
    </row>
    <row r="20" spans="1:4" s="55" customFormat="1" ht="21" customHeight="1" x14ac:dyDescent="0.25">
      <c r="A20" s="570" t="s">
        <v>752</v>
      </c>
      <c r="B20" s="569"/>
      <c r="C20" s="569"/>
      <c r="D20" s="568"/>
    </row>
    <row r="21" spans="1:4" s="55" customFormat="1" ht="18" customHeight="1" x14ac:dyDescent="0.25">
      <c r="A21" s="564">
        <v>1</v>
      </c>
      <c r="B21" s="567"/>
      <c r="C21" s="589"/>
      <c r="D21" s="588"/>
    </row>
    <row r="22" spans="1:4" s="55" customFormat="1" ht="18" customHeight="1" x14ac:dyDescent="0.25">
      <c r="A22" s="564">
        <v>2</v>
      </c>
      <c r="B22" s="567"/>
      <c r="C22" s="589"/>
      <c r="D22" s="588"/>
    </row>
    <row r="23" spans="1:4" s="55" customFormat="1" ht="18" customHeight="1" x14ac:dyDescent="0.25">
      <c r="A23" s="564">
        <v>3</v>
      </c>
      <c r="B23" s="567"/>
      <c r="C23" s="589"/>
      <c r="D23" s="588"/>
    </row>
    <row r="24" spans="1:4" s="55" customFormat="1" ht="18" customHeight="1" x14ac:dyDescent="0.25">
      <c r="A24" s="564">
        <v>4</v>
      </c>
      <c r="B24" s="567"/>
      <c r="C24" s="589"/>
      <c r="D24" s="588"/>
    </row>
    <row r="25" spans="1:4" s="55" customFormat="1" ht="18" customHeight="1" x14ac:dyDescent="0.25">
      <c r="A25" s="564">
        <v>5</v>
      </c>
      <c r="B25" s="567"/>
      <c r="C25" s="589"/>
      <c r="D25" s="588"/>
    </row>
    <row r="26" spans="1:4" s="55" customFormat="1" ht="18" customHeight="1" x14ac:dyDescent="0.25">
      <c r="A26" s="564">
        <v>6</v>
      </c>
      <c r="B26" s="567"/>
      <c r="C26" s="589"/>
      <c r="D26" s="588"/>
    </row>
    <row r="27" spans="1:4" s="55" customFormat="1" ht="18" customHeight="1" x14ac:dyDescent="0.25">
      <c r="A27" s="564">
        <v>7</v>
      </c>
      <c r="B27" s="567"/>
      <c r="C27" s="589"/>
      <c r="D27" s="588"/>
    </row>
    <row r="28" spans="1:4" s="55" customFormat="1" ht="18" customHeight="1" x14ac:dyDescent="0.25">
      <c r="A28" s="564">
        <v>8</v>
      </c>
      <c r="B28" s="567"/>
      <c r="C28" s="589"/>
      <c r="D28" s="588"/>
    </row>
    <row r="29" spans="1:4" s="55" customFormat="1" ht="18" customHeight="1" x14ac:dyDescent="0.25">
      <c r="A29" s="564">
        <v>9</v>
      </c>
      <c r="B29" s="567"/>
      <c r="C29" s="589"/>
      <c r="D29" s="588"/>
    </row>
    <row r="30" spans="1:4" s="55" customFormat="1" ht="18" customHeight="1" x14ac:dyDescent="0.25">
      <c r="A30" s="564">
        <v>10</v>
      </c>
      <c r="B30" s="567"/>
      <c r="C30" s="589" t="s">
        <v>44</v>
      </c>
      <c r="D30" s="588"/>
    </row>
    <row r="31" spans="1:4" s="559" customFormat="1" ht="18" customHeight="1" thickBot="1" x14ac:dyDescent="0.35">
      <c r="A31" s="564"/>
      <c r="B31" s="563" t="s">
        <v>764</v>
      </c>
      <c r="C31" s="562">
        <f>SUM(C21:C30)</f>
        <v>0</v>
      </c>
      <c r="D31" s="560">
        <f>SUM(D21:D30)</f>
        <v>0</v>
      </c>
    </row>
    <row r="32" spans="1:4" ht="27.95" customHeight="1" thickBot="1" x14ac:dyDescent="0.35">
      <c r="A32" s="558"/>
      <c r="B32" s="557" t="s">
        <v>750</v>
      </c>
      <c r="C32" s="556">
        <f>SUM(C31,C19)</f>
        <v>12363625.460000001</v>
      </c>
      <c r="D32" s="587">
        <f>SUM(D31,D19)</f>
        <v>17020130.93</v>
      </c>
    </row>
    <row r="33" spans="1:9" s="559" customFormat="1" ht="18" customHeight="1" x14ac:dyDescent="0.3">
      <c r="A33" s="554" t="s">
        <v>749</v>
      </c>
      <c r="B33" s="549"/>
      <c r="C33" s="549"/>
      <c r="D33" s="549"/>
      <c r="E33" s="549"/>
    </row>
    <row r="34" spans="1:9" s="559" customFormat="1" ht="18" customHeight="1" x14ac:dyDescent="0.3">
      <c r="A34" s="549"/>
      <c r="B34" s="549"/>
      <c r="C34" s="549"/>
      <c r="D34" s="549"/>
      <c r="E34" s="549"/>
    </row>
    <row r="35" spans="1:9" s="559" customFormat="1" ht="18" customHeight="1" x14ac:dyDescent="0.3">
      <c r="A35" s="549"/>
      <c r="B35" s="549"/>
      <c r="C35" s="549"/>
      <c r="D35" s="549"/>
      <c r="E35" s="549"/>
    </row>
    <row r="36" spans="1:9" ht="17.100000000000001" customHeight="1" x14ac:dyDescent="0.3">
      <c r="A36" s="553"/>
      <c r="B36" s="552"/>
      <c r="C36" s="551"/>
      <c r="D36" s="551"/>
    </row>
    <row r="37" spans="1:9" ht="17.100000000000001" customHeight="1" x14ac:dyDescent="0.3">
      <c r="I37" s="550"/>
    </row>
  </sheetData>
  <sheetProtection insertHyperlinks="0"/>
  <mergeCells count="9">
    <mergeCell ref="A8:D8"/>
    <mergeCell ref="A20:D20"/>
    <mergeCell ref="C6:C7"/>
    <mergeCell ref="D6:D7"/>
    <mergeCell ref="B1:D1"/>
    <mergeCell ref="B2:D2"/>
    <mergeCell ref="B3:D3"/>
    <mergeCell ref="B4:C4"/>
    <mergeCell ref="A6:B7"/>
  </mergeCells>
  <printOptions horizontalCentered="1"/>
  <pageMargins left="0.39370078740157483" right="0.39370078740157483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B6B33-4ED5-4FF9-9104-D21D5B7F665C}">
  <sheetPr>
    <tabColor theme="0" tint="-0.14999847407452621"/>
  </sheetPr>
  <dimension ref="A1:J90"/>
  <sheetViews>
    <sheetView view="pageBreakPreview" topLeftCell="A67" zoomScale="130" zoomScaleNormal="120" zoomScaleSheetLayoutView="130" workbookViewId="0">
      <selection activeCell="D30" sqref="D30"/>
    </sheetView>
  </sheetViews>
  <sheetFormatPr baseColWidth="10" defaultColWidth="11.42578125" defaultRowHeight="15" x14ac:dyDescent="0.25"/>
  <cols>
    <col min="1" max="1" width="1.85546875" customWidth="1"/>
    <col min="2" max="2" width="0.85546875" customWidth="1"/>
    <col min="3" max="3" width="48.28515625" customWidth="1"/>
    <col min="5" max="5" width="12.85546875" customWidth="1"/>
    <col min="7" max="7" width="12" bestFit="1" customWidth="1"/>
  </cols>
  <sheetData>
    <row r="1" spans="1:9" ht="15.75" x14ac:dyDescent="0.25">
      <c r="A1" s="173" t="str">
        <f>'[1]ETCA-I-01'!A1:G1</f>
        <v xml:space="preserve">Comision Estatal del Agua </v>
      </c>
      <c r="B1" s="173"/>
      <c r="C1" s="173"/>
      <c r="D1" s="173"/>
      <c r="E1" s="173"/>
      <c r="F1" s="173"/>
      <c r="G1" s="173"/>
      <c r="H1" s="173"/>
      <c r="I1" s="173"/>
    </row>
    <row r="2" spans="1:9" ht="15.75" customHeight="1" x14ac:dyDescent="0.25">
      <c r="A2" s="172" t="s">
        <v>113</v>
      </c>
      <c r="B2" s="172"/>
      <c r="C2" s="172"/>
      <c r="D2" s="172"/>
      <c r="E2" s="172"/>
      <c r="F2" s="172"/>
      <c r="G2" s="172"/>
      <c r="H2" s="172"/>
      <c r="I2" s="172"/>
    </row>
    <row r="3" spans="1:9" ht="15.75" customHeight="1" x14ac:dyDescent="0.25">
      <c r="A3" s="171" t="str">
        <f>'[1]ETCA-I-10'!A3:K3</f>
        <v>Del 01 de enero  al 30 de Septiembre de 2020</v>
      </c>
      <c r="B3" s="171"/>
      <c r="C3" s="171"/>
      <c r="D3" s="171"/>
      <c r="E3" s="171"/>
      <c r="F3" s="171"/>
      <c r="G3" s="171"/>
      <c r="H3" s="171"/>
      <c r="I3" s="171"/>
    </row>
    <row r="4" spans="1:9" ht="15.75" customHeight="1" thickBot="1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ht="15.75" thickBot="1" x14ac:dyDescent="0.3">
      <c r="A5" s="169"/>
      <c r="B5" s="168"/>
      <c r="C5" s="167"/>
      <c r="D5" s="166" t="s">
        <v>33</v>
      </c>
      <c r="E5" s="165"/>
      <c r="F5" s="165"/>
      <c r="G5" s="165"/>
      <c r="H5" s="164"/>
      <c r="I5" s="159" t="s">
        <v>112</v>
      </c>
    </row>
    <row r="6" spans="1:9" x14ac:dyDescent="0.25">
      <c r="A6" s="163" t="s">
        <v>111</v>
      </c>
      <c r="B6" s="162"/>
      <c r="C6" s="161"/>
      <c r="D6" s="159" t="s">
        <v>110</v>
      </c>
      <c r="E6" s="160" t="s">
        <v>109</v>
      </c>
      <c r="F6" s="159" t="s">
        <v>30</v>
      </c>
      <c r="G6" s="159" t="s">
        <v>108</v>
      </c>
      <c r="H6" s="159" t="s">
        <v>107</v>
      </c>
      <c r="I6" s="158"/>
    </row>
    <row r="7" spans="1:9" ht="15.75" thickBot="1" x14ac:dyDescent="0.3">
      <c r="A7" s="157" t="s">
        <v>106</v>
      </c>
      <c r="B7" s="156"/>
      <c r="C7" s="155"/>
      <c r="D7" s="153"/>
      <c r="E7" s="154"/>
      <c r="F7" s="153"/>
      <c r="G7" s="153"/>
      <c r="H7" s="153"/>
      <c r="I7" s="153"/>
    </row>
    <row r="8" spans="1:9" x14ac:dyDescent="0.25">
      <c r="A8" s="152"/>
      <c r="B8" s="151"/>
      <c r="C8" s="150"/>
      <c r="D8" s="149"/>
      <c r="E8" s="149"/>
      <c r="F8" s="149"/>
      <c r="G8" s="149"/>
      <c r="H8" s="149"/>
      <c r="I8" s="149"/>
    </row>
    <row r="9" spans="1:9" x14ac:dyDescent="0.25">
      <c r="A9" s="121" t="s">
        <v>105</v>
      </c>
      <c r="B9" s="113"/>
      <c r="C9" s="148"/>
      <c r="D9" s="147"/>
      <c r="E9" s="147"/>
      <c r="F9" s="147"/>
      <c r="G9" s="147"/>
      <c r="H9" s="147"/>
      <c r="I9" s="147"/>
    </row>
    <row r="10" spans="1:9" x14ac:dyDescent="0.25">
      <c r="A10" s="114"/>
      <c r="B10" s="120" t="s">
        <v>104</v>
      </c>
      <c r="C10" s="119"/>
      <c r="D10" s="116">
        <v>0</v>
      </c>
      <c r="E10" s="116">
        <v>0</v>
      </c>
      <c r="F10" s="116">
        <f>+D10+E10</f>
        <v>0</v>
      </c>
      <c r="G10" s="116">
        <v>0</v>
      </c>
      <c r="H10" s="116">
        <v>0</v>
      </c>
      <c r="I10" s="115">
        <f>+H10-D10</f>
        <v>0</v>
      </c>
    </row>
    <row r="11" spans="1:9" x14ac:dyDescent="0.25">
      <c r="A11" s="114"/>
      <c r="B11" s="120" t="s">
        <v>103</v>
      </c>
      <c r="C11" s="119"/>
      <c r="D11" s="116">
        <v>0</v>
      </c>
      <c r="E11" s="116">
        <v>0</v>
      </c>
      <c r="F11" s="116">
        <f>+D11+E11</f>
        <v>0</v>
      </c>
      <c r="G11" s="116">
        <v>0</v>
      </c>
      <c r="H11" s="116">
        <v>0</v>
      </c>
      <c r="I11" s="115">
        <f>+H11-D11</f>
        <v>0</v>
      </c>
    </row>
    <row r="12" spans="1:9" x14ac:dyDescent="0.25">
      <c r="A12" s="114"/>
      <c r="B12" s="120" t="s">
        <v>102</v>
      </c>
      <c r="C12" s="119"/>
      <c r="D12" s="116">
        <v>0</v>
      </c>
      <c r="E12" s="116">
        <v>0</v>
      </c>
      <c r="F12" s="116">
        <f>+D12+E12</f>
        <v>0</v>
      </c>
      <c r="G12" s="116">
        <v>0</v>
      </c>
      <c r="H12" s="116">
        <v>0</v>
      </c>
      <c r="I12" s="115">
        <f>+H12-D12</f>
        <v>0</v>
      </c>
    </row>
    <row r="13" spans="1:9" x14ac:dyDescent="0.25">
      <c r="A13" s="114"/>
      <c r="B13" s="120" t="s">
        <v>101</v>
      </c>
      <c r="C13" s="119"/>
      <c r="D13" s="116">
        <v>0</v>
      </c>
      <c r="E13" s="116">
        <v>0</v>
      </c>
      <c r="F13" s="116">
        <f>+D13+E13</f>
        <v>0</v>
      </c>
      <c r="G13" s="116">
        <v>0</v>
      </c>
      <c r="H13" s="116">
        <v>0</v>
      </c>
      <c r="I13" s="115">
        <f>+H13-D13</f>
        <v>0</v>
      </c>
    </row>
    <row r="14" spans="1:9" x14ac:dyDescent="0.25">
      <c r="A14" s="114"/>
      <c r="B14" s="120" t="s">
        <v>100</v>
      </c>
      <c r="C14" s="119"/>
      <c r="D14" s="116">
        <v>0</v>
      </c>
      <c r="E14" s="116">
        <v>545074.25</v>
      </c>
      <c r="F14" s="116">
        <f>+D14+E14</f>
        <v>545074.25</v>
      </c>
      <c r="G14" s="116">
        <v>545074.25</v>
      </c>
      <c r="H14" s="116">
        <v>545074.25</v>
      </c>
      <c r="I14" s="115">
        <f>+H14-D14</f>
        <v>545074.25</v>
      </c>
    </row>
    <row r="15" spans="1:9" x14ac:dyDescent="0.25">
      <c r="A15" s="114"/>
      <c r="B15" s="120" t="s">
        <v>99</v>
      </c>
      <c r="C15" s="119"/>
      <c r="D15" s="116">
        <v>0</v>
      </c>
      <c r="E15" s="116">
        <v>0</v>
      </c>
      <c r="F15" s="116">
        <f>+D15+E15</f>
        <v>0</v>
      </c>
      <c r="G15" s="116">
        <v>0</v>
      </c>
      <c r="H15" s="116"/>
      <c r="I15" s="115">
        <f>+H15-D15</f>
        <v>0</v>
      </c>
    </row>
    <row r="16" spans="1:9" x14ac:dyDescent="0.25">
      <c r="A16" s="114"/>
      <c r="B16" s="120" t="s">
        <v>98</v>
      </c>
      <c r="C16" s="119"/>
      <c r="D16" s="116">
        <v>236101777</v>
      </c>
      <c r="E16" s="116">
        <v>15729355.27</v>
      </c>
      <c r="F16" s="116">
        <f>+D16+E16</f>
        <v>251831132.27000001</v>
      </c>
      <c r="G16" s="116">
        <v>137525427.03</v>
      </c>
      <c r="H16" s="116">
        <v>137525427.03</v>
      </c>
      <c r="I16" s="115">
        <f>+H16-D16</f>
        <v>-98576349.969999999</v>
      </c>
    </row>
    <row r="17" spans="1:9" x14ac:dyDescent="0.25">
      <c r="A17" s="146"/>
      <c r="B17" s="120" t="s">
        <v>97</v>
      </c>
      <c r="C17" s="119"/>
      <c r="D17" s="145">
        <f>SUM(D19:D29)</f>
        <v>0</v>
      </c>
      <c r="E17" s="145">
        <f>SUM(E19:E29)</f>
        <v>0</v>
      </c>
      <c r="F17" s="145">
        <f>SUM(F19:F29)</f>
        <v>0</v>
      </c>
      <c r="G17" s="145">
        <f>SUM(G19:G29)</f>
        <v>0</v>
      </c>
      <c r="H17" s="145">
        <f>SUM(H19:H29)</f>
        <v>0</v>
      </c>
      <c r="I17" s="145">
        <f>SUM(I19:I29)</f>
        <v>0</v>
      </c>
    </row>
    <row r="18" spans="1:9" x14ac:dyDescent="0.25">
      <c r="A18" s="146"/>
      <c r="B18" s="120" t="s">
        <v>96</v>
      </c>
      <c r="C18" s="119"/>
      <c r="D18" s="145"/>
      <c r="E18" s="145"/>
      <c r="F18" s="145"/>
      <c r="G18" s="145"/>
      <c r="H18" s="145"/>
      <c r="I18" s="145"/>
    </row>
    <row r="19" spans="1:9" x14ac:dyDescent="0.25">
      <c r="A19" s="114"/>
      <c r="B19" s="127"/>
      <c r="C19" s="132" t="s">
        <v>95</v>
      </c>
      <c r="D19" s="116">
        <v>0</v>
      </c>
      <c r="E19" s="116">
        <v>0</v>
      </c>
      <c r="F19" s="116">
        <f>+D19+E19</f>
        <v>0</v>
      </c>
      <c r="G19" s="116">
        <v>0</v>
      </c>
      <c r="H19" s="116">
        <v>0</v>
      </c>
      <c r="I19" s="115">
        <f>+H19-D19</f>
        <v>0</v>
      </c>
    </row>
    <row r="20" spans="1:9" x14ac:dyDescent="0.25">
      <c r="A20" s="114"/>
      <c r="B20" s="127"/>
      <c r="C20" s="132" t="s">
        <v>94</v>
      </c>
      <c r="D20" s="116">
        <v>0</v>
      </c>
      <c r="E20" s="116">
        <v>0</v>
      </c>
      <c r="F20" s="116">
        <f>+D20+E20</f>
        <v>0</v>
      </c>
      <c r="G20" s="116">
        <v>0</v>
      </c>
      <c r="H20" s="116">
        <v>0</v>
      </c>
      <c r="I20" s="115">
        <f>+H20-D20</f>
        <v>0</v>
      </c>
    </row>
    <row r="21" spans="1:9" x14ac:dyDescent="0.25">
      <c r="A21" s="114"/>
      <c r="B21" s="127"/>
      <c r="C21" s="132" t="s">
        <v>93</v>
      </c>
      <c r="D21" s="116">
        <v>0</v>
      </c>
      <c r="E21" s="116">
        <v>0</v>
      </c>
      <c r="F21" s="116">
        <f>+D21+E21</f>
        <v>0</v>
      </c>
      <c r="G21" s="116">
        <v>0</v>
      </c>
      <c r="H21" s="116">
        <v>0</v>
      </c>
      <c r="I21" s="115">
        <f>+H21-D21</f>
        <v>0</v>
      </c>
    </row>
    <row r="22" spans="1:9" x14ac:dyDescent="0.25">
      <c r="A22" s="114"/>
      <c r="B22" s="127"/>
      <c r="C22" s="132" t="s">
        <v>92</v>
      </c>
      <c r="D22" s="116">
        <v>0</v>
      </c>
      <c r="E22" s="116">
        <v>0</v>
      </c>
      <c r="F22" s="116">
        <f>+D22+E22</f>
        <v>0</v>
      </c>
      <c r="G22" s="116">
        <v>0</v>
      </c>
      <c r="H22" s="116">
        <v>0</v>
      </c>
      <c r="I22" s="115">
        <f>+H22-D22</f>
        <v>0</v>
      </c>
    </row>
    <row r="23" spans="1:9" x14ac:dyDescent="0.25">
      <c r="A23" s="114"/>
      <c r="B23" s="127"/>
      <c r="C23" s="132" t="s">
        <v>91</v>
      </c>
      <c r="D23" s="116">
        <v>0</v>
      </c>
      <c r="E23" s="116">
        <v>0</v>
      </c>
      <c r="F23" s="116">
        <f>+D23+E23</f>
        <v>0</v>
      </c>
      <c r="G23" s="116">
        <v>0</v>
      </c>
      <c r="H23" s="116">
        <v>0</v>
      </c>
      <c r="I23" s="115">
        <f>+H23-D23</f>
        <v>0</v>
      </c>
    </row>
    <row r="24" spans="1:9" x14ac:dyDescent="0.25">
      <c r="A24" s="114"/>
      <c r="B24" s="127"/>
      <c r="C24" s="132" t="s">
        <v>90</v>
      </c>
      <c r="D24" s="116">
        <v>0</v>
      </c>
      <c r="E24" s="116">
        <v>0</v>
      </c>
      <c r="F24" s="116">
        <f>+D24+E24</f>
        <v>0</v>
      </c>
      <c r="G24" s="116">
        <v>0</v>
      </c>
      <c r="H24" s="116">
        <v>0</v>
      </c>
      <c r="I24" s="115">
        <f>+H24-D24</f>
        <v>0</v>
      </c>
    </row>
    <row r="25" spans="1:9" x14ac:dyDescent="0.25">
      <c r="A25" s="114"/>
      <c r="B25" s="127"/>
      <c r="C25" s="132" t="s">
        <v>89</v>
      </c>
      <c r="D25" s="116">
        <v>0</v>
      </c>
      <c r="E25" s="116">
        <v>0</v>
      </c>
      <c r="F25" s="116">
        <f>+D25+E25</f>
        <v>0</v>
      </c>
      <c r="G25" s="116">
        <v>0</v>
      </c>
      <c r="H25" s="116">
        <v>0</v>
      </c>
      <c r="I25" s="115">
        <f>+H25-D25</f>
        <v>0</v>
      </c>
    </row>
    <row r="26" spans="1:9" x14ac:dyDescent="0.25">
      <c r="A26" s="114"/>
      <c r="B26" s="127"/>
      <c r="C26" s="132" t="s">
        <v>88</v>
      </c>
      <c r="D26" s="116">
        <v>0</v>
      </c>
      <c r="E26" s="116">
        <v>0</v>
      </c>
      <c r="F26" s="116">
        <f>+D26+E26</f>
        <v>0</v>
      </c>
      <c r="G26" s="116">
        <v>0</v>
      </c>
      <c r="H26" s="116">
        <v>0</v>
      </c>
      <c r="I26" s="115">
        <f>+H26-D26</f>
        <v>0</v>
      </c>
    </row>
    <row r="27" spans="1:9" x14ac:dyDescent="0.25">
      <c r="A27" s="114"/>
      <c r="B27" s="127"/>
      <c r="C27" s="132" t="s">
        <v>87</v>
      </c>
      <c r="D27" s="116">
        <v>0</v>
      </c>
      <c r="E27" s="116">
        <v>0</v>
      </c>
      <c r="F27" s="116">
        <f>+D27+E27</f>
        <v>0</v>
      </c>
      <c r="G27" s="116">
        <v>0</v>
      </c>
      <c r="H27" s="116">
        <v>0</v>
      </c>
      <c r="I27" s="115">
        <f>+H27-D27</f>
        <v>0</v>
      </c>
    </row>
    <row r="28" spans="1:9" x14ac:dyDescent="0.25">
      <c r="A28" s="114"/>
      <c r="B28" s="127"/>
      <c r="C28" s="132" t="s">
        <v>86</v>
      </c>
      <c r="D28" s="116">
        <v>0</v>
      </c>
      <c r="E28" s="116">
        <v>0</v>
      </c>
      <c r="F28" s="116">
        <f>+D28+E28</f>
        <v>0</v>
      </c>
      <c r="G28" s="116">
        <v>0</v>
      </c>
      <c r="H28" s="116">
        <v>0</v>
      </c>
      <c r="I28" s="115">
        <f>+H28-D28</f>
        <v>0</v>
      </c>
    </row>
    <row r="29" spans="1:9" x14ac:dyDescent="0.25">
      <c r="A29" s="114"/>
      <c r="B29" s="127"/>
      <c r="C29" s="132" t="s">
        <v>85</v>
      </c>
      <c r="D29" s="116">
        <v>0</v>
      </c>
      <c r="E29" s="116">
        <v>0</v>
      </c>
      <c r="F29" s="116">
        <f>+D29+E29</f>
        <v>0</v>
      </c>
      <c r="G29" s="116">
        <v>0</v>
      </c>
      <c r="H29" s="116">
        <v>0</v>
      </c>
      <c r="I29" s="115">
        <f>+H29-D29</f>
        <v>0</v>
      </c>
    </row>
    <row r="30" spans="1:9" x14ac:dyDescent="0.25">
      <c r="A30" s="114"/>
      <c r="B30" s="120" t="s">
        <v>84</v>
      </c>
      <c r="C30" s="119"/>
      <c r="D30" s="115">
        <f>SUM(D31:D35)</f>
        <v>0</v>
      </c>
      <c r="E30" s="115">
        <f>SUM(E31:E35)</f>
        <v>0</v>
      </c>
      <c r="F30" s="115">
        <f>SUM(F31:F35)</f>
        <v>0</v>
      </c>
      <c r="G30" s="115">
        <f>SUM(G31:G35)</f>
        <v>0</v>
      </c>
      <c r="H30" s="115">
        <f>SUM(H31:H35)</f>
        <v>0</v>
      </c>
      <c r="I30" s="115">
        <f>SUM(I31:I35)</f>
        <v>0</v>
      </c>
    </row>
    <row r="31" spans="1:9" x14ac:dyDescent="0.25">
      <c r="A31" s="114"/>
      <c r="B31" s="127"/>
      <c r="C31" s="132" t="s">
        <v>83</v>
      </c>
      <c r="D31" s="116">
        <v>0</v>
      </c>
      <c r="E31" s="116">
        <v>0</v>
      </c>
      <c r="F31" s="116">
        <v>0</v>
      </c>
      <c r="G31" s="116"/>
      <c r="H31" s="116">
        <v>0</v>
      </c>
      <c r="I31" s="115">
        <f>+H31-D31</f>
        <v>0</v>
      </c>
    </row>
    <row r="32" spans="1:9" x14ac:dyDescent="0.25">
      <c r="A32" s="114"/>
      <c r="B32" s="127"/>
      <c r="C32" s="132" t="s">
        <v>82</v>
      </c>
      <c r="D32" s="116">
        <v>0</v>
      </c>
      <c r="E32" s="116">
        <v>0</v>
      </c>
      <c r="F32" s="116">
        <f>+D32+E32</f>
        <v>0</v>
      </c>
      <c r="G32" s="116"/>
      <c r="H32" s="116">
        <v>0</v>
      </c>
      <c r="I32" s="115">
        <f>+H32-D32</f>
        <v>0</v>
      </c>
    </row>
    <row r="33" spans="1:9" ht="15.75" thickBot="1" x14ac:dyDescent="0.3">
      <c r="A33" s="131"/>
      <c r="B33" s="130"/>
      <c r="C33" s="144" t="s">
        <v>81</v>
      </c>
      <c r="D33" s="128">
        <v>0</v>
      </c>
      <c r="E33" s="128">
        <v>0</v>
      </c>
      <c r="F33" s="128">
        <f>+D33+E33</f>
        <v>0</v>
      </c>
      <c r="G33" s="128"/>
      <c r="H33" s="128"/>
      <c r="I33" s="107">
        <f>+H33-D33</f>
        <v>0</v>
      </c>
    </row>
    <row r="34" spans="1:9" x14ac:dyDescent="0.25">
      <c r="A34" s="114"/>
      <c r="B34" s="127"/>
      <c r="C34" s="132" t="s">
        <v>80</v>
      </c>
      <c r="D34" s="116">
        <v>0</v>
      </c>
      <c r="E34" s="116">
        <v>0</v>
      </c>
      <c r="F34" s="116">
        <f>+D34+E34</f>
        <v>0</v>
      </c>
      <c r="G34" s="116"/>
      <c r="H34" s="116"/>
      <c r="I34" s="115">
        <f>+H34-D34</f>
        <v>0</v>
      </c>
    </row>
    <row r="35" spans="1:9" x14ac:dyDescent="0.25">
      <c r="A35" s="114"/>
      <c r="B35" s="127"/>
      <c r="C35" s="132" t="s">
        <v>79</v>
      </c>
      <c r="D35" s="116">
        <v>0</v>
      </c>
      <c r="E35" s="116">
        <v>0</v>
      </c>
      <c r="F35" s="116">
        <f>+D35+E35</f>
        <v>0</v>
      </c>
      <c r="G35" s="116"/>
      <c r="H35" s="116"/>
      <c r="I35" s="115">
        <f>+H35-D35</f>
        <v>0</v>
      </c>
    </row>
    <row r="36" spans="1:9" x14ac:dyDescent="0.25">
      <c r="A36" s="114"/>
      <c r="B36" s="143" t="s">
        <v>78</v>
      </c>
      <c r="C36" s="142"/>
      <c r="D36" s="116">
        <v>299012407</v>
      </c>
      <c r="E36" s="116">
        <v>74247050.060000002</v>
      </c>
      <c r="F36" s="125">
        <f>+D36+E36</f>
        <v>373259457.06</v>
      </c>
      <c r="G36" s="116">
        <v>228549509.94999999</v>
      </c>
      <c r="H36" s="116">
        <v>228549509.94999999</v>
      </c>
      <c r="I36" s="141">
        <f>+H36-D36</f>
        <v>-70462897.050000012</v>
      </c>
    </row>
    <row r="37" spans="1:9" x14ac:dyDescent="0.25">
      <c r="A37" s="114"/>
      <c r="B37" s="120" t="s">
        <v>77</v>
      </c>
      <c r="C37" s="119"/>
      <c r="D37" s="115">
        <f>SUM(D38)</f>
        <v>0</v>
      </c>
      <c r="E37" s="115">
        <f>SUM(E38)</f>
        <v>0</v>
      </c>
      <c r="F37" s="115">
        <f>SUM(F38)</f>
        <v>0</v>
      </c>
      <c r="G37" s="115">
        <f>SUM(G38)</f>
        <v>0</v>
      </c>
      <c r="H37" s="115">
        <f>SUM(H38)</f>
        <v>0</v>
      </c>
      <c r="I37" s="115">
        <f>SUM(I38)</f>
        <v>0</v>
      </c>
    </row>
    <row r="38" spans="1:9" x14ac:dyDescent="0.25">
      <c r="A38" s="114"/>
      <c r="B38" s="127"/>
      <c r="C38" s="132" t="s">
        <v>76</v>
      </c>
      <c r="D38" s="116">
        <v>0</v>
      </c>
      <c r="E38" s="116"/>
      <c r="F38" s="116">
        <f>+D38+E38</f>
        <v>0</v>
      </c>
      <c r="G38" s="116"/>
      <c r="H38" s="116"/>
      <c r="I38" s="115">
        <f>+H38-D38</f>
        <v>0</v>
      </c>
    </row>
    <row r="39" spans="1:9" x14ac:dyDescent="0.25">
      <c r="A39" s="114"/>
      <c r="B39" s="120" t="s">
        <v>75</v>
      </c>
      <c r="C39" s="119"/>
      <c r="D39" s="115">
        <f>SUM(D40:D41)</f>
        <v>0</v>
      </c>
      <c r="E39" s="115">
        <f>SUM(E40:E41)</f>
        <v>0</v>
      </c>
      <c r="F39" s="115">
        <f>SUM(F40:F41)</f>
        <v>0</v>
      </c>
      <c r="G39" s="115">
        <f>SUM(G40:G41)</f>
        <v>0</v>
      </c>
      <c r="H39" s="115">
        <f>SUM(H40:H41)</f>
        <v>0</v>
      </c>
      <c r="I39" s="115">
        <f>SUM(I40:I41)</f>
        <v>0</v>
      </c>
    </row>
    <row r="40" spans="1:9" x14ac:dyDescent="0.25">
      <c r="A40" s="114"/>
      <c r="B40" s="127"/>
      <c r="C40" s="132" t="s">
        <v>74</v>
      </c>
      <c r="D40" s="116">
        <v>0</v>
      </c>
      <c r="E40" s="116">
        <v>0</v>
      </c>
      <c r="F40" s="116">
        <f>+D40+E40</f>
        <v>0</v>
      </c>
      <c r="G40" s="116"/>
      <c r="H40" s="116"/>
      <c r="I40" s="115">
        <f>H40-D40</f>
        <v>0</v>
      </c>
    </row>
    <row r="41" spans="1:9" x14ac:dyDescent="0.25">
      <c r="A41" s="114"/>
      <c r="B41" s="127"/>
      <c r="C41" s="132" t="s">
        <v>73</v>
      </c>
      <c r="D41" s="116">
        <v>0</v>
      </c>
      <c r="E41" s="116">
        <v>0</v>
      </c>
      <c r="F41" s="116">
        <f>+D41+E41</f>
        <v>0</v>
      </c>
      <c r="G41" s="116"/>
      <c r="H41" s="116"/>
      <c r="I41" s="115">
        <f>H41-D41</f>
        <v>0</v>
      </c>
    </row>
    <row r="42" spans="1:9" ht="8.25" customHeight="1" x14ac:dyDescent="0.25">
      <c r="A42" s="114"/>
      <c r="B42" s="127"/>
      <c r="C42" s="132"/>
      <c r="D42" s="115"/>
      <c r="E42" s="115"/>
      <c r="F42" s="115"/>
      <c r="G42" s="115"/>
      <c r="H42" s="115"/>
      <c r="I42" s="115"/>
    </row>
    <row r="43" spans="1:9" ht="15" customHeight="1" x14ac:dyDescent="0.25">
      <c r="A43" s="140" t="s">
        <v>72</v>
      </c>
      <c r="B43" s="139"/>
      <c r="C43" s="138"/>
      <c r="D43" s="134">
        <f>+D10+D11+D12+D13+D14+D15+D16+D17+D30+D36+D37+D39</f>
        <v>535114184</v>
      </c>
      <c r="E43" s="134">
        <f>+E10+E11+E12+E13+E14+E15+E16+E17+E30+E36+E37+E39</f>
        <v>90521479.579999998</v>
      </c>
      <c r="F43" s="134">
        <f>+F10+F11+F12+F13+F14+F15+F16+F17+F30+F36+F37+F39</f>
        <v>625635663.58000004</v>
      </c>
      <c r="G43" s="134">
        <f>+G10+G11+G12+G13+G14+G15+G16+G17+G30+G36+G37+G39</f>
        <v>366620011.23000002</v>
      </c>
      <c r="H43" s="134">
        <f>+H10+H11+H12+H13+H14+H15+H16+H17+H30+H36+H37+H39</f>
        <v>366620011.23000002</v>
      </c>
      <c r="I43" s="134">
        <f>+I10+I11+I12+I13+I14+I15+I16+I17+I30+I36+I37+I39</f>
        <v>-168494172.77000001</v>
      </c>
    </row>
    <row r="44" spans="1:9" x14ac:dyDescent="0.25">
      <c r="A44" s="140" t="s">
        <v>71</v>
      </c>
      <c r="B44" s="139"/>
      <c r="C44" s="138"/>
      <c r="D44" s="134"/>
      <c r="E44" s="134"/>
      <c r="F44" s="134"/>
      <c r="G44" s="134"/>
      <c r="H44" s="134"/>
      <c r="I44" s="134"/>
    </row>
    <row r="45" spans="1:9" ht="8.25" customHeight="1" x14ac:dyDescent="0.25">
      <c r="A45" s="137"/>
      <c r="B45" s="136"/>
      <c r="C45" s="135"/>
      <c r="D45" s="134"/>
      <c r="E45" s="134"/>
      <c r="F45" s="134"/>
      <c r="G45" s="134"/>
      <c r="H45" s="134"/>
      <c r="I45" s="134"/>
    </row>
    <row r="46" spans="1:9" x14ac:dyDescent="0.25">
      <c r="A46" s="121" t="s">
        <v>70</v>
      </c>
      <c r="B46" s="113"/>
      <c r="C46" s="112"/>
      <c r="D46" s="133"/>
      <c r="E46" s="133"/>
      <c r="F46" s="133"/>
      <c r="G46" s="133"/>
      <c r="H46" s="133"/>
      <c r="I46" s="115" t="str">
        <f>IF(($H$43-$D$43)&lt;=0," ",$H$43-$D$43)</f>
        <v xml:space="preserve"> </v>
      </c>
    </row>
    <row r="47" spans="1:9" ht="11.25" customHeight="1" x14ac:dyDescent="0.25">
      <c r="A47" s="114"/>
      <c r="B47" s="127"/>
      <c r="C47" s="132"/>
      <c r="D47" s="115"/>
      <c r="E47" s="115"/>
      <c r="F47" s="115"/>
      <c r="G47" s="115"/>
      <c r="H47" s="115"/>
      <c r="I47" s="115"/>
    </row>
    <row r="48" spans="1:9" x14ac:dyDescent="0.25">
      <c r="A48" s="121" t="s">
        <v>69</v>
      </c>
      <c r="B48" s="113"/>
      <c r="C48" s="112"/>
      <c r="D48" s="115"/>
      <c r="E48" s="115"/>
      <c r="F48" s="115"/>
      <c r="G48" s="115"/>
      <c r="H48" s="115"/>
      <c r="I48" s="115"/>
    </row>
    <row r="49" spans="1:9" x14ac:dyDescent="0.25">
      <c r="A49" s="114"/>
      <c r="B49" s="120" t="s">
        <v>68</v>
      </c>
      <c r="C49" s="119"/>
      <c r="D49" s="115">
        <f>SUM(D50:D57)</f>
        <v>0</v>
      </c>
      <c r="E49" s="115">
        <f>SUM(E50:E57)</f>
        <v>0</v>
      </c>
      <c r="F49" s="115">
        <f>SUM(F50:F57)</f>
        <v>0</v>
      </c>
      <c r="G49" s="115">
        <f>SUM(G50:G57)</f>
        <v>0</v>
      </c>
      <c r="H49" s="115">
        <f>SUM(H50:H57)</f>
        <v>0</v>
      </c>
      <c r="I49" s="115">
        <f>SUM(I50:I57)</f>
        <v>0</v>
      </c>
    </row>
    <row r="50" spans="1:9" x14ac:dyDescent="0.25">
      <c r="A50" s="114"/>
      <c r="B50" s="127"/>
      <c r="C50" s="132" t="s">
        <v>67</v>
      </c>
      <c r="D50" s="116">
        <v>0</v>
      </c>
      <c r="E50" s="116">
        <v>0</v>
      </c>
      <c r="F50" s="116">
        <f>+D50+E50</f>
        <v>0</v>
      </c>
      <c r="G50" s="116">
        <v>0</v>
      </c>
      <c r="H50" s="116">
        <v>0</v>
      </c>
      <c r="I50" s="115">
        <f>H50-D50</f>
        <v>0</v>
      </c>
    </row>
    <row r="51" spans="1:9" x14ac:dyDescent="0.25">
      <c r="A51" s="114"/>
      <c r="B51" s="127"/>
      <c r="C51" s="132" t="s">
        <v>66</v>
      </c>
      <c r="D51" s="116">
        <v>0</v>
      </c>
      <c r="E51" s="116"/>
      <c r="F51" s="116">
        <f>+D51+E51</f>
        <v>0</v>
      </c>
      <c r="G51" s="116"/>
      <c r="H51" s="116"/>
      <c r="I51" s="115">
        <f>H51-D51</f>
        <v>0</v>
      </c>
    </row>
    <row r="52" spans="1:9" x14ac:dyDescent="0.25">
      <c r="A52" s="114"/>
      <c r="B52" s="127"/>
      <c r="C52" s="132" t="s">
        <v>65</v>
      </c>
      <c r="D52" s="116">
        <v>0</v>
      </c>
      <c r="E52" s="116"/>
      <c r="F52" s="116">
        <f>+D52+E52</f>
        <v>0</v>
      </c>
      <c r="G52" s="116"/>
      <c r="H52" s="116"/>
      <c r="I52" s="115">
        <f>H52-D52</f>
        <v>0</v>
      </c>
    </row>
    <row r="53" spans="1:9" ht="19.5" x14ac:dyDescent="0.25">
      <c r="A53" s="114"/>
      <c r="B53" s="127"/>
      <c r="C53" s="126" t="s">
        <v>64</v>
      </c>
      <c r="D53" s="116">
        <v>0</v>
      </c>
      <c r="E53" s="116"/>
      <c r="F53" s="116">
        <f>+D53+E53</f>
        <v>0</v>
      </c>
      <c r="G53" s="116"/>
      <c r="H53" s="116"/>
      <c r="I53" s="115">
        <f>H53-D53</f>
        <v>0</v>
      </c>
    </row>
    <row r="54" spans="1:9" x14ac:dyDescent="0.25">
      <c r="A54" s="114"/>
      <c r="B54" s="127"/>
      <c r="C54" s="132" t="s">
        <v>63</v>
      </c>
      <c r="D54" s="116">
        <v>0</v>
      </c>
      <c r="E54" s="116">
        <v>0</v>
      </c>
      <c r="F54" s="116">
        <f>+D54+E54</f>
        <v>0</v>
      </c>
      <c r="G54" s="116">
        <v>0</v>
      </c>
      <c r="H54" s="116">
        <v>0</v>
      </c>
      <c r="I54" s="115">
        <f>H54-D54</f>
        <v>0</v>
      </c>
    </row>
    <row r="55" spans="1:9" x14ac:dyDescent="0.25">
      <c r="A55" s="114"/>
      <c r="B55" s="127"/>
      <c r="C55" s="132" t="s">
        <v>62</v>
      </c>
      <c r="D55" s="116">
        <v>0</v>
      </c>
      <c r="E55" s="116"/>
      <c r="F55" s="116">
        <f>+D55+E55</f>
        <v>0</v>
      </c>
      <c r="G55" s="116"/>
      <c r="H55" s="116"/>
      <c r="I55" s="115">
        <f>H55-D55</f>
        <v>0</v>
      </c>
    </row>
    <row r="56" spans="1:9" ht="19.5" x14ac:dyDescent="0.25">
      <c r="A56" s="114"/>
      <c r="B56" s="127"/>
      <c r="C56" s="126" t="s">
        <v>61</v>
      </c>
      <c r="D56" s="116">
        <v>0</v>
      </c>
      <c r="E56" s="116"/>
      <c r="F56" s="116">
        <f>+D56+E56</f>
        <v>0</v>
      </c>
      <c r="G56" s="116"/>
      <c r="H56" s="116"/>
      <c r="I56" s="115">
        <f>H56-D56</f>
        <v>0</v>
      </c>
    </row>
    <row r="57" spans="1:9" ht="19.5" x14ac:dyDescent="0.25">
      <c r="A57" s="114"/>
      <c r="B57" s="127"/>
      <c r="C57" s="126" t="s">
        <v>60</v>
      </c>
      <c r="D57" s="116">
        <v>0</v>
      </c>
      <c r="E57" s="116"/>
      <c r="F57" s="116">
        <f>+D57+E57</f>
        <v>0</v>
      </c>
      <c r="G57" s="116"/>
      <c r="H57" s="116"/>
      <c r="I57" s="115">
        <f>H57-D57</f>
        <v>0</v>
      </c>
    </row>
    <row r="58" spans="1:9" x14ac:dyDescent="0.25">
      <c r="A58" s="114"/>
      <c r="B58" s="120" t="s">
        <v>59</v>
      </c>
      <c r="C58" s="119"/>
      <c r="D58" s="115">
        <f>SUM(D59:D62)</f>
        <v>0</v>
      </c>
      <c r="E58" s="115">
        <f>SUM(E59:E62)</f>
        <v>0</v>
      </c>
      <c r="F58" s="115">
        <f>SUM(F59:F62)</f>
        <v>0</v>
      </c>
      <c r="G58" s="115">
        <f>SUM(G59:G62)</f>
        <v>0</v>
      </c>
      <c r="H58" s="115">
        <f>SUM(H59:H62)</f>
        <v>0</v>
      </c>
      <c r="I58" s="115">
        <f>SUM(I59:I62)</f>
        <v>0</v>
      </c>
    </row>
    <row r="59" spans="1:9" x14ac:dyDescent="0.25">
      <c r="A59" s="114"/>
      <c r="B59" s="127"/>
      <c r="C59" s="132" t="s">
        <v>58</v>
      </c>
      <c r="D59" s="116">
        <v>0</v>
      </c>
      <c r="E59" s="116"/>
      <c r="F59" s="116">
        <f>+D59+E59</f>
        <v>0</v>
      </c>
      <c r="G59" s="116"/>
      <c r="H59" s="116"/>
      <c r="I59" s="115">
        <f>H59-D59</f>
        <v>0</v>
      </c>
    </row>
    <row r="60" spans="1:9" x14ac:dyDescent="0.25">
      <c r="A60" s="114"/>
      <c r="B60" s="127"/>
      <c r="C60" s="132" t="s">
        <v>57</v>
      </c>
      <c r="D60" s="116">
        <v>0</v>
      </c>
      <c r="E60" s="116"/>
      <c r="F60" s="116">
        <v>0</v>
      </c>
      <c r="G60" s="116"/>
      <c r="H60" s="116"/>
      <c r="I60" s="115">
        <f>H60-D60</f>
        <v>0</v>
      </c>
    </row>
    <row r="61" spans="1:9" x14ac:dyDescent="0.25">
      <c r="A61" s="114"/>
      <c r="B61" s="127"/>
      <c r="C61" s="132" t="s">
        <v>56</v>
      </c>
      <c r="D61" s="116">
        <v>0</v>
      </c>
      <c r="E61" s="116"/>
      <c r="F61" s="116">
        <v>0</v>
      </c>
      <c r="G61" s="116"/>
      <c r="H61" s="116"/>
      <c r="I61" s="115">
        <f>H61-D61</f>
        <v>0</v>
      </c>
    </row>
    <row r="62" spans="1:9" x14ac:dyDescent="0.25">
      <c r="A62" s="114"/>
      <c r="B62" s="127"/>
      <c r="C62" s="132" t="s">
        <v>55</v>
      </c>
      <c r="D62" s="116">
        <v>0</v>
      </c>
      <c r="E62" s="116"/>
      <c r="F62" s="116">
        <v>0</v>
      </c>
      <c r="G62" s="116"/>
      <c r="H62" s="116"/>
      <c r="I62" s="115">
        <f>H62-D62</f>
        <v>0</v>
      </c>
    </row>
    <row r="63" spans="1:9" x14ac:dyDescent="0.25">
      <c r="A63" s="114"/>
      <c r="B63" s="120" t="s">
        <v>54</v>
      </c>
      <c r="C63" s="119"/>
      <c r="D63" s="115">
        <f>SUM(D64:D65)</f>
        <v>0</v>
      </c>
      <c r="E63" s="115">
        <f>SUM(E64:E65)</f>
        <v>10090737</v>
      </c>
      <c r="F63" s="115">
        <f>SUM(F64:F65)</f>
        <v>10090737</v>
      </c>
      <c r="G63" s="115">
        <f>SUM(G64:G65)</f>
        <v>10090737</v>
      </c>
      <c r="H63" s="115">
        <f>SUM(H64:H65)</f>
        <v>10090737</v>
      </c>
      <c r="I63" s="115">
        <f>SUM(I64:I65)</f>
        <v>10090737</v>
      </c>
    </row>
    <row r="64" spans="1:9" ht="20.25" thickBot="1" x14ac:dyDescent="0.3">
      <c r="A64" s="131"/>
      <c r="B64" s="130"/>
      <c r="C64" s="129" t="s">
        <v>53</v>
      </c>
      <c r="D64" s="128">
        <v>0</v>
      </c>
      <c r="E64" s="128">
        <v>0</v>
      </c>
      <c r="F64" s="128">
        <f>+D64+E64</f>
        <v>0</v>
      </c>
      <c r="G64" s="128">
        <v>0</v>
      </c>
      <c r="H64" s="128">
        <v>0</v>
      </c>
      <c r="I64" s="107">
        <f>H64-D64</f>
        <v>0</v>
      </c>
    </row>
    <row r="65" spans="1:10" x14ac:dyDescent="0.25">
      <c r="A65" s="114"/>
      <c r="B65" s="127"/>
      <c r="C65" s="126" t="s">
        <v>52</v>
      </c>
      <c r="D65" s="116">
        <v>0</v>
      </c>
      <c r="E65" s="116">
        <v>10090737</v>
      </c>
      <c r="F65" s="125">
        <f>+D65+E65</f>
        <v>10090737</v>
      </c>
      <c r="G65" s="116">
        <v>10090737</v>
      </c>
      <c r="H65" s="116">
        <v>10090737</v>
      </c>
      <c r="I65" s="115">
        <f>H65-D65</f>
        <v>10090737</v>
      </c>
    </row>
    <row r="66" spans="1:10" x14ac:dyDescent="0.25">
      <c r="A66" s="114"/>
      <c r="B66" s="120" t="s">
        <v>51</v>
      </c>
      <c r="C66" s="119"/>
      <c r="D66" s="116">
        <v>88275234</v>
      </c>
      <c r="E66" s="116">
        <f>13590737-10090737</f>
        <v>3500000</v>
      </c>
      <c r="F66" s="116">
        <f>+D66+E66</f>
        <v>91775234</v>
      </c>
      <c r="G66" s="116">
        <f>38932167.2-10090737</f>
        <v>28841430.200000003</v>
      </c>
      <c r="H66" s="116">
        <v>28841430.200000003</v>
      </c>
      <c r="I66" s="115">
        <f>H66-D66</f>
        <v>-59433803.799999997</v>
      </c>
    </row>
    <row r="67" spans="1:10" x14ac:dyDescent="0.25">
      <c r="A67" s="114"/>
      <c r="B67" s="120" t="s">
        <v>50</v>
      </c>
      <c r="C67" s="119"/>
      <c r="D67" s="116">
        <v>0</v>
      </c>
      <c r="E67" s="116">
        <v>0</v>
      </c>
      <c r="F67" s="116">
        <f>+D67+E67</f>
        <v>0</v>
      </c>
      <c r="G67" s="116">
        <v>0</v>
      </c>
      <c r="H67" s="116">
        <v>0</v>
      </c>
      <c r="I67" s="115">
        <f>H67-D67</f>
        <v>0</v>
      </c>
    </row>
    <row r="68" spans="1:10" ht="8.25" customHeight="1" x14ac:dyDescent="0.25">
      <c r="A68" s="114"/>
      <c r="B68" s="120"/>
      <c r="C68" s="119"/>
      <c r="D68" s="115"/>
      <c r="E68" s="115"/>
      <c r="F68" s="115" t="s">
        <v>44</v>
      </c>
      <c r="G68" s="115"/>
      <c r="H68" s="115"/>
      <c r="I68" s="115"/>
    </row>
    <row r="69" spans="1:10" x14ac:dyDescent="0.25">
      <c r="A69" s="124" t="s">
        <v>49</v>
      </c>
      <c r="B69" s="123"/>
      <c r="C69" s="122"/>
      <c r="D69" s="111">
        <f>+D49+D58+D63+D66+D67</f>
        <v>88275234</v>
      </c>
      <c r="E69" s="111">
        <f>+E49+E58+E63+E66+E67</f>
        <v>13590737</v>
      </c>
      <c r="F69" s="111">
        <f>+F49+F58+F63+F66+F67</f>
        <v>101865971</v>
      </c>
      <c r="G69" s="111">
        <f>+G49+G58+G63+G66+G67</f>
        <v>38932167.200000003</v>
      </c>
      <c r="H69" s="111">
        <f>+H49+H58+H63+H66+H67</f>
        <v>38932167.200000003</v>
      </c>
      <c r="I69" s="111">
        <f>+I49+I58+I63+I66+I67</f>
        <v>-49343066.799999997</v>
      </c>
    </row>
    <row r="70" spans="1:10" ht="6" customHeight="1" x14ac:dyDescent="0.25">
      <c r="A70" s="114"/>
      <c r="B70" s="120"/>
      <c r="C70" s="119"/>
      <c r="D70" s="115"/>
      <c r="E70" s="115"/>
      <c r="F70" s="115" t="s">
        <v>44</v>
      </c>
      <c r="G70" s="115"/>
      <c r="H70" s="115"/>
      <c r="I70" s="115"/>
    </row>
    <row r="71" spans="1:10" x14ac:dyDescent="0.25">
      <c r="A71" s="121" t="s">
        <v>48</v>
      </c>
      <c r="B71" s="113"/>
      <c r="C71" s="112"/>
      <c r="D71" s="111">
        <f>SUM(D72)</f>
        <v>0</v>
      </c>
      <c r="E71" s="111">
        <f>SUM(E72)</f>
        <v>0</v>
      </c>
      <c r="F71" s="111">
        <f>SUM(F72)</f>
        <v>0</v>
      </c>
      <c r="G71" s="111">
        <f>SUM(G72)</f>
        <v>0</v>
      </c>
      <c r="H71" s="111">
        <f>SUM(H72)</f>
        <v>0</v>
      </c>
      <c r="I71" s="111">
        <f>SUM(I72)</f>
        <v>0</v>
      </c>
    </row>
    <row r="72" spans="1:10" x14ac:dyDescent="0.25">
      <c r="A72" s="114"/>
      <c r="B72" s="120" t="s">
        <v>47</v>
      </c>
      <c r="C72" s="119"/>
      <c r="D72" s="116">
        <v>0</v>
      </c>
      <c r="E72" s="116"/>
      <c r="F72" s="116" t="s">
        <v>44</v>
      </c>
      <c r="G72" s="116"/>
      <c r="H72" s="116">
        <v>0</v>
      </c>
      <c r="I72" s="115">
        <f>H72-D72</f>
        <v>0</v>
      </c>
    </row>
    <row r="73" spans="1:10" ht="7.5" customHeight="1" x14ac:dyDescent="0.25">
      <c r="A73" s="114"/>
      <c r="B73" s="120"/>
      <c r="C73" s="119"/>
      <c r="D73" s="115"/>
      <c r="E73" s="115"/>
      <c r="F73" s="115" t="s">
        <v>44</v>
      </c>
      <c r="G73" s="115"/>
      <c r="H73" s="115"/>
      <c r="I73" s="115"/>
    </row>
    <row r="74" spans="1:10" x14ac:dyDescent="0.25">
      <c r="A74" s="121" t="s">
        <v>46</v>
      </c>
      <c r="B74" s="113"/>
      <c r="C74" s="112"/>
      <c r="D74" s="111">
        <f>+D43+D69+D71</f>
        <v>623389418</v>
      </c>
      <c r="E74" s="111">
        <f>+E43+E69+E71</f>
        <v>104112216.58</v>
      </c>
      <c r="F74" s="111">
        <f>+F43+F69+F71</f>
        <v>727501634.58000004</v>
      </c>
      <c r="G74" s="111">
        <f>+G43+G69+G71</f>
        <v>405552178.43000001</v>
      </c>
      <c r="H74" s="111">
        <f>+H43+H69+H71</f>
        <v>405552178.43000001</v>
      </c>
      <c r="I74" s="111">
        <f>+I43+I69+I71</f>
        <v>-217837239.56999999</v>
      </c>
    </row>
    <row r="75" spans="1:10" ht="6" customHeight="1" x14ac:dyDescent="0.25">
      <c r="A75" s="114"/>
      <c r="B75" s="120"/>
      <c r="C75" s="119"/>
      <c r="D75" s="115"/>
      <c r="E75" s="115"/>
      <c r="F75" s="115" t="s">
        <v>44</v>
      </c>
      <c r="G75" s="115"/>
      <c r="H75" s="115"/>
      <c r="I75" s="115"/>
    </row>
    <row r="76" spans="1:10" x14ac:dyDescent="0.25">
      <c r="A76" s="114"/>
      <c r="B76" s="113" t="s">
        <v>45</v>
      </c>
      <c r="C76" s="112"/>
      <c r="D76" s="115"/>
      <c r="E76" s="115"/>
      <c r="F76" s="115" t="s">
        <v>44</v>
      </c>
      <c r="G76" s="115"/>
      <c r="H76" s="115"/>
      <c r="I76" s="115"/>
    </row>
    <row r="77" spans="1:10" ht="21.75" customHeight="1" x14ac:dyDescent="0.25">
      <c r="A77" s="114"/>
      <c r="B77" s="118" t="s">
        <v>43</v>
      </c>
      <c r="C77" s="117"/>
      <c r="D77" s="116">
        <v>0</v>
      </c>
      <c r="E77" s="116">
        <v>0</v>
      </c>
      <c r="F77" s="116">
        <f>+D77+E77</f>
        <v>0</v>
      </c>
      <c r="G77" s="116">
        <v>0</v>
      </c>
      <c r="H77" s="116">
        <v>0</v>
      </c>
      <c r="I77" s="115">
        <f>H77-D77</f>
        <v>0</v>
      </c>
    </row>
    <row r="78" spans="1:10" ht="22.5" customHeight="1" x14ac:dyDescent="0.25">
      <c r="A78" s="114"/>
      <c r="B78" s="118" t="s">
        <v>42</v>
      </c>
      <c r="C78" s="117"/>
      <c r="D78" s="116">
        <v>0</v>
      </c>
      <c r="E78" s="116">
        <v>0</v>
      </c>
      <c r="F78" s="116">
        <f>+D78+E78</f>
        <v>0</v>
      </c>
      <c r="G78" s="116">
        <v>0</v>
      </c>
      <c r="H78" s="116">
        <v>0</v>
      </c>
      <c r="I78" s="115">
        <f>H78-D78</f>
        <v>0</v>
      </c>
    </row>
    <row r="79" spans="1:10" x14ac:dyDescent="0.25">
      <c r="A79" s="114"/>
      <c r="B79" s="113" t="s">
        <v>41</v>
      </c>
      <c r="C79" s="112"/>
      <c r="D79" s="111">
        <f>+D77+D78</f>
        <v>0</v>
      </c>
      <c r="E79" s="111">
        <f>+E77+E78</f>
        <v>0</v>
      </c>
      <c r="F79" s="111">
        <f>+F77+F78</f>
        <v>0</v>
      </c>
      <c r="G79" s="111">
        <f>+G77+G78</f>
        <v>0</v>
      </c>
      <c r="H79" s="111">
        <f>+H77+H78</f>
        <v>0</v>
      </c>
      <c r="I79" s="111">
        <f>+I77+I78</f>
        <v>0</v>
      </c>
      <c r="J79" s="106" t="str">
        <f>IF(D74&lt;&gt;'ETCA-II-01'!C19,"ERROR!!!!! EL MONTO ESTIMADO NO COINCIDE CON LO REPORTADO EN EL FORMATO ETCA-II-01 EN EL TOTAL DE INGRESOS","")</f>
        <v/>
      </c>
    </row>
    <row r="80" spans="1:10" ht="15.75" thickBot="1" x14ac:dyDescent="0.3">
      <c r="A80" s="110"/>
      <c r="B80" s="109"/>
      <c r="C80" s="108"/>
      <c r="D80" s="107"/>
      <c r="E80" s="107"/>
      <c r="F80" s="107"/>
      <c r="G80" s="107"/>
      <c r="H80" s="107"/>
      <c r="I80" s="107"/>
      <c r="J80" s="106" t="str">
        <f>IF(E74&lt;&gt;'ETCA-II-01'!D19,"ERROR!!!!! EL MONTO NO COINCIDE CON LO REPORTADO EN EL FORMATO ETCA-II-01 EN EL TOTAL DE INGRESOS","")</f>
        <v/>
      </c>
    </row>
    <row r="81" spans="10:10" x14ac:dyDescent="0.25">
      <c r="J81" s="106" t="str">
        <f>IF(F74&lt;&gt;'ETCA-II-01'!E19,"ERROR!!!!! EL MONTO NO COINCIDE CON LO REPORTADO EN EL FORMATO ETCA-II-01 EN EL TOTAL DE INGRESOS","")</f>
        <v/>
      </c>
    </row>
    <row r="82" spans="10:10" x14ac:dyDescent="0.25">
      <c r="J82" s="106" t="str">
        <f>IF(G74&lt;&gt;'ETCA-II-01'!F19,"ERROR!!!!! EL MONTO NO COINCIDE CON LO REPORTADO EN EL FORMATO ETCA-II-01 EN EL TOTAL DE INGRESOS","")</f>
        <v/>
      </c>
    </row>
    <row r="83" spans="10:10" x14ac:dyDescent="0.25">
      <c r="J83" s="106" t="str">
        <f>IF(H74&lt;&gt;'ETCA-II-01'!G19,"ERROR!!!!! EL MONTO NO COINCIDE CON LO REPORTADO EN EL FORMATO ETCA-II-01 EN EL TOTAL DE INGRESOS","")</f>
        <v/>
      </c>
    </row>
    <row r="84" spans="10:10" x14ac:dyDescent="0.25">
      <c r="J84" s="106" t="str">
        <f>IF(I74&lt;&gt;'ETCA-II-01'!H19,"ERROR!!!!! EL MONTO NO COINCIDE CON LO REPORTADO EN EL FORMATO ETCA-II-01 EN EL TOTAL DE INGRESOS","")</f>
        <v/>
      </c>
    </row>
    <row r="85" spans="10:10" x14ac:dyDescent="0.25">
      <c r="J85" s="106" t="str">
        <f>IF(D74&lt;&gt;'ETCA-II-01'!C44,"ERROR!!!!! EL MONTO NO COINCIDE CON LO REPORTADO EN EL FORMATO ETCA-II-01 EN EL TOTAL DE INGRESOS","")</f>
        <v/>
      </c>
    </row>
    <row r="86" spans="10:10" x14ac:dyDescent="0.25">
      <c r="J86" s="106" t="str">
        <f>IF(E74&lt;&gt;'ETCA-II-01'!D44,"ERROR!!!!! EL MONTO NO COINCIDE CON LO REPORTADO EN EL FORMATO ETCA-II-01 EN EL TOTAL DE INGRESOS","")</f>
        <v/>
      </c>
    </row>
    <row r="87" spans="10:10" x14ac:dyDescent="0.25">
      <c r="J87" s="106" t="str">
        <f>IF(F74&lt;&gt;'ETCA-II-01'!E44,"ERROR!!!!! EL MONTO NO COINCIDE CON LO REPORTADO EN EL FORMATO ETCA-II-01 EN EL TOTAL DE INGRESOS","")</f>
        <v/>
      </c>
    </row>
    <row r="88" spans="10:10" x14ac:dyDescent="0.25">
      <c r="J88" s="106" t="str">
        <f>IF(G74&lt;&gt;'ETCA-II-01'!F44,"ERROR!!!!! EL MONTO NO COINCIDE CON LO REPORTADO EN EL FORMATO ETCA-II-01 EN EL TOTAL DE INGRESOS","")</f>
        <v/>
      </c>
    </row>
    <row r="89" spans="10:10" x14ac:dyDescent="0.25">
      <c r="J89" s="106" t="str">
        <f>IF(H74&lt;&gt;'ETCA-II-01'!G44,"ERROR!!!!! EL MONTO NO COINCIDE CON LO REPORTADO EN EL FORMATO ETCA-II-01 EN EL TOTAL DE INGRESOS","")</f>
        <v/>
      </c>
    </row>
    <row r="90" spans="10:10" x14ac:dyDescent="0.25">
      <c r="J90" s="106" t="str">
        <f>IF(I74&lt;&gt;'ETCA-II-01'!H44,"ERROR!!!!! EL MONTO NO COINCIDE CON LO REPORTADO EN EL FORMATO ETCA-II-01 EN EL TOTAL DE INGRESOS","")</f>
        <v/>
      </c>
    </row>
  </sheetData>
  <sheetProtection password="C115" sheet="1" scenarios="1" formatColumns="0" formatRows="0" insertHyperlinks="0"/>
  <mergeCells count="62">
    <mergeCell ref="A71:C71"/>
    <mergeCell ref="B72:C72"/>
    <mergeCell ref="B80:C80"/>
    <mergeCell ref="A74:C74"/>
    <mergeCell ref="B75:C75"/>
    <mergeCell ref="B76:C76"/>
    <mergeCell ref="B77:C77"/>
    <mergeCell ref="B78:C78"/>
    <mergeCell ref="B79:C79"/>
    <mergeCell ref="B73:C73"/>
    <mergeCell ref="A48:C48"/>
    <mergeCell ref="B49:C49"/>
    <mergeCell ref="B58:C58"/>
    <mergeCell ref="B63:C63"/>
    <mergeCell ref="B66:C66"/>
    <mergeCell ref="B67:C67"/>
    <mergeCell ref="B68:C68"/>
    <mergeCell ref="A69:C69"/>
    <mergeCell ref="B70:C70"/>
    <mergeCell ref="A46:C46"/>
    <mergeCell ref="B37:C37"/>
    <mergeCell ref="B39:C39"/>
    <mergeCell ref="D43:D45"/>
    <mergeCell ref="F17:F18"/>
    <mergeCell ref="E43:E45"/>
    <mergeCell ref="F43:F45"/>
    <mergeCell ref="G43:G45"/>
    <mergeCell ref="H43:H45"/>
    <mergeCell ref="I43:I45"/>
    <mergeCell ref="B30:C30"/>
    <mergeCell ref="B36:C36"/>
    <mergeCell ref="G17:G18"/>
    <mergeCell ref="H17:H18"/>
    <mergeCell ref="I17:I18"/>
    <mergeCell ref="D17:D18"/>
    <mergeCell ref="E17:E18"/>
    <mergeCell ref="A17:A18"/>
    <mergeCell ref="B17:C17"/>
    <mergeCell ref="B18:C18"/>
    <mergeCell ref="B15:C15"/>
    <mergeCell ref="B14:C14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4:I4"/>
    <mergeCell ref="A3:I3"/>
    <mergeCell ref="A2:I2"/>
    <mergeCell ref="A1:I1"/>
    <mergeCell ref="A5:C5"/>
    <mergeCell ref="D5:H5"/>
    <mergeCell ref="I5:I7"/>
    <mergeCell ref="A6:C6"/>
    <mergeCell ref="A7:C7"/>
    <mergeCell ref="D6:D7"/>
  </mergeCells>
  <printOptions horizont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00665-4C7B-494F-8CB5-84DE9A776E26}">
  <sheetPr>
    <tabColor theme="0" tint="-0.14999847407452621"/>
    <pageSetUpPr fitToPage="1"/>
  </sheetPr>
  <dimension ref="A1:E26"/>
  <sheetViews>
    <sheetView view="pageBreakPreview" topLeftCell="A29" zoomScale="120" zoomScaleNormal="100" zoomScaleSheetLayoutView="120" workbookViewId="0">
      <selection activeCell="D30" sqref="D30"/>
    </sheetView>
  </sheetViews>
  <sheetFormatPr baseColWidth="10" defaultColWidth="11.28515625" defaultRowHeight="16.5" x14ac:dyDescent="0.25"/>
  <cols>
    <col min="1" max="1" width="1.28515625" style="1" customWidth="1"/>
    <col min="2" max="2" width="43.85546875" style="1" customWidth="1"/>
    <col min="3" max="4" width="25.7109375" style="1" customWidth="1"/>
    <col min="5" max="5" width="62" style="78" customWidth="1"/>
    <col min="6" max="16384" width="11.28515625" style="1"/>
  </cols>
  <sheetData>
    <row r="1" spans="1:5" x14ac:dyDescent="0.25">
      <c r="A1" s="105" t="str">
        <f>'[1]ETCA-I-01'!A1:G1</f>
        <v xml:space="preserve">Comision Estatal del Agua </v>
      </c>
      <c r="B1" s="105"/>
      <c r="C1" s="105"/>
      <c r="D1" s="105"/>
    </row>
    <row r="2" spans="1:5" s="103" customFormat="1" ht="15.75" x14ac:dyDescent="0.25">
      <c r="A2" s="105" t="s">
        <v>129</v>
      </c>
      <c r="B2" s="105"/>
      <c r="C2" s="105"/>
      <c r="D2" s="105"/>
      <c r="E2" s="227"/>
    </row>
    <row r="3" spans="1:5" s="103" customFormat="1" x14ac:dyDescent="0.25">
      <c r="A3" s="104" t="str">
        <f>'[1]ETCA-I-01'!A3:G3</f>
        <v>Al 30 de Septiembre de 2020</v>
      </c>
      <c r="B3" s="104"/>
      <c r="C3" s="104"/>
      <c r="D3" s="104"/>
      <c r="E3" s="226"/>
    </row>
    <row r="4" spans="1:5" s="26" customFormat="1" ht="17.25" thickBot="1" x14ac:dyDescent="0.3">
      <c r="A4" s="102"/>
      <c r="B4" s="101" t="s">
        <v>128</v>
      </c>
      <c r="C4" s="101"/>
      <c r="D4" s="225"/>
      <c r="E4" s="224"/>
    </row>
    <row r="5" spans="1:5" s="220" customFormat="1" ht="27" customHeight="1" thickBot="1" x14ac:dyDescent="0.3">
      <c r="A5" s="223" t="s">
        <v>127</v>
      </c>
      <c r="B5" s="222"/>
      <c r="C5" s="221"/>
      <c r="D5" s="178">
        <f>'ETCA-II-01'!F19</f>
        <v>405552178.43000001</v>
      </c>
      <c r="E5" s="177" t="str">
        <f>IF(D5&lt;&gt;'ETCA-II-01'!F44,"ERROR!!!!! EL MONTO NO COINCIDE CON LO REPORTADO EN EL FORMATO ETCA-II-01 EN EL TOTAL DEVENGADO DEL ANALÍTICO DE INGRESOS","")</f>
        <v/>
      </c>
    </row>
    <row r="6" spans="1:5" s="210" customFormat="1" ht="9.75" customHeight="1" x14ac:dyDescent="0.25">
      <c r="A6" s="219"/>
      <c r="B6" s="218"/>
      <c r="C6" s="217"/>
      <c r="D6" s="216"/>
      <c r="E6" s="215"/>
    </row>
    <row r="7" spans="1:5" s="210" customFormat="1" ht="17.25" customHeight="1" thickBot="1" x14ac:dyDescent="0.3">
      <c r="A7" s="214"/>
      <c r="B7" s="213"/>
      <c r="C7" s="212"/>
      <c r="D7" s="211"/>
      <c r="E7" s="177"/>
    </row>
    <row r="8" spans="1:5" ht="20.100000000000001" customHeight="1" thickBot="1" x14ac:dyDescent="0.3">
      <c r="A8" s="194" t="s">
        <v>126</v>
      </c>
      <c r="B8" s="193"/>
      <c r="C8" s="192"/>
      <c r="D8" s="191">
        <f>SUM(C9:C14)</f>
        <v>0</v>
      </c>
      <c r="E8" s="177"/>
    </row>
    <row r="9" spans="1:5" ht="20.100000000000001" customHeight="1" x14ac:dyDescent="0.2">
      <c r="A9" s="209"/>
      <c r="B9" s="190" t="s">
        <v>125</v>
      </c>
      <c r="C9" s="208"/>
      <c r="D9" s="182"/>
      <c r="E9" s="207" t="str">
        <f>IF(C9&lt;&gt;'[1]ETCA-I-03'!C20,"ERROR!!!, NO COINCIDEN LOS MONTOS CON LO REPORTADO EN EL FORMATO ETCA-I-03","")</f>
        <v/>
      </c>
    </row>
    <row r="10" spans="1:5" ht="20.100000000000001" customHeight="1" x14ac:dyDescent="0.2">
      <c r="A10" s="209"/>
      <c r="B10" s="189" t="s">
        <v>124</v>
      </c>
      <c r="C10" s="208"/>
      <c r="D10" s="182"/>
      <c r="E10" s="207"/>
    </row>
    <row r="11" spans="1:5" ht="33" customHeight="1" x14ac:dyDescent="0.2">
      <c r="A11" s="209"/>
      <c r="B11" s="189" t="s">
        <v>123</v>
      </c>
      <c r="C11" s="208"/>
      <c r="D11" s="182"/>
      <c r="E11" s="207" t="str">
        <f>IF(C11&lt;&gt;'[1]ETCA-I-03'!C21,"ERROR!!!, NO COINCIDEN LOS MONTOS CON LO REPORTADO EN EL FORMATO ETCA-I-03","")</f>
        <v/>
      </c>
    </row>
    <row r="12" spans="1:5" ht="20.100000000000001" customHeight="1" x14ac:dyDescent="0.2">
      <c r="A12" s="185"/>
      <c r="B12" s="189" t="s">
        <v>122</v>
      </c>
      <c r="C12" s="208"/>
      <c r="D12" s="182"/>
      <c r="E12" s="207" t="str">
        <f>IF(C12&lt;&gt;'[1]ETCA-I-03'!C22,"ERROR!!!, NO COINCIDEN LOS MONTOS CON LO REPORTADO EN EL FORMATO ETCA-I-03","")</f>
        <v/>
      </c>
    </row>
    <row r="13" spans="1:5" ht="20.100000000000001" customHeight="1" x14ac:dyDescent="0.2">
      <c r="A13" s="185"/>
      <c r="B13" s="189" t="s">
        <v>121</v>
      </c>
      <c r="C13" s="208"/>
      <c r="D13" s="182"/>
      <c r="E13" s="207"/>
    </row>
    <row r="14" spans="1:5" ht="24.75" customHeight="1" thickBot="1" x14ac:dyDescent="0.3">
      <c r="A14" s="206" t="s">
        <v>120</v>
      </c>
      <c r="B14" s="205"/>
      <c r="C14" s="204"/>
      <c r="D14" s="203"/>
      <c r="E14" s="177"/>
    </row>
    <row r="15" spans="1:5" ht="7.5" customHeight="1" x14ac:dyDescent="0.25">
      <c r="A15" s="202"/>
      <c r="B15" s="201"/>
      <c r="C15" s="200"/>
      <c r="D15" s="199"/>
      <c r="E15" s="177"/>
    </row>
    <row r="16" spans="1:5" ht="20.100000000000001" customHeight="1" thickBot="1" x14ac:dyDescent="0.3">
      <c r="A16" s="198"/>
      <c r="B16" s="197"/>
      <c r="C16" s="196"/>
      <c r="D16" s="195"/>
      <c r="E16" s="177"/>
    </row>
    <row r="17" spans="1:5" ht="20.100000000000001" customHeight="1" thickBot="1" x14ac:dyDescent="0.3">
      <c r="A17" s="194" t="s">
        <v>119</v>
      </c>
      <c r="B17" s="193"/>
      <c r="C17" s="192"/>
      <c r="D17" s="191">
        <f>SUM(C18:C21)</f>
        <v>0</v>
      </c>
      <c r="E17" s="177"/>
    </row>
    <row r="18" spans="1:5" ht="20.100000000000001" customHeight="1" x14ac:dyDescent="0.25">
      <c r="A18" s="185"/>
      <c r="B18" s="190" t="s">
        <v>118</v>
      </c>
      <c r="C18" s="186"/>
      <c r="D18" s="182"/>
      <c r="E18" s="177"/>
    </row>
    <row r="19" spans="1:5" ht="20.100000000000001" customHeight="1" x14ac:dyDescent="0.25">
      <c r="A19" s="185"/>
      <c r="B19" s="189" t="s">
        <v>7</v>
      </c>
      <c r="C19" s="186"/>
      <c r="D19" s="182"/>
      <c r="E19" s="177"/>
    </row>
    <row r="20" spans="1:5" ht="20.100000000000001" customHeight="1" x14ac:dyDescent="0.25">
      <c r="A20" s="188" t="s">
        <v>117</v>
      </c>
      <c r="B20" s="187"/>
      <c r="C20" s="186"/>
      <c r="D20" s="182"/>
      <c r="E20" s="177"/>
    </row>
    <row r="21" spans="1:5" ht="20.100000000000001" customHeight="1" thickBot="1" x14ac:dyDescent="0.3">
      <c r="A21" s="185"/>
      <c r="B21" s="184"/>
      <c r="C21" s="183"/>
      <c r="D21" s="182"/>
      <c r="E21" s="177"/>
    </row>
    <row r="22" spans="1:5" ht="26.25" customHeight="1" thickBot="1" x14ac:dyDescent="0.3">
      <c r="A22" s="181" t="s">
        <v>116</v>
      </c>
      <c r="B22" s="180"/>
      <c r="C22" s="179"/>
      <c r="D22" s="178">
        <f>D5+D8-D17</f>
        <v>405552178.43000001</v>
      </c>
      <c r="E22" s="177" t="str">
        <f>IF(D22&lt;&gt;'[1]ETCA-I-03'!C24,"ERROR!!!!! EL MONTO NO COINCIDE CON LO REPORTADO EN EL FORMATO ETCA-I-03 EN EL TOTAL DE INGRESOS Y OTROS BENEFICIOS","")</f>
        <v/>
      </c>
    </row>
    <row r="25" spans="1:5" s="174" customFormat="1" ht="13.5" x14ac:dyDescent="0.25">
      <c r="B25" s="176" t="s">
        <v>115</v>
      </c>
      <c r="C25" s="176"/>
      <c r="D25" s="176"/>
      <c r="E25" s="175"/>
    </row>
    <row r="26" spans="1:5" s="174" customFormat="1" ht="13.5" x14ac:dyDescent="0.25">
      <c r="B26" s="176" t="s">
        <v>114</v>
      </c>
      <c r="C26" s="176"/>
      <c r="D26" s="176"/>
      <c r="E26" s="175"/>
    </row>
  </sheetData>
  <sheetProtection password="C195" sheet="1" scenarios="1" insertHyperlinks="0"/>
  <mergeCells count="5">
    <mergeCell ref="A5:B5"/>
    <mergeCell ref="A1:D1"/>
    <mergeCell ref="A2:D2"/>
    <mergeCell ref="A3:D3"/>
    <mergeCell ref="B4:C4"/>
  </mergeCells>
  <printOptions horizontalCentered="1"/>
  <pageMargins left="0.39370078740157483" right="0.39370078740157483" top="0.74803149606299213" bottom="0.74803149606299213" header="0.31496062992125984" footer="0.31496062992125984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A2B7C-8EF6-48DA-8D9F-DB08C7AD6781}">
  <sheetPr>
    <tabColor theme="0" tint="-0.14999847407452621"/>
  </sheetPr>
  <dimension ref="A1:G90"/>
  <sheetViews>
    <sheetView view="pageBreakPreview" topLeftCell="A70" zoomScale="98" zoomScaleNormal="100" zoomScaleSheetLayoutView="98" workbookViewId="0">
      <selection activeCell="D30" sqref="D30"/>
    </sheetView>
  </sheetViews>
  <sheetFormatPr baseColWidth="10" defaultRowHeight="15" x14ac:dyDescent="0.25"/>
  <cols>
    <col min="1" max="1" width="49.85546875" customWidth="1"/>
    <col min="2" max="2" width="13.7109375" customWidth="1"/>
    <col min="3" max="3" width="15.42578125" customWidth="1"/>
    <col min="4" max="7" width="13.7109375" customWidth="1"/>
  </cols>
  <sheetData>
    <row r="1" spans="1:7" ht="15.75" x14ac:dyDescent="0.25">
      <c r="A1" s="105" t="str">
        <f>'[1]ETCA-I-01'!A1:G1</f>
        <v xml:space="preserve">Comision Estatal del Agua </v>
      </c>
      <c r="B1" s="105"/>
      <c r="C1" s="105"/>
      <c r="D1" s="105"/>
      <c r="E1" s="105"/>
      <c r="F1" s="105"/>
      <c r="G1" s="105"/>
    </row>
    <row r="2" spans="1:7" ht="15.75" x14ac:dyDescent="0.25">
      <c r="A2" s="105" t="s">
        <v>213</v>
      </c>
      <c r="B2" s="105"/>
      <c r="C2" s="105"/>
      <c r="D2" s="105"/>
      <c r="E2" s="105"/>
      <c r="F2" s="105"/>
      <c r="G2" s="105"/>
    </row>
    <row r="3" spans="1:7" ht="15.75" x14ac:dyDescent="0.25">
      <c r="A3" s="105" t="s">
        <v>212</v>
      </c>
      <c r="B3" s="105"/>
      <c r="C3" s="105"/>
      <c r="D3" s="105"/>
      <c r="E3" s="105"/>
      <c r="F3" s="105"/>
      <c r="G3" s="105"/>
    </row>
    <row r="4" spans="1:7" ht="16.5" x14ac:dyDescent="0.25">
      <c r="A4" s="104" t="str">
        <f>'[1]ETCA-I-03'!A3:D3</f>
        <v>Del 01 de enero  al 30 de Septiembre de 2020</v>
      </c>
      <c r="B4" s="104"/>
      <c r="C4" s="104"/>
      <c r="D4" s="104"/>
      <c r="E4" s="104"/>
      <c r="F4" s="104"/>
      <c r="G4" s="104"/>
    </row>
    <row r="5" spans="1:7" ht="17.25" thickBot="1" x14ac:dyDescent="0.3">
      <c r="A5" s="253" t="s">
        <v>211</v>
      </c>
      <c r="B5" s="253"/>
      <c r="C5" s="253"/>
      <c r="D5" s="253"/>
      <c r="E5" s="253"/>
      <c r="F5" s="225"/>
      <c r="G5" s="26"/>
    </row>
    <row r="6" spans="1:7" ht="38.25" x14ac:dyDescent="0.25">
      <c r="A6" s="252" t="s">
        <v>210</v>
      </c>
      <c r="B6" s="251" t="s">
        <v>209</v>
      </c>
      <c r="C6" s="251" t="s">
        <v>109</v>
      </c>
      <c r="D6" s="250" t="s">
        <v>208</v>
      </c>
      <c r="E6" s="249" t="s">
        <v>207</v>
      </c>
      <c r="F6" s="249" t="s">
        <v>206</v>
      </c>
      <c r="G6" s="248" t="s">
        <v>205</v>
      </c>
    </row>
    <row r="7" spans="1:7" ht="15.75" thickBot="1" x14ac:dyDescent="0.3">
      <c r="A7" s="247"/>
      <c r="B7" s="246" t="s">
        <v>26</v>
      </c>
      <c r="C7" s="246" t="s">
        <v>25</v>
      </c>
      <c r="D7" s="245" t="s">
        <v>204</v>
      </c>
      <c r="E7" s="244" t="s">
        <v>23</v>
      </c>
      <c r="F7" s="244" t="s">
        <v>22</v>
      </c>
      <c r="G7" s="243" t="s">
        <v>203</v>
      </c>
    </row>
    <row r="8" spans="1:7" x14ac:dyDescent="0.25">
      <c r="A8" s="242" t="s">
        <v>202</v>
      </c>
      <c r="B8" s="239">
        <f>SUM(B9:B15)</f>
        <v>204443147.32279521</v>
      </c>
      <c r="C8" s="239">
        <f>SUM(C9:C15)</f>
        <v>384364.13</v>
      </c>
      <c r="D8" s="239">
        <f>B8+C8</f>
        <v>204827511.45279521</v>
      </c>
      <c r="E8" s="239">
        <f>SUM(E9:E15)</f>
        <v>162114545.16</v>
      </c>
      <c r="F8" s="239">
        <f>SUM(F9:F15)</f>
        <v>149095499.43000001</v>
      </c>
      <c r="G8" s="237">
        <f>D8-E8</f>
        <v>42712966.292795211</v>
      </c>
    </row>
    <row r="9" spans="1:7" x14ac:dyDescent="0.25">
      <c r="A9" s="240" t="s">
        <v>201</v>
      </c>
      <c r="B9" s="238">
        <v>115843503.13592325</v>
      </c>
      <c r="C9" s="238">
        <v>-3980514.0500000003</v>
      </c>
      <c r="D9" s="239">
        <f>B9+C9</f>
        <v>111862989.08592325</v>
      </c>
      <c r="E9" s="238">
        <v>93403111.169999987</v>
      </c>
      <c r="F9" s="238">
        <v>82507747.289999992</v>
      </c>
      <c r="G9" s="237">
        <f>D9-E9</f>
        <v>18459877.915923268</v>
      </c>
    </row>
    <row r="10" spans="1:7" x14ac:dyDescent="0.25">
      <c r="A10" s="240" t="s">
        <v>200</v>
      </c>
      <c r="B10" s="238">
        <v>1883200.3508860434</v>
      </c>
      <c r="C10" s="238">
        <v>0</v>
      </c>
      <c r="D10" s="239">
        <f>B10+C10</f>
        <v>1883200.3508860434</v>
      </c>
      <c r="E10" s="238">
        <v>1438696.2799999998</v>
      </c>
      <c r="F10" s="238">
        <v>1433678.0799999998</v>
      </c>
      <c r="G10" s="237">
        <f>D10-E10</f>
        <v>444504.0708860436</v>
      </c>
    </row>
    <row r="11" spans="1:7" x14ac:dyDescent="0.25">
      <c r="A11" s="240" t="s">
        <v>199</v>
      </c>
      <c r="B11" s="238">
        <v>10262941.40592527</v>
      </c>
      <c r="C11" s="238">
        <v>2474006</v>
      </c>
      <c r="D11" s="239">
        <f>B11+C11</f>
        <v>12736947.40592527</v>
      </c>
      <c r="E11" s="238">
        <v>8292897.3899999997</v>
      </c>
      <c r="F11" s="238">
        <v>7641020.4799999995</v>
      </c>
      <c r="G11" s="237">
        <f>D11-E11</f>
        <v>4444050.0159252705</v>
      </c>
    </row>
    <row r="12" spans="1:7" x14ac:dyDescent="0.25">
      <c r="A12" s="240" t="s">
        <v>198</v>
      </c>
      <c r="B12" s="238">
        <v>39796179.374640383</v>
      </c>
      <c r="C12" s="238">
        <v>88648</v>
      </c>
      <c r="D12" s="239">
        <f>B12+C12</f>
        <v>39884827.374640383</v>
      </c>
      <c r="E12" s="238">
        <v>31391582.390000004</v>
      </c>
      <c r="F12" s="238">
        <v>30107658.32</v>
      </c>
      <c r="G12" s="237">
        <f>D12-E12</f>
        <v>8493244.9846403785</v>
      </c>
    </row>
    <row r="13" spans="1:7" x14ac:dyDescent="0.25">
      <c r="A13" s="240" t="s">
        <v>197</v>
      </c>
      <c r="B13" s="238">
        <v>35786324.26935032</v>
      </c>
      <c r="C13" s="238">
        <v>1570752.8200000003</v>
      </c>
      <c r="D13" s="239">
        <f>B13+C13</f>
        <v>37357077.08935032</v>
      </c>
      <c r="E13" s="238">
        <v>26844947.379999999</v>
      </c>
      <c r="F13" s="238">
        <v>26662084.709999997</v>
      </c>
      <c r="G13" s="237">
        <f>D13-E13</f>
        <v>10512129.709350321</v>
      </c>
    </row>
    <row r="14" spans="1:7" x14ac:dyDescent="0.25">
      <c r="A14" s="240" t="s">
        <v>196</v>
      </c>
      <c r="B14" s="238"/>
      <c r="C14" s="238"/>
      <c r="D14" s="239">
        <f>B14+C14</f>
        <v>0</v>
      </c>
      <c r="E14" s="238"/>
      <c r="F14" s="238"/>
      <c r="G14" s="237">
        <f>D14-E14</f>
        <v>0</v>
      </c>
    </row>
    <row r="15" spans="1:7" x14ac:dyDescent="0.25">
      <c r="A15" s="240" t="s">
        <v>195</v>
      </c>
      <c r="B15" s="238">
        <v>870998.78606991796</v>
      </c>
      <c r="C15" s="238">
        <v>231471.35999999999</v>
      </c>
      <c r="D15" s="239">
        <f>B15+C15</f>
        <v>1102470.1460699178</v>
      </c>
      <c r="E15" s="238">
        <v>743310.55</v>
      </c>
      <c r="F15" s="238">
        <v>743310.55</v>
      </c>
      <c r="G15" s="237">
        <f>D15-E15</f>
        <v>359159.59606991778</v>
      </c>
    </row>
    <row r="16" spans="1:7" x14ac:dyDescent="0.25">
      <c r="A16" s="241" t="s">
        <v>194</v>
      </c>
      <c r="B16" s="239">
        <f>SUM(B17:B25)</f>
        <v>29390389.214226238</v>
      </c>
      <c r="C16" s="239">
        <f>SUM(C17:C25)</f>
        <v>2093739.3400000003</v>
      </c>
      <c r="D16" s="239">
        <f>B16+C16</f>
        <v>31484128.554226238</v>
      </c>
      <c r="E16" s="239">
        <f>SUM(E17:E25)</f>
        <v>17167615.540000003</v>
      </c>
      <c r="F16" s="239">
        <f>SUM(F17:F25)</f>
        <v>15197063.690000001</v>
      </c>
      <c r="G16" s="237">
        <f>D16-E16</f>
        <v>14316513.014226235</v>
      </c>
    </row>
    <row r="17" spans="1:7" ht="25.5" x14ac:dyDescent="0.25">
      <c r="A17" s="240" t="s">
        <v>193</v>
      </c>
      <c r="B17" s="238">
        <v>2348248.1320336713</v>
      </c>
      <c r="C17" s="238">
        <v>-13855</v>
      </c>
      <c r="D17" s="239">
        <f>B17+C17</f>
        <v>2334393.1320336713</v>
      </c>
      <c r="E17" s="238">
        <v>665108.14</v>
      </c>
      <c r="F17" s="238">
        <v>584611.31000000006</v>
      </c>
      <c r="G17" s="237">
        <f>D17-E17</f>
        <v>1669284.9920336711</v>
      </c>
    </row>
    <row r="18" spans="1:7" x14ac:dyDescent="0.25">
      <c r="A18" s="240" t="s">
        <v>192</v>
      </c>
      <c r="B18" s="238">
        <v>495539.67176440824</v>
      </c>
      <c r="C18" s="238">
        <v>49388</v>
      </c>
      <c r="D18" s="239">
        <f>B18+C18</f>
        <v>544927.67176440824</v>
      </c>
      <c r="E18" s="238">
        <v>430963.68000000005</v>
      </c>
      <c r="F18" s="238">
        <v>359925.34</v>
      </c>
      <c r="G18" s="237">
        <f>D18-E18</f>
        <v>113963.99176440819</v>
      </c>
    </row>
    <row r="19" spans="1:7" x14ac:dyDescent="0.25">
      <c r="A19" s="240" t="s">
        <v>191</v>
      </c>
      <c r="B19" s="238">
        <v>6451276.4820699999</v>
      </c>
      <c r="C19" s="238">
        <v>1092100.78</v>
      </c>
      <c r="D19" s="239">
        <f>B19+C19</f>
        <v>7543377.2620700002</v>
      </c>
      <c r="E19" s="238">
        <v>3011934.0900000003</v>
      </c>
      <c r="F19" s="238">
        <v>2980405.8400000008</v>
      </c>
      <c r="G19" s="237">
        <f>D19-E19</f>
        <v>4531443.1720700003</v>
      </c>
    </row>
    <row r="20" spans="1:7" x14ac:dyDescent="0.25">
      <c r="A20" s="240" t="s">
        <v>190</v>
      </c>
      <c r="B20" s="238">
        <v>647543.79660407268</v>
      </c>
      <c r="C20" s="238">
        <v>-105387</v>
      </c>
      <c r="D20" s="239">
        <f>B20+C20</f>
        <v>542156.79660407268</v>
      </c>
      <c r="E20" s="238">
        <v>319152.69</v>
      </c>
      <c r="F20" s="238">
        <v>314730.83</v>
      </c>
      <c r="G20" s="237">
        <f>D20-E20</f>
        <v>223004.10660407267</v>
      </c>
    </row>
    <row r="21" spans="1:7" x14ac:dyDescent="0.25">
      <c r="A21" s="240" t="s">
        <v>189</v>
      </c>
      <c r="B21" s="238">
        <v>7668652.7501789946</v>
      </c>
      <c r="C21" s="238">
        <v>-2640795.9299999997</v>
      </c>
      <c r="D21" s="239">
        <f>B21+C21</f>
        <v>5027856.8201789949</v>
      </c>
      <c r="E21" s="238">
        <v>466004.12</v>
      </c>
      <c r="F21" s="238">
        <v>351505.16</v>
      </c>
      <c r="G21" s="237">
        <f>D21-E21</f>
        <v>4561852.7001789948</v>
      </c>
    </row>
    <row r="22" spans="1:7" x14ac:dyDescent="0.25">
      <c r="A22" s="240" t="s">
        <v>188</v>
      </c>
      <c r="B22" s="238">
        <v>7323123.8132909173</v>
      </c>
      <c r="C22" s="238">
        <v>2871962.27</v>
      </c>
      <c r="D22" s="239">
        <f>B22+C22</f>
        <v>10195086.083290918</v>
      </c>
      <c r="E22" s="238">
        <v>9265620.6900000013</v>
      </c>
      <c r="F22" s="238">
        <v>8220098.4399999995</v>
      </c>
      <c r="G22" s="237">
        <f>D22-E22</f>
        <v>929465.39329091646</v>
      </c>
    </row>
    <row r="23" spans="1:7" x14ac:dyDescent="0.25">
      <c r="A23" s="240" t="s">
        <v>187</v>
      </c>
      <c r="B23" s="238">
        <v>2068168.613606584</v>
      </c>
      <c r="C23" s="238">
        <v>271920.69</v>
      </c>
      <c r="D23" s="239">
        <f>B23+C23</f>
        <v>2340089.3036065842</v>
      </c>
      <c r="E23" s="238">
        <v>875741.07000000007</v>
      </c>
      <c r="F23" s="238">
        <v>475913.26</v>
      </c>
      <c r="G23" s="237">
        <f>D23-E23</f>
        <v>1464348.2336065841</v>
      </c>
    </row>
    <row r="24" spans="1:7" x14ac:dyDescent="0.25">
      <c r="A24" s="240" t="s">
        <v>186</v>
      </c>
      <c r="B24" s="238"/>
      <c r="C24" s="238"/>
      <c r="D24" s="239">
        <f>B24+C24</f>
        <v>0</v>
      </c>
      <c r="E24" s="238"/>
      <c r="F24" s="238"/>
      <c r="G24" s="237">
        <f>D24-E24</f>
        <v>0</v>
      </c>
    </row>
    <row r="25" spans="1:7" x14ac:dyDescent="0.25">
      <c r="A25" s="240" t="s">
        <v>185</v>
      </c>
      <c r="B25" s="238">
        <v>2387835.9546775939</v>
      </c>
      <c r="C25" s="238">
        <v>568405.53</v>
      </c>
      <c r="D25" s="239">
        <f>B25+C25</f>
        <v>2956241.4846775942</v>
      </c>
      <c r="E25" s="238">
        <v>2133091.06</v>
      </c>
      <c r="F25" s="238">
        <v>1909873.5099999998</v>
      </c>
      <c r="G25" s="237">
        <f>D25-E25</f>
        <v>823150.4246775941</v>
      </c>
    </row>
    <row r="26" spans="1:7" x14ac:dyDescent="0.25">
      <c r="A26" s="241" t="s">
        <v>184</v>
      </c>
      <c r="B26" s="239">
        <f>SUM(B27:B35)</f>
        <v>174368088.12890899</v>
      </c>
      <c r="C26" s="239">
        <f>SUM(C27:C35)</f>
        <v>12207798.039999999</v>
      </c>
      <c r="D26" s="239">
        <f>B26+C26</f>
        <v>186575886.16890898</v>
      </c>
      <c r="E26" s="239">
        <f>SUM(E27:E35)</f>
        <v>146917757.80000001</v>
      </c>
      <c r="F26" s="239">
        <f>SUM(F27:F35)</f>
        <v>125805602.88000001</v>
      </c>
      <c r="G26" s="237">
        <f>D26-E26</f>
        <v>39658128.368908972</v>
      </c>
    </row>
    <row r="27" spans="1:7" x14ac:dyDescent="0.25">
      <c r="A27" s="240" t="s">
        <v>183</v>
      </c>
      <c r="B27" s="238">
        <v>111236399.01198274</v>
      </c>
      <c r="C27" s="238">
        <v>-15792044.48</v>
      </c>
      <c r="D27" s="239">
        <f>B27+C27</f>
        <v>95444354.531982735</v>
      </c>
      <c r="E27" s="238">
        <v>85721759.170000002</v>
      </c>
      <c r="F27" s="238">
        <v>81651922.379999995</v>
      </c>
      <c r="G27" s="237">
        <f>D27-E27</f>
        <v>9722595.361982733</v>
      </c>
    </row>
    <row r="28" spans="1:7" x14ac:dyDescent="0.25">
      <c r="A28" s="240" t="s">
        <v>182</v>
      </c>
      <c r="B28" s="238">
        <v>5424645.4848321658</v>
      </c>
      <c r="C28" s="238">
        <v>1804864.01</v>
      </c>
      <c r="D28" s="239">
        <f>B28+C28</f>
        <v>7229509.4948321655</v>
      </c>
      <c r="E28" s="238">
        <v>5190587.84</v>
      </c>
      <c r="F28" s="238">
        <v>4195178.1999999993</v>
      </c>
      <c r="G28" s="237">
        <f>D28-E28</f>
        <v>2038921.6548321657</v>
      </c>
    </row>
    <row r="29" spans="1:7" x14ac:dyDescent="0.25">
      <c r="A29" s="240" t="s">
        <v>181</v>
      </c>
      <c r="B29" s="238">
        <v>15544134.88463385</v>
      </c>
      <c r="C29" s="238">
        <v>-1222833.67</v>
      </c>
      <c r="D29" s="239">
        <f>B29+C29</f>
        <v>14321301.21463385</v>
      </c>
      <c r="E29" s="238">
        <v>8301534.080000001</v>
      </c>
      <c r="F29" s="238">
        <v>5583408</v>
      </c>
      <c r="G29" s="237">
        <f>D29-E29</f>
        <v>6019767.1346338494</v>
      </c>
    </row>
    <row r="30" spans="1:7" x14ac:dyDescent="0.25">
      <c r="A30" s="240" t="s">
        <v>180</v>
      </c>
      <c r="B30" s="238">
        <v>17119181.076834731</v>
      </c>
      <c r="C30" s="238">
        <v>-621522.35999999987</v>
      </c>
      <c r="D30" s="239">
        <f>B30+C30</f>
        <v>16497658.716834731</v>
      </c>
      <c r="E30" s="238">
        <v>8002518.71</v>
      </c>
      <c r="F30" s="238">
        <v>7330551.8699999992</v>
      </c>
      <c r="G30" s="237">
        <f>D30-E30</f>
        <v>8495140.0068347305</v>
      </c>
    </row>
    <row r="31" spans="1:7" ht="25.5" x14ac:dyDescent="0.25">
      <c r="A31" s="240" t="s">
        <v>179</v>
      </c>
      <c r="B31" s="238">
        <v>8212615.9761829665</v>
      </c>
      <c r="C31" s="238">
        <v>2288016</v>
      </c>
      <c r="D31" s="239">
        <f>B31+C31</f>
        <v>10500631.976182967</v>
      </c>
      <c r="E31" s="238">
        <v>7135192.0700000003</v>
      </c>
      <c r="F31" s="238">
        <v>5328731.1999999993</v>
      </c>
      <c r="G31" s="237">
        <f>D31-E31</f>
        <v>3365439.9061829671</v>
      </c>
    </row>
    <row r="32" spans="1:7" x14ac:dyDescent="0.25">
      <c r="A32" s="240" t="s">
        <v>178</v>
      </c>
      <c r="B32" s="238">
        <v>1384669.3778340495</v>
      </c>
      <c r="C32" s="238">
        <v>181200</v>
      </c>
      <c r="D32" s="239">
        <f>B32+C32</f>
        <v>1565869.3778340495</v>
      </c>
      <c r="E32" s="238">
        <v>925609</v>
      </c>
      <c r="F32" s="238">
        <v>476889</v>
      </c>
      <c r="G32" s="237">
        <f>D32-E32</f>
        <v>640260.37783404952</v>
      </c>
    </row>
    <row r="33" spans="1:7" x14ac:dyDescent="0.25">
      <c r="A33" s="240" t="s">
        <v>177</v>
      </c>
      <c r="B33" s="238">
        <v>3092396.6332266806</v>
      </c>
      <c r="C33" s="238">
        <v>247941</v>
      </c>
      <c r="D33" s="239">
        <f>B33+C33</f>
        <v>3340337.6332266806</v>
      </c>
      <c r="E33" s="238">
        <v>1578498.78</v>
      </c>
      <c r="F33" s="238">
        <v>1573016.78</v>
      </c>
      <c r="G33" s="237">
        <f>D33-E33</f>
        <v>1761838.8532266805</v>
      </c>
    </row>
    <row r="34" spans="1:7" ht="15.75" thickBot="1" x14ac:dyDescent="0.3">
      <c r="A34" s="236" t="s">
        <v>176</v>
      </c>
      <c r="B34" s="234">
        <v>182017.4938</v>
      </c>
      <c r="C34" s="234">
        <v>9860</v>
      </c>
      <c r="D34" s="235">
        <f>B34+C34</f>
        <v>191877.4938</v>
      </c>
      <c r="E34" s="234">
        <v>17287</v>
      </c>
      <c r="F34" s="234">
        <v>17287</v>
      </c>
      <c r="G34" s="233">
        <f>D34-E34</f>
        <v>174590.4938</v>
      </c>
    </row>
    <row r="35" spans="1:7" x14ac:dyDescent="0.25">
      <c r="A35" s="240" t="s">
        <v>175</v>
      </c>
      <c r="B35" s="238">
        <v>12172028.189581791</v>
      </c>
      <c r="C35" s="238">
        <v>25312317.539999999</v>
      </c>
      <c r="D35" s="239">
        <f>B35+C35</f>
        <v>37484345.729581788</v>
      </c>
      <c r="E35" s="238">
        <v>30044771.150000002</v>
      </c>
      <c r="F35" s="238">
        <v>19648618.450000003</v>
      </c>
      <c r="G35" s="237">
        <f>D35-E35</f>
        <v>7439574.5795817859</v>
      </c>
    </row>
    <row r="36" spans="1:7" x14ac:dyDescent="0.25">
      <c r="A36" s="241" t="s">
        <v>174</v>
      </c>
      <c r="B36" s="239">
        <f>SUM(B37:B45)</f>
        <v>0</v>
      </c>
      <c r="C36" s="239">
        <f>SUM(C37:C45)</f>
        <v>2162000</v>
      </c>
      <c r="D36" s="239">
        <f>B36+C36</f>
        <v>2162000</v>
      </c>
      <c r="E36" s="239">
        <f>SUM(E37:E45)</f>
        <v>2161999.6800000002</v>
      </c>
      <c r="F36" s="239">
        <f>SUM(F37:F45)</f>
        <v>2161999.6800000002</v>
      </c>
      <c r="G36" s="237">
        <f>D36-E36</f>
        <v>0.31999999983236194</v>
      </c>
    </row>
    <row r="37" spans="1:7" x14ac:dyDescent="0.25">
      <c r="A37" s="240" t="s">
        <v>173</v>
      </c>
      <c r="B37" s="238"/>
      <c r="C37" s="238"/>
      <c r="D37" s="239">
        <f>B37+C37</f>
        <v>0</v>
      </c>
      <c r="E37" s="238"/>
      <c r="F37" s="238"/>
      <c r="G37" s="237">
        <f>D37-E37</f>
        <v>0</v>
      </c>
    </row>
    <row r="38" spans="1:7" x14ac:dyDescent="0.25">
      <c r="A38" s="240" t="s">
        <v>172</v>
      </c>
      <c r="B38" s="238">
        <v>0</v>
      </c>
      <c r="C38" s="238">
        <v>2162000</v>
      </c>
      <c r="D38" s="239">
        <f>B38+C38</f>
        <v>2162000</v>
      </c>
      <c r="E38" s="238">
        <v>2161999.6800000002</v>
      </c>
      <c r="F38" s="238">
        <v>2161999.6800000002</v>
      </c>
      <c r="G38" s="237">
        <f>D38-E38</f>
        <v>0.31999999983236194</v>
      </c>
    </row>
    <row r="39" spans="1:7" x14ac:dyDescent="0.25">
      <c r="A39" s="240" t="s">
        <v>171</v>
      </c>
      <c r="B39" s="238"/>
      <c r="C39" s="238"/>
      <c r="D39" s="239">
        <f>B39+C39</f>
        <v>0</v>
      </c>
      <c r="E39" s="238"/>
      <c r="F39" s="238"/>
      <c r="G39" s="237">
        <f>D39-E39</f>
        <v>0</v>
      </c>
    </row>
    <row r="40" spans="1:7" x14ac:dyDescent="0.25">
      <c r="A40" s="240" t="s">
        <v>170</v>
      </c>
      <c r="B40" s="238"/>
      <c r="C40" s="238"/>
      <c r="D40" s="239">
        <f>B40+C40</f>
        <v>0</v>
      </c>
      <c r="E40" s="238"/>
      <c r="F40" s="238"/>
      <c r="G40" s="237">
        <f>D40-E40</f>
        <v>0</v>
      </c>
    </row>
    <row r="41" spans="1:7" x14ac:dyDescent="0.25">
      <c r="A41" s="240" t="s">
        <v>169</v>
      </c>
      <c r="B41" s="238"/>
      <c r="C41" s="238"/>
      <c r="D41" s="239">
        <f>B41+C41</f>
        <v>0</v>
      </c>
      <c r="E41" s="238"/>
      <c r="F41" s="238"/>
      <c r="G41" s="237">
        <f>D41-E41</f>
        <v>0</v>
      </c>
    </row>
    <row r="42" spans="1:7" x14ac:dyDescent="0.25">
      <c r="A42" s="240" t="s">
        <v>168</v>
      </c>
      <c r="B42" s="238"/>
      <c r="C42" s="238"/>
      <c r="D42" s="239">
        <f>B42+C42</f>
        <v>0</v>
      </c>
      <c r="E42" s="238"/>
      <c r="F42" s="238"/>
      <c r="G42" s="237">
        <f>D42-E42</f>
        <v>0</v>
      </c>
    </row>
    <row r="43" spans="1:7" x14ac:dyDescent="0.25">
      <c r="A43" s="240" t="s">
        <v>167</v>
      </c>
      <c r="B43" s="238"/>
      <c r="C43" s="238"/>
      <c r="D43" s="239">
        <f>B43+C43</f>
        <v>0</v>
      </c>
      <c r="E43" s="238"/>
      <c r="F43" s="238"/>
      <c r="G43" s="237">
        <f>D43-E43</f>
        <v>0</v>
      </c>
    </row>
    <row r="44" spans="1:7" x14ac:dyDescent="0.25">
      <c r="A44" s="240" t="s">
        <v>166</v>
      </c>
      <c r="B44" s="238"/>
      <c r="C44" s="238"/>
      <c r="D44" s="239">
        <f>B44+C44</f>
        <v>0</v>
      </c>
      <c r="E44" s="238"/>
      <c r="F44" s="238"/>
      <c r="G44" s="237">
        <f>D44-E44</f>
        <v>0</v>
      </c>
    </row>
    <row r="45" spans="1:7" x14ac:dyDescent="0.25">
      <c r="A45" s="240" t="s">
        <v>165</v>
      </c>
      <c r="B45" s="238"/>
      <c r="C45" s="238"/>
      <c r="D45" s="239">
        <f>B45+C45</f>
        <v>0</v>
      </c>
      <c r="E45" s="238"/>
      <c r="F45" s="238"/>
      <c r="G45" s="237">
        <f>D45-E45</f>
        <v>0</v>
      </c>
    </row>
    <row r="46" spans="1:7" x14ac:dyDescent="0.25">
      <c r="A46" s="241" t="s">
        <v>164</v>
      </c>
      <c r="B46" s="239">
        <f>SUM(B47:B55)</f>
        <v>0</v>
      </c>
      <c r="C46" s="239">
        <f>SUM(C47:C55)</f>
        <v>656331.28</v>
      </c>
      <c r="D46" s="239">
        <f>B46+C46</f>
        <v>656331.28</v>
      </c>
      <c r="E46" s="239">
        <f>SUM(E47:E55)</f>
        <v>652980.71</v>
      </c>
      <c r="F46" s="239">
        <f>SUM(F47:F55)</f>
        <v>574380.71</v>
      </c>
      <c r="G46" s="237">
        <f>D46-E46</f>
        <v>3350.5700000000652</v>
      </c>
    </row>
    <row r="47" spans="1:7" x14ac:dyDescent="0.25">
      <c r="A47" s="240" t="s">
        <v>163</v>
      </c>
      <c r="B47" s="238">
        <v>0</v>
      </c>
      <c r="C47" s="238">
        <v>7700</v>
      </c>
      <c r="D47" s="239">
        <f>B47+C47</f>
        <v>7700</v>
      </c>
      <c r="E47" s="238">
        <v>7580</v>
      </c>
      <c r="F47" s="238">
        <v>7580</v>
      </c>
      <c r="G47" s="237">
        <f>D47-E47</f>
        <v>120</v>
      </c>
    </row>
    <row r="48" spans="1:7" x14ac:dyDescent="0.25">
      <c r="A48" s="240" t="s">
        <v>162</v>
      </c>
      <c r="B48" s="238"/>
      <c r="C48" s="238"/>
      <c r="D48" s="239">
        <f>B48+C48</f>
        <v>0</v>
      </c>
      <c r="E48" s="238"/>
      <c r="F48" s="238"/>
      <c r="G48" s="237">
        <f>D48-E48</f>
        <v>0</v>
      </c>
    </row>
    <row r="49" spans="1:7" x14ac:dyDescent="0.25">
      <c r="A49" s="240" t="s">
        <v>161</v>
      </c>
      <c r="B49" s="238"/>
      <c r="C49" s="238"/>
      <c r="D49" s="239">
        <f>B49+C49</f>
        <v>0</v>
      </c>
      <c r="E49" s="238"/>
      <c r="F49" s="238"/>
      <c r="G49" s="237">
        <f>D49-E49</f>
        <v>0</v>
      </c>
    </row>
    <row r="50" spans="1:7" x14ac:dyDescent="0.25">
      <c r="A50" s="240" t="s">
        <v>160</v>
      </c>
      <c r="B50" s="238">
        <v>0</v>
      </c>
      <c r="C50" s="238">
        <v>241161.68</v>
      </c>
      <c r="D50" s="239">
        <f>B50+C50</f>
        <v>241161.68</v>
      </c>
      <c r="E50" s="238">
        <v>239585.33</v>
      </c>
      <c r="F50" s="238">
        <v>239585.33</v>
      </c>
      <c r="G50" s="237">
        <f>D50-E50</f>
        <v>1576.3500000000058</v>
      </c>
    </row>
    <row r="51" spans="1:7" x14ac:dyDescent="0.25">
      <c r="A51" s="240" t="s">
        <v>159</v>
      </c>
      <c r="B51" s="238"/>
      <c r="C51" s="238"/>
      <c r="D51" s="239">
        <f>B51+C51</f>
        <v>0</v>
      </c>
      <c r="E51" s="238"/>
      <c r="F51" s="238"/>
      <c r="G51" s="237">
        <f>D51-E51</f>
        <v>0</v>
      </c>
    </row>
    <row r="52" spans="1:7" x14ac:dyDescent="0.25">
      <c r="A52" s="240" t="s">
        <v>158</v>
      </c>
      <c r="B52" s="238">
        <v>0</v>
      </c>
      <c r="C52" s="238">
        <v>407469.6</v>
      </c>
      <c r="D52" s="239">
        <f>B52+C52</f>
        <v>407469.6</v>
      </c>
      <c r="E52" s="238">
        <v>405815.38</v>
      </c>
      <c r="F52" s="238">
        <v>327215.38</v>
      </c>
      <c r="G52" s="237">
        <f>D52-E52</f>
        <v>1654.2199999999721</v>
      </c>
    </row>
    <row r="53" spans="1:7" x14ac:dyDescent="0.25">
      <c r="A53" s="240" t="s">
        <v>157</v>
      </c>
      <c r="B53" s="238"/>
      <c r="C53" s="238"/>
      <c r="D53" s="239">
        <f>B53+C53</f>
        <v>0</v>
      </c>
      <c r="E53" s="238"/>
      <c r="F53" s="238"/>
      <c r="G53" s="237">
        <f>D53-E53</f>
        <v>0</v>
      </c>
    </row>
    <row r="54" spans="1:7" x14ac:dyDescent="0.25">
      <c r="A54" s="240" t="s">
        <v>156</v>
      </c>
      <c r="B54" s="238"/>
      <c r="C54" s="238"/>
      <c r="D54" s="239">
        <f>B54+C54</f>
        <v>0</v>
      </c>
      <c r="E54" s="238"/>
      <c r="F54" s="238"/>
      <c r="G54" s="237">
        <f>D54-E54</f>
        <v>0</v>
      </c>
    </row>
    <row r="55" spans="1:7" x14ac:dyDescent="0.25">
      <c r="A55" s="240" t="s">
        <v>155</v>
      </c>
      <c r="B55" s="238"/>
      <c r="C55" s="238"/>
      <c r="D55" s="239">
        <f>B55+C55</f>
        <v>0</v>
      </c>
      <c r="E55" s="238"/>
      <c r="F55" s="238"/>
      <c r="G55" s="237">
        <f>D55-E55</f>
        <v>0</v>
      </c>
    </row>
    <row r="56" spans="1:7" x14ac:dyDescent="0.25">
      <c r="A56" s="241" t="s">
        <v>154</v>
      </c>
      <c r="B56" s="239">
        <f>SUM(B57:B59)</f>
        <v>166755176</v>
      </c>
      <c r="C56" s="239">
        <f>SUM(C57:C59)</f>
        <v>82157438.599999979</v>
      </c>
      <c r="D56" s="239">
        <f>B56+C56</f>
        <v>248912614.59999996</v>
      </c>
      <c r="E56" s="239">
        <f>SUM(E57:E59)</f>
        <v>47176738.199999996</v>
      </c>
      <c r="F56" s="239">
        <f>SUM(F57:F59)</f>
        <v>40646119.579999998</v>
      </c>
      <c r="G56" s="237">
        <f>D56-E56</f>
        <v>201735876.39999998</v>
      </c>
    </row>
    <row r="57" spans="1:7" x14ac:dyDescent="0.25">
      <c r="A57" s="240" t="s">
        <v>153</v>
      </c>
      <c r="B57" s="238">
        <v>166755176</v>
      </c>
      <c r="C57" s="238">
        <v>82157438.599999979</v>
      </c>
      <c r="D57" s="239">
        <f>B57+C57</f>
        <v>248912614.59999996</v>
      </c>
      <c r="E57" s="238">
        <v>47176738.199999996</v>
      </c>
      <c r="F57" s="238">
        <v>40646119.579999998</v>
      </c>
      <c r="G57" s="237">
        <f>D57-E57</f>
        <v>201735876.39999998</v>
      </c>
    </row>
    <row r="58" spans="1:7" x14ac:dyDescent="0.25">
      <c r="A58" s="240" t="s">
        <v>152</v>
      </c>
      <c r="B58" s="238"/>
      <c r="C58" s="238"/>
      <c r="D58" s="239">
        <f>B58+C58</f>
        <v>0</v>
      </c>
      <c r="E58" s="238"/>
      <c r="F58" s="238"/>
      <c r="G58" s="237">
        <f>D58-E58</f>
        <v>0</v>
      </c>
    </row>
    <row r="59" spans="1:7" x14ac:dyDescent="0.25">
      <c r="A59" s="240" t="s">
        <v>151</v>
      </c>
      <c r="B59" s="238"/>
      <c r="C59" s="238"/>
      <c r="D59" s="239">
        <f>B59+C59</f>
        <v>0</v>
      </c>
      <c r="E59" s="238"/>
      <c r="F59" s="238"/>
      <c r="G59" s="237">
        <f>D59-E59</f>
        <v>0</v>
      </c>
    </row>
    <row r="60" spans="1:7" x14ac:dyDescent="0.25">
      <c r="A60" s="241" t="s">
        <v>150</v>
      </c>
      <c r="B60" s="239">
        <f>SUM(B61:B67)</f>
        <v>48432617</v>
      </c>
      <c r="C60" s="239">
        <f>SUM(C61:C67)</f>
        <v>0</v>
      </c>
      <c r="D60" s="239">
        <f>B60+C60</f>
        <v>48432617</v>
      </c>
      <c r="E60" s="239">
        <f>SUM(E61:E67)</f>
        <v>0</v>
      </c>
      <c r="F60" s="239">
        <f>SUM(F61:F67)</f>
        <v>0</v>
      </c>
      <c r="G60" s="237">
        <f>D60-E60</f>
        <v>48432617</v>
      </c>
    </row>
    <row r="61" spans="1:7" x14ac:dyDescent="0.25">
      <c r="A61" s="240" t="s">
        <v>149</v>
      </c>
      <c r="B61" s="238"/>
      <c r="C61" s="238"/>
      <c r="D61" s="239">
        <f>B61+C61</f>
        <v>0</v>
      </c>
      <c r="E61" s="238"/>
      <c r="F61" s="238"/>
      <c r="G61" s="237">
        <f>D61-E61</f>
        <v>0</v>
      </c>
    </row>
    <row r="62" spans="1:7" ht="15.75" thickBot="1" x14ac:dyDescent="0.3">
      <c r="A62" s="236" t="s">
        <v>148</v>
      </c>
      <c r="B62" s="234"/>
      <c r="C62" s="234"/>
      <c r="D62" s="235">
        <f>B62+C62</f>
        <v>0</v>
      </c>
      <c r="E62" s="234"/>
      <c r="F62" s="234"/>
      <c r="G62" s="233">
        <f>D62-E62</f>
        <v>0</v>
      </c>
    </row>
    <row r="63" spans="1:7" x14ac:dyDescent="0.25">
      <c r="A63" s="240" t="s">
        <v>147</v>
      </c>
      <c r="B63" s="238"/>
      <c r="C63" s="238"/>
      <c r="D63" s="239">
        <f>B63+C63</f>
        <v>0</v>
      </c>
      <c r="E63" s="238"/>
      <c r="F63" s="238"/>
      <c r="G63" s="237">
        <f>D63-E63</f>
        <v>0</v>
      </c>
    </row>
    <row r="64" spans="1:7" x14ac:dyDescent="0.25">
      <c r="A64" s="240" t="s">
        <v>146</v>
      </c>
      <c r="B64" s="238"/>
      <c r="C64" s="238"/>
      <c r="D64" s="239">
        <f>B64+C64</f>
        <v>0</v>
      </c>
      <c r="E64" s="238"/>
      <c r="F64" s="238"/>
      <c r="G64" s="237">
        <f>D64-E64</f>
        <v>0</v>
      </c>
    </row>
    <row r="65" spans="1:7" x14ac:dyDescent="0.25">
      <c r="A65" s="240" t="s">
        <v>145</v>
      </c>
      <c r="B65" s="238"/>
      <c r="C65" s="238"/>
      <c r="D65" s="239">
        <f>B65+C65</f>
        <v>0</v>
      </c>
      <c r="E65" s="238"/>
      <c r="F65" s="238"/>
      <c r="G65" s="237">
        <f>D65-E65</f>
        <v>0</v>
      </c>
    </row>
    <row r="66" spans="1:7" x14ac:dyDescent="0.25">
      <c r="A66" s="240" t="s">
        <v>144</v>
      </c>
      <c r="B66" s="238"/>
      <c r="C66" s="238"/>
      <c r="D66" s="239">
        <f>B66+C66</f>
        <v>0</v>
      </c>
      <c r="E66" s="238"/>
      <c r="F66" s="238"/>
      <c r="G66" s="237">
        <f>D66-E66</f>
        <v>0</v>
      </c>
    </row>
    <row r="67" spans="1:7" x14ac:dyDescent="0.25">
      <c r="A67" s="240" t="s">
        <v>143</v>
      </c>
      <c r="B67" s="238">
        <v>48432617</v>
      </c>
      <c r="C67" s="238">
        <v>0</v>
      </c>
      <c r="D67" s="239">
        <f>B67+C67</f>
        <v>48432617</v>
      </c>
      <c r="E67" s="238">
        <v>0</v>
      </c>
      <c r="F67" s="238">
        <v>0</v>
      </c>
      <c r="G67" s="237">
        <f>D67-E67</f>
        <v>48432617</v>
      </c>
    </row>
    <row r="68" spans="1:7" x14ac:dyDescent="0.25">
      <c r="A68" s="241" t="s">
        <v>142</v>
      </c>
      <c r="B68" s="239">
        <f>SUM(B69:B71)</f>
        <v>0</v>
      </c>
      <c r="C68" s="239">
        <f>SUM(C69:C71)</f>
        <v>0</v>
      </c>
      <c r="D68" s="239">
        <f>B68+C68</f>
        <v>0</v>
      </c>
      <c r="E68" s="239">
        <f>SUM(E69:E71)</f>
        <v>0</v>
      </c>
      <c r="F68" s="239">
        <f>SUM(F69:F71)</f>
        <v>0</v>
      </c>
      <c r="G68" s="237">
        <f>D68-E68</f>
        <v>0</v>
      </c>
    </row>
    <row r="69" spans="1:7" x14ac:dyDescent="0.25">
      <c r="A69" s="240" t="s">
        <v>141</v>
      </c>
      <c r="B69" s="238"/>
      <c r="C69" s="238"/>
      <c r="D69" s="239">
        <f>B69+C69</f>
        <v>0</v>
      </c>
      <c r="E69" s="238"/>
      <c r="F69" s="238"/>
      <c r="G69" s="237">
        <f>D69-E69</f>
        <v>0</v>
      </c>
    </row>
    <row r="70" spans="1:7" x14ac:dyDescent="0.25">
      <c r="A70" s="240" t="s">
        <v>140</v>
      </c>
      <c r="B70" s="238"/>
      <c r="C70" s="238"/>
      <c r="D70" s="239">
        <f>B70+C70</f>
        <v>0</v>
      </c>
      <c r="E70" s="238"/>
      <c r="F70" s="238"/>
      <c r="G70" s="237">
        <f>D70-E70</f>
        <v>0</v>
      </c>
    </row>
    <row r="71" spans="1:7" x14ac:dyDescent="0.25">
      <c r="A71" s="240" t="s">
        <v>139</v>
      </c>
      <c r="B71" s="238"/>
      <c r="C71" s="238"/>
      <c r="D71" s="239">
        <f>B71+C71</f>
        <v>0</v>
      </c>
      <c r="E71" s="238"/>
      <c r="F71" s="238"/>
      <c r="G71" s="237">
        <f>D71-E71</f>
        <v>0</v>
      </c>
    </row>
    <row r="72" spans="1:7" x14ac:dyDescent="0.25">
      <c r="A72" s="241" t="s">
        <v>138</v>
      </c>
      <c r="B72" s="239">
        <f>SUM(B73:B79)</f>
        <v>0</v>
      </c>
      <c r="C72" s="239">
        <f>SUM(C73:C79)</f>
        <v>82564453.810000002</v>
      </c>
      <c r="D72" s="239">
        <f>B72+C72</f>
        <v>82564453.810000002</v>
      </c>
      <c r="E72" s="239">
        <f>SUM(E73:E79)</f>
        <v>82554628.049999997</v>
      </c>
      <c r="F72" s="239">
        <f>SUM(F73:F79)</f>
        <v>80585673.950000003</v>
      </c>
      <c r="G72" s="237">
        <f>D72-E72</f>
        <v>9825.7600000053644</v>
      </c>
    </row>
    <row r="73" spans="1:7" x14ac:dyDescent="0.25">
      <c r="A73" s="240" t="s">
        <v>137</v>
      </c>
      <c r="B73" s="238">
        <v>0</v>
      </c>
      <c r="C73" s="238">
        <v>14834441.289999999</v>
      </c>
      <c r="D73" s="239">
        <f>B73+C73</f>
        <v>14834441.289999999</v>
      </c>
      <c r="E73" s="238">
        <v>14834441.280000001</v>
      </c>
      <c r="F73" s="238">
        <v>14834441.280000001</v>
      </c>
      <c r="G73" s="237">
        <f>D73-E73</f>
        <v>9.9999979138374329E-3</v>
      </c>
    </row>
    <row r="74" spans="1:7" x14ac:dyDescent="0.25">
      <c r="A74" s="240" t="s">
        <v>136</v>
      </c>
      <c r="B74" s="238">
        <v>0</v>
      </c>
      <c r="C74" s="238">
        <v>17020130.91</v>
      </c>
      <c r="D74" s="239">
        <f>B74+C74</f>
        <v>17020130.91</v>
      </c>
      <c r="E74" s="238">
        <v>17020130.91</v>
      </c>
      <c r="F74" s="238">
        <v>17020130.91</v>
      </c>
      <c r="G74" s="237">
        <f>D74-E74</f>
        <v>0</v>
      </c>
    </row>
    <row r="75" spans="1:7" x14ac:dyDescent="0.25">
      <c r="A75" s="240" t="s">
        <v>135</v>
      </c>
      <c r="B75" s="238"/>
      <c r="C75" s="238"/>
      <c r="D75" s="239">
        <f>B75+C75</f>
        <v>0</v>
      </c>
      <c r="E75" s="238"/>
      <c r="F75" s="238"/>
      <c r="G75" s="237">
        <f>D75-E75</f>
        <v>0</v>
      </c>
    </row>
    <row r="76" spans="1:7" x14ac:dyDescent="0.25">
      <c r="A76" s="240" t="s">
        <v>134</v>
      </c>
      <c r="B76" s="238"/>
      <c r="C76" s="238"/>
      <c r="D76" s="239">
        <f>B76+C76</f>
        <v>0</v>
      </c>
      <c r="E76" s="238"/>
      <c r="F76" s="238"/>
      <c r="G76" s="237">
        <f>D76-E76</f>
        <v>0</v>
      </c>
    </row>
    <row r="77" spans="1:7" x14ac:dyDescent="0.25">
      <c r="A77" s="240" t="s">
        <v>133</v>
      </c>
      <c r="B77" s="238"/>
      <c r="C77" s="238"/>
      <c r="D77" s="239">
        <f>B77+C77</f>
        <v>0</v>
      </c>
      <c r="E77" s="238"/>
      <c r="F77" s="238"/>
      <c r="G77" s="237">
        <f>D77-E77</f>
        <v>0</v>
      </c>
    </row>
    <row r="78" spans="1:7" x14ac:dyDescent="0.25">
      <c r="A78" s="240" t="s">
        <v>132</v>
      </c>
      <c r="B78" s="238"/>
      <c r="C78" s="238"/>
      <c r="D78" s="239">
        <f>B78+C78</f>
        <v>0</v>
      </c>
      <c r="E78" s="238"/>
      <c r="F78" s="238"/>
      <c r="G78" s="237">
        <f>D78-E78</f>
        <v>0</v>
      </c>
    </row>
    <row r="79" spans="1:7" ht="15.75" thickBot="1" x14ac:dyDescent="0.3">
      <c r="A79" s="236" t="s">
        <v>131</v>
      </c>
      <c r="B79" s="234">
        <v>0</v>
      </c>
      <c r="C79" s="234">
        <v>50709881.609999999</v>
      </c>
      <c r="D79" s="235">
        <f>B79+C79</f>
        <v>50709881.609999999</v>
      </c>
      <c r="E79" s="234">
        <v>50700055.859999999</v>
      </c>
      <c r="F79" s="234">
        <v>48731101.760000005</v>
      </c>
      <c r="G79" s="233">
        <f>D79-E79</f>
        <v>9825.75</v>
      </c>
    </row>
    <row r="80" spans="1:7" ht="15.75" thickBot="1" x14ac:dyDescent="0.3">
      <c r="A80" s="232" t="s">
        <v>130</v>
      </c>
      <c r="B80" s="231">
        <f>B72+B68+B60+B56+B46+B36+B26+B16+B8</f>
        <v>623389417.66593051</v>
      </c>
      <c r="C80" s="231">
        <f>C72+C68+C60+C56+C46+C36+C26+C16+C8</f>
        <v>182226125.19999996</v>
      </c>
      <c r="D80" s="231">
        <f>B80+C80</f>
        <v>805615542.86593044</v>
      </c>
      <c r="E80" s="231">
        <f>E72+E68+E60+E56+E46+E36+E26+E16+E8</f>
        <v>458746265.13999999</v>
      </c>
      <c r="F80" s="231">
        <f>F72+F68+F60+F56+F46+F36+F26+F16+F8</f>
        <v>414066339.92000002</v>
      </c>
      <c r="G80" s="230">
        <f>D80-E80</f>
        <v>346869277.72593045</v>
      </c>
    </row>
    <row r="81" spans="1:7" x14ac:dyDescent="0.25">
      <c r="A81" s="229"/>
      <c r="B81" s="228"/>
      <c r="C81" s="228"/>
      <c r="D81" s="228"/>
      <c r="E81" s="228"/>
      <c r="F81" s="228"/>
      <c r="G81" s="228"/>
    </row>
    <row r="82" spans="1:7" x14ac:dyDescent="0.25">
      <c r="A82" s="229"/>
      <c r="B82" s="228"/>
      <c r="C82" s="228"/>
      <c r="D82" s="228"/>
      <c r="E82" s="228"/>
      <c r="F82" s="228"/>
      <c r="G82" s="228"/>
    </row>
    <row r="83" spans="1:7" x14ac:dyDescent="0.25">
      <c r="A83" s="229"/>
      <c r="B83" s="228"/>
      <c r="C83" s="228"/>
      <c r="D83" s="228"/>
      <c r="E83" s="228"/>
      <c r="F83" s="228"/>
      <c r="G83" s="228"/>
    </row>
    <row r="84" spans="1:7" x14ac:dyDescent="0.25">
      <c r="A84" s="229"/>
      <c r="B84" s="228"/>
      <c r="C84" s="228"/>
      <c r="D84" s="228"/>
      <c r="E84" s="228"/>
      <c r="F84" s="228"/>
      <c r="G84" s="228"/>
    </row>
    <row r="85" spans="1:7" x14ac:dyDescent="0.25">
      <c r="A85" s="229"/>
      <c r="B85" s="228"/>
      <c r="C85" s="228"/>
      <c r="D85" s="228"/>
      <c r="E85" s="228"/>
      <c r="F85" s="228"/>
      <c r="G85" s="228"/>
    </row>
    <row r="86" spans="1:7" x14ac:dyDescent="0.25">
      <c r="A86" s="229"/>
      <c r="B86" s="228"/>
      <c r="C86" s="228"/>
      <c r="D86" s="228"/>
      <c r="E86" s="228"/>
      <c r="F86" s="228"/>
      <c r="G86" s="228"/>
    </row>
    <row r="87" spans="1:7" ht="16.5" x14ac:dyDescent="0.25">
      <c r="A87" s="1"/>
      <c r="B87" s="1"/>
      <c r="C87" s="1"/>
      <c r="D87" s="1"/>
      <c r="E87" s="1"/>
      <c r="F87" s="1"/>
      <c r="G87" s="1"/>
    </row>
    <row r="88" spans="1:7" ht="16.5" x14ac:dyDescent="0.25">
      <c r="A88" s="1"/>
      <c r="B88" s="1"/>
      <c r="C88" s="1"/>
      <c r="D88" s="1"/>
      <c r="E88" s="1"/>
      <c r="F88" s="1"/>
      <c r="G88" s="1"/>
    </row>
    <row r="89" spans="1:7" ht="16.5" x14ac:dyDescent="0.25">
      <c r="A89" s="1"/>
      <c r="B89" s="1"/>
      <c r="C89" s="1"/>
      <c r="D89" s="1"/>
      <c r="E89" s="1"/>
      <c r="F89" s="1"/>
      <c r="G89" s="1"/>
    </row>
    <row r="90" spans="1:7" ht="16.5" x14ac:dyDescent="0.25">
      <c r="A90" s="1"/>
      <c r="B90" s="1"/>
      <c r="C90" s="1"/>
      <c r="D90" s="1"/>
      <c r="E90" s="1"/>
      <c r="F90" s="1"/>
      <c r="G90" s="1"/>
    </row>
  </sheetData>
  <sheetProtection password="C115" sheet="1" scenarios="1" formatColumns="0" formatRows="0"/>
  <mergeCells count="6">
    <mergeCell ref="A6:A7"/>
    <mergeCell ref="A1:G1"/>
    <mergeCell ref="A2:G2"/>
    <mergeCell ref="A3:G3"/>
    <mergeCell ref="A4:G4"/>
    <mergeCell ref="A5:E5"/>
  </mergeCells>
  <pageMargins left="0.70866141732283472" right="0.70866141732283472" top="0.74803149606299213" bottom="0.74803149606299213" header="0.31496062992125984" footer="0.31496062992125984"/>
  <pageSetup scale="67" orientation="portrait" horizontalDpi="1200" verticalDpi="1200" r:id="rId1"/>
  <rowBreaks count="1" manualBreakCount="1">
    <brk id="6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3BCA9-57A3-49E7-80AF-141ABDFC2A1F}">
  <sheetPr>
    <tabColor theme="0" tint="-0.14999847407452621"/>
  </sheetPr>
  <dimension ref="A1:I159"/>
  <sheetViews>
    <sheetView view="pageBreakPreview" topLeftCell="A158" zoomScaleNormal="100" zoomScaleSheetLayoutView="100" workbookViewId="0">
      <selection activeCell="D30" sqref="D30"/>
    </sheetView>
  </sheetViews>
  <sheetFormatPr baseColWidth="10" defaultRowHeight="15" x14ac:dyDescent="0.25"/>
  <cols>
    <col min="1" max="1" width="6.140625" customWidth="1"/>
    <col min="2" max="2" width="33.28515625" customWidth="1"/>
    <col min="3" max="3" width="13.28515625" customWidth="1"/>
    <col min="4" max="4" width="14" customWidth="1"/>
    <col min="5" max="5" width="14.28515625" customWidth="1"/>
    <col min="6" max="6" width="12.5703125" customWidth="1"/>
    <col min="7" max="8" width="12.85546875" customWidth="1"/>
  </cols>
  <sheetData>
    <row r="1" spans="1:8" ht="15.75" x14ac:dyDescent="0.25">
      <c r="A1" s="293" t="str">
        <f>'[1]ETCA-I-01'!A1:G1</f>
        <v xml:space="preserve">Comision Estatal del Agua </v>
      </c>
      <c r="B1" s="292"/>
      <c r="C1" s="292"/>
      <c r="D1" s="292"/>
      <c r="E1" s="292"/>
      <c r="F1" s="292"/>
      <c r="G1" s="292"/>
      <c r="H1" s="291"/>
    </row>
    <row r="2" spans="1:8" x14ac:dyDescent="0.25">
      <c r="A2" s="290" t="s">
        <v>299</v>
      </c>
      <c r="B2" s="289"/>
      <c r="C2" s="289"/>
      <c r="D2" s="289"/>
      <c r="E2" s="289"/>
      <c r="F2" s="289"/>
      <c r="G2" s="289"/>
      <c r="H2" s="288"/>
    </row>
    <row r="3" spans="1:8" x14ac:dyDescent="0.25">
      <c r="A3" s="290" t="s">
        <v>298</v>
      </c>
      <c r="B3" s="289"/>
      <c r="C3" s="289"/>
      <c r="D3" s="289"/>
      <c r="E3" s="289"/>
      <c r="F3" s="289"/>
      <c r="G3" s="289"/>
      <c r="H3" s="288"/>
    </row>
    <row r="4" spans="1:8" x14ac:dyDescent="0.25">
      <c r="A4" s="290" t="str">
        <f>'ETCA-II-02'!A3:I3</f>
        <v>Del 01 de enero  al 30 de Septiembre de 2020</v>
      </c>
      <c r="B4" s="289"/>
      <c r="C4" s="289"/>
      <c r="D4" s="289"/>
      <c r="E4" s="289"/>
      <c r="F4" s="289"/>
      <c r="G4" s="289"/>
      <c r="H4" s="288"/>
    </row>
    <row r="5" spans="1:8" ht="15.75" thickBot="1" x14ac:dyDescent="0.3">
      <c r="A5" s="279" t="s">
        <v>297</v>
      </c>
      <c r="B5" s="287"/>
      <c r="C5" s="287"/>
      <c r="D5" s="287"/>
      <c r="E5" s="287"/>
      <c r="F5" s="287"/>
      <c r="G5" s="287"/>
      <c r="H5" s="286"/>
    </row>
    <row r="6" spans="1:8" ht="15.75" thickBot="1" x14ac:dyDescent="0.3">
      <c r="A6" s="285" t="s">
        <v>296</v>
      </c>
      <c r="B6" s="284"/>
      <c r="C6" s="283" t="s">
        <v>295</v>
      </c>
      <c r="D6" s="282"/>
      <c r="E6" s="282"/>
      <c r="F6" s="282"/>
      <c r="G6" s="281"/>
      <c r="H6" s="280" t="s">
        <v>294</v>
      </c>
    </row>
    <row r="7" spans="1:8" ht="18.75" thickBot="1" x14ac:dyDescent="0.3">
      <c r="A7" s="279"/>
      <c r="B7" s="278"/>
      <c r="C7" s="276" t="s">
        <v>293</v>
      </c>
      <c r="D7" s="277" t="s">
        <v>292</v>
      </c>
      <c r="E7" s="276" t="s">
        <v>291</v>
      </c>
      <c r="F7" s="276" t="s">
        <v>108</v>
      </c>
      <c r="G7" s="276" t="s">
        <v>290</v>
      </c>
      <c r="H7" s="275"/>
    </row>
    <row r="8" spans="1:8" x14ac:dyDescent="0.25">
      <c r="A8" s="274"/>
      <c r="B8" s="272"/>
      <c r="C8" s="272"/>
      <c r="D8" s="273"/>
      <c r="E8" s="272"/>
      <c r="F8" s="272"/>
      <c r="G8" s="272"/>
      <c r="H8" s="271"/>
    </row>
    <row r="9" spans="1:8" x14ac:dyDescent="0.25">
      <c r="A9" s="260" t="s">
        <v>289</v>
      </c>
      <c r="B9" s="259"/>
      <c r="C9" s="258">
        <f>+C10+C18+C28+C38+C48+C58+C62+C71+C75</f>
        <v>535114183.66593045</v>
      </c>
      <c r="D9" s="258">
        <f>+D10+D18+D28+D38+D48+D58+D62+D71+D75</f>
        <v>122754839.20999999</v>
      </c>
      <c r="E9" s="258">
        <f>+E10+E18+E28+E38+E48+E58+E62+E71+E75</f>
        <v>657869022.87593031</v>
      </c>
      <c r="F9" s="258">
        <f>+F10+F18+F28+F38+F48+F58+F62+F71+F75</f>
        <v>428501865.69</v>
      </c>
      <c r="G9" s="258">
        <f>+G10+G18+G28+G38+G48+G58+G62+G71+G75</f>
        <v>384363661.44</v>
      </c>
      <c r="H9" s="258">
        <f>+H10+H18+H28+H38+H48+H58+H62+H71+H75</f>
        <v>229367157.18593037</v>
      </c>
    </row>
    <row r="10" spans="1:8" x14ac:dyDescent="0.25">
      <c r="A10" s="267" t="s">
        <v>287</v>
      </c>
      <c r="B10" s="266"/>
      <c r="C10" s="262">
        <f>SUM(C11:C17)</f>
        <v>204443147.32279521</v>
      </c>
      <c r="D10" s="262">
        <f>SUM(D11:D17)</f>
        <v>384364.13</v>
      </c>
      <c r="E10" s="262">
        <f>SUM(E11:E17)</f>
        <v>204827511.45279518</v>
      </c>
      <c r="F10" s="262">
        <f>SUM(F11:F17)</f>
        <v>162114545.16</v>
      </c>
      <c r="G10" s="262">
        <f>SUM(G11:G17)</f>
        <v>149095499.43000001</v>
      </c>
      <c r="H10" s="262">
        <f>SUM(H11:H17)</f>
        <v>42712966.292795196</v>
      </c>
    </row>
    <row r="11" spans="1:8" x14ac:dyDescent="0.25">
      <c r="A11" s="264"/>
      <c r="B11" s="263" t="s">
        <v>286</v>
      </c>
      <c r="C11" s="265">
        <v>115843503.13592325</v>
      </c>
      <c r="D11" s="265">
        <v>-3980514.0500000003</v>
      </c>
      <c r="E11" s="262">
        <f>C11+D11</f>
        <v>111862989.08592325</v>
      </c>
      <c r="F11" s="265">
        <v>93403111.169999987</v>
      </c>
      <c r="G11" s="265">
        <v>82507747.289999992</v>
      </c>
      <c r="H11" s="261">
        <f>+E11-F11</f>
        <v>18459877.915923268</v>
      </c>
    </row>
    <row r="12" spans="1:8" x14ac:dyDescent="0.25">
      <c r="A12" s="264"/>
      <c r="B12" s="263" t="s">
        <v>285</v>
      </c>
      <c r="C12" s="265">
        <v>1883200.3508860434</v>
      </c>
      <c r="D12" s="265">
        <v>0</v>
      </c>
      <c r="E12" s="262">
        <f>C12+D12</f>
        <v>1883200.3508860434</v>
      </c>
      <c r="F12" s="265">
        <v>1438696.2799999998</v>
      </c>
      <c r="G12" s="265">
        <v>1433678.0799999998</v>
      </c>
      <c r="H12" s="261">
        <f>+E12-F12</f>
        <v>444504.0708860436</v>
      </c>
    </row>
    <row r="13" spans="1:8" x14ac:dyDescent="0.25">
      <c r="A13" s="264"/>
      <c r="B13" s="263" t="s">
        <v>284</v>
      </c>
      <c r="C13" s="265">
        <v>10262941.40592527</v>
      </c>
      <c r="D13" s="265">
        <v>2474006</v>
      </c>
      <c r="E13" s="262">
        <f>C13+D13</f>
        <v>12736947.40592527</v>
      </c>
      <c r="F13" s="265">
        <v>8292897.3899999997</v>
      </c>
      <c r="G13" s="265">
        <v>7641020.4799999995</v>
      </c>
      <c r="H13" s="261">
        <f>+E13-F13</f>
        <v>4444050.0159252705</v>
      </c>
    </row>
    <row r="14" spans="1:8" x14ac:dyDescent="0.25">
      <c r="A14" s="264"/>
      <c r="B14" s="263" t="s">
        <v>283</v>
      </c>
      <c r="C14" s="265">
        <v>39796179.374640383</v>
      </c>
      <c r="D14" s="265">
        <v>88648</v>
      </c>
      <c r="E14" s="262">
        <f>C14+D14</f>
        <v>39884827.374640383</v>
      </c>
      <c r="F14" s="265">
        <v>31391582.390000004</v>
      </c>
      <c r="G14" s="265">
        <v>30107658.32</v>
      </c>
      <c r="H14" s="261">
        <f>+E14-F14</f>
        <v>8493244.9846403785</v>
      </c>
    </row>
    <row r="15" spans="1:8" x14ac:dyDescent="0.25">
      <c r="A15" s="264"/>
      <c r="B15" s="263" t="s">
        <v>282</v>
      </c>
      <c r="C15" s="265">
        <v>35786324.26935032</v>
      </c>
      <c r="D15" s="265">
        <v>1570752.8200000003</v>
      </c>
      <c r="E15" s="262">
        <f>C15+D15</f>
        <v>37357077.08935032</v>
      </c>
      <c r="F15" s="265">
        <v>26844947.379999999</v>
      </c>
      <c r="G15" s="265">
        <v>26662084.709999997</v>
      </c>
      <c r="H15" s="261">
        <f>+E15-F15</f>
        <v>10512129.709350321</v>
      </c>
    </row>
    <row r="16" spans="1:8" x14ac:dyDescent="0.25">
      <c r="A16" s="264"/>
      <c r="B16" s="263" t="s">
        <v>281</v>
      </c>
      <c r="C16" s="265"/>
      <c r="D16" s="265"/>
      <c r="E16" s="262">
        <f>C16+D16</f>
        <v>0</v>
      </c>
      <c r="F16" s="265"/>
      <c r="G16" s="265"/>
      <c r="H16" s="261">
        <f>+E16-F16</f>
        <v>0</v>
      </c>
    </row>
    <row r="17" spans="1:8" x14ac:dyDescent="0.25">
      <c r="A17" s="264"/>
      <c r="B17" s="263" t="s">
        <v>280</v>
      </c>
      <c r="C17" s="265">
        <v>870998.78606991796</v>
      </c>
      <c r="D17" s="265">
        <v>231471.35999999999</v>
      </c>
      <c r="E17" s="262">
        <f>C17+D17</f>
        <v>1102470.1460699178</v>
      </c>
      <c r="F17" s="265">
        <v>743310.55</v>
      </c>
      <c r="G17" s="265">
        <v>743310.55</v>
      </c>
      <c r="H17" s="261">
        <f>+E17-F17</f>
        <v>359159.59606991778</v>
      </c>
    </row>
    <row r="18" spans="1:8" x14ac:dyDescent="0.25">
      <c r="A18" s="267" t="s">
        <v>279</v>
      </c>
      <c r="B18" s="266"/>
      <c r="C18" s="262">
        <f>SUM(C19:C27)</f>
        <v>29390389.214226238</v>
      </c>
      <c r="D18" s="262">
        <f>SUM(D19:D27)</f>
        <v>2093739.3400000003</v>
      </c>
      <c r="E18" s="262">
        <f>SUM(E19:E27)</f>
        <v>31484128.554226246</v>
      </c>
      <c r="F18" s="262">
        <f>SUM(F19:F27)</f>
        <v>17167615.540000003</v>
      </c>
      <c r="G18" s="262">
        <f>SUM(G19:G27)</f>
        <v>15197063.690000001</v>
      </c>
      <c r="H18" s="262">
        <f>SUM(H19:H27)</f>
        <v>14316513.014226241</v>
      </c>
    </row>
    <row r="19" spans="1:8" x14ac:dyDescent="0.25">
      <c r="A19" s="264"/>
      <c r="B19" s="263" t="s">
        <v>278</v>
      </c>
      <c r="C19" s="265">
        <v>2348248.1320336713</v>
      </c>
      <c r="D19" s="265">
        <v>-13855</v>
      </c>
      <c r="E19" s="262">
        <f>C19+D19</f>
        <v>2334393.1320336713</v>
      </c>
      <c r="F19" s="265">
        <v>665108.14</v>
      </c>
      <c r="G19" s="265">
        <v>584611.31000000006</v>
      </c>
      <c r="H19" s="261">
        <f>+E19-F19</f>
        <v>1669284.9920336711</v>
      </c>
    </row>
    <row r="20" spans="1:8" x14ac:dyDescent="0.25">
      <c r="A20" s="264"/>
      <c r="B20" s="263" t="s">
        <v>277</v>
      </c>
      <c r="C20" s="265">
        <v>495539.67176440824</v>
      </c>
      <c r="D20" s="265">
        <v>49388</v>
      </c>
      <c r="E20" s="262">
        <f>C20+D20</f>
        <v>544927.67176440824</v>
      </c>
      <c r="F20" s="265">
        <v>430963.68000000005</v>
      </c>
      <c r="G20" s="265">
        <v>359925.34</v>
      </c>
      <c r="H20" s="261">
        <f>+E20-F20</f>
        <v>113963.99176440819</v>
      </c>
    </row>
    <row r="21" spans="1:8" x14ac:dyDescent="0.25">
      <c r="A21" s="264"/>
      <c r="B21" s="263" t="s">
        <v>276</v>
      </c>
      <c r="C21" s="265">
        <v>6451276.4820699999</v>
      </c>
      <c r="D21" s="265">
        <v>1092100.78</v>
      </c>
      <c r="E21" s="262">
        <f>C21+D21</f>
        <v>7543377.2620700002</v>
      </c>
      <c r="F21" s="265">
        <v>3011934.0900000003</v>
      </c>
      <c r="G21" s="265">
        <v>2980405.8400000008</v>
      </c>
      <c r="H21" s="261">
        <f>+E21-F21</f>
        <v>4531443.1720700003</v>
      </c>
    </row>
    <row r="22" spans="1:8" x14ac:dyDescent="0.25">
      <c r="A22" s="264"/>
      <c r="B22" s="263" t="s">
        <v>275</v>
      </c>
      <c r="C22" s="265">
        <v>647543.79660407268</v>
      </c>
      <c r="D22" s="265">
        <v>-105387</v>
      </c>
      <c r="E22" s="262">
        <f>C22+D22</f>
        <v>542156.79660407268</v>
      </c>
      <c r="F22" s="265">
        <v>319152.69</v>
      </c>
      <c r="G22" s="265">
        <v>314730.83</v>
      </c>
      <c r="H22" s="261">
        <f>+E22-F22</f>
        <v>223004.10660407267</v>
      </c>
    </row>
    <row r="23" spans="1:8" x14ac:dyDescent="0.25">
      <c r="A23" s="264"/>
      <c r="B23" s="263" t="s">
        <v>274</v>
      </c>
      <c r="C23" s="265">
        <v>7668652.7501789946</v>
      </c>
      <c r="D23" s="265">
        <v>-2640795.9299999997</v>
      </c>
      <c r="E23" s="262">
        <f>C23+D23</f>
        <v>5027856.8201789949</v>
      </c>
      <c r="F23" s="265">
        <v>466004.12</v>
      </c>
      <c r="G23" s="265">
        <v>351505.16</v>
      </c>
      <c r="H23" s="261">
        <f>+E23-F23</f>
        <v>4561852.7001789948</v>
      </c>
    </row>
    <row r="24" spans="1:8" x14ac:dyDescent="0.25">
      <c r="A24" s="264"/>
      <c r="B24" s="263" t="s">
        <v>273</v>
      </c>
      <c r="C24" s="265">
        <v>7323123.8132909173</v>
      </c>
      <c r="D24" s="265">
        <v>2871962.27</v>
      </c>
      <c r="E24" s="262">
        <f>C24+D24</f>
        <v>10195086.083290918</v>
      </c>
      <c r="F24" s="265">
        <v>9265620.6900000013</v>
      </c>
      <c r="G24" s="265">
        <v>8220098.4399999995</v>
      </c>
      <c r="H24" s="261">
        <f>+E24-F24</f>
        <v>929465.39329091646</v>
      </c>
    </row>
    <row r="25" spans="1:8" x14ac:dyDescent="0.25">
      <c r="A25" s="264"/>
      <c r="B25" s="263" t="s">
        <v>272</v>
      </c>
      <c r="C25" s="265">
        <v>2068168.613606584</v>
      </c>
      <c r="D25" s="265">
        <v>271920.69</v>
      </c>
      <c r="E25" s="262">
        <f>C25+D25</f>
        <v>2340089.3036065842</v>
      </c>
      <c r="F25" s="265">
        <v>875741.07000000007</v>
      </c>
      <c r="G25" s="265">
        <v>475913.26</v>
      </c>
      <c r="H25" s="261">
        <f>+E25-F25</f>
        <v>1464348.2336065841</v>
      </c>
    </row>
    <row r="26" spans="1:8" x14ac:dyDescent="0.25">
      <c r="A26" s="264"/>
      <c r="B26" s="263" t="s">
        <v>271</v>
      </c>
      <c r="C26" s="265"/>
      <c r="D26" s="265"/>
      <c r="E26" s="262">
        <f>C26+D26</f>
        <v>0</v>
      </c>
      <c r="F26" s="265"/>
      <c r="G26" s="265"/>
      <c r="H26" s="261">
        <f>+E26-F26</f>
        <v>0</v>
      </c>
    </row>
    <row r="27" spans="1:8" x14ac:dyDescent="0.25">
      <c r="A27" s="264"/>
      <c r="B27" s="263" t="s">
        <v>270</v>
      </c>
      <c r="C27" s="265">
        <v>2387835.9546775939</v>
      </c>
      <c r="D27" s="265">
        <v>568405.53</v>
      </c>
      <c r="E27" s="262">
        <f>C27+D27</f>
        <v>2956241.4846775942</v>
      </c>
      <c r="F27" s="265">
        <v>2133091.06</v>
      </c>
      <c r="G27" s="265">
        <v>1909873.5099999998</v>
      </c>
      <c r="H27" s="261">
        <f>+E27-F27</f>
        <v>823150.4246775941</v>
      </c>
    </row>
    <row r="28" spans="1:8" x14ac:dyDescent="0.25">
      <c r="A28" s="267" t="s">
        <v>269</v>
      </c>
      <c r="B28" s="266"/>
      <c r="C28" s="262">
        <f>SUM(C29:C37)</f>
        <v>174368088.12890899</v>
      </c>
      <c r="D28" s="262">
        <f>SUM(D29:D37)</f>
        <v>12207798.039999999</v>
      </c>
      <c r="E28" s="262">
        <f>SUM(E29:E37)</f>
        <v>186575886.16890901</v>
      </c>
      <c r="F28" s="262">
        <f>SUM(F29:F37)</f>
        <v>146917757.80000001</v>
      </c>
      <c r="G28" s="262">
        <f>SUM(G29:G37)</f>
        <v>125805602.88000001</v>
      </c>
      <c r="H28" s="262">
        <f>SUM(H29:H37)</f>
        <v>39658128.368908957</v>
      </c>
    </row>
    <row r="29" spans="1:8" x14ac:dyDescent="0.25">
      <c r="A29" s="264"/>
      <c r="B29" s="263" t="s">
        <v>268</v>
      </c>
      <c r="C29" s="265">
        <v>111236399.01198274</v>
      </c>
      <c r="D29" s="265">
        <v>-15792044.48</v>
      </c>
      <c r="E29" s="262">
        <f>C29+D29</f>
        <v>95444354.531982735</v>
      </c>
      <c r="F29" s="265">
        <v>85721759.170000002</v>
      </c>
      <c r="G29" s="265">
        <v>81651922.379999995</v>
      </c>
      <c r="H29" s="261">
        <f>+E29-F29</f>
        <v>9722595.361982733</v>
      </c>
    </row>
    <row r="30" spans="1:8" x14ac:dyDescent="0.25">
      <c r="A30" s="264"/>
      <c r="B30" s="263" t="s">
        <v>267</v>
      </c>
      <c r="C30" s="265">
        <v>5424645.4848321658</v>
      </c>
      <c r="D30" s="265">
        <v>1804864.01</v>
      </c>
      <c r="E30" s="262">
        <f>C30+D30</f>
        <v>7229509.4948321655</v>
      </c>
      <c r="F30" s="265">
        <v>5190587.84</v>
      </c>
      <c r="G30" s="265">
        <v>4195178.1999999993</v>
      </c>
      <c r="H30" s="261">
        <f>+E30-F30</f>
        <v>2038921.6548321657</v>
      </c>
    </row>
    <row r="31" spans="1:8" x14ac:dyDescent="0.25">
      <c r="A31" s="264"/>
      <c r="B31" s="263" t="s">
        <v>266</v>
      </c>
      <c r="C31" s="265">
        <v>15544134.88463385</v>
      </c>
      <c r="D31" s="265">
        <v>-1222833.67</v>
      </c>
      <c r="E31" s="262">
        <f>C31+D31</f>
        <v>14321301.21463385</v>
      </c>
      <c r="F31" s="265">
        <v>8301534.080000001</v>
      </c>
      <c r="G31" s="265">
        <v>5583408</v>
      </c>
      <c r="H31" s="261">
        <f>+E31-F31</f>
        <v>6019767.1346338494</v>
      </c>
    </row>
    <row r="32" spans="1:8" x14ac:dyDescent="0.25">
      <c r="A32" s="264"/>
      <c r="B32" s="263" t="s">
        <v>265</v>
      </c>
      <c r="C32" s="265">
        <v>17119181.076834731</v>
      </c>
      <c r="D32" s="265">
        <v>-621522.35999999987</v>
      </c>
      <c r="E32" s="262">
        <f>C32+D32</f>
        <v>16497658.716834731</v>
      </c>
      <c r="F32" s="265">
        <v>8002518.71</v>
      </c>
      <c r="G32" s="265">
        <v>7330551.8699999992</v>
      </c>
      <c r="H32" s="261">
        <f>+E32-F32</f>
        <v>8495140.0068347305</v>
      </c>
    </row>
    <row r="33" spans="1:8" x14ac:dyDescent="0.25">
      <c r="A33" s="264"/>
      <c r="B33" s="263" t="s">
        <v>264</v>
      </c>
      <c r="C33" s="265">
        <v>8212615.9761829665</v>
      </c>
      <c r="D33" s="265">
        <v>2288016</v>
      </c>
      <c r="E33" s="262">
        <f>C33+D33</f>
        <v>10500631.976182967</v>
      </c>
      <c r="F33" s="265">
        <v>7135192.0700000003</v>
      </c>
      <c r="G33" s="265">
        <v>5328731.1999999993</v>
      </c>
      <c r="H33" s="261">
        <f>+E33-F33</f>
        <v>3365439.9061829671</v>
      </c>
    </row>
    <row r="34" spans="1:8" x14ac:dyDescent="0.25">
      <c r="A34" s="264"/>
      <c r="B34" s="263" t="s">
        <v>263</v>
      </c>
      <c r="C34" s="265">
        <v>1384669.3778340495</v>
      </c>
      <c r="D34" s="265">
        <v>181200</v>
      </c>
      <c r="E34" s="262">
        <f>C34+D34</f>
        <v>1565869.3778340495</v>
      </c>
      <c r="F34" s="265">
        <v>925609</v>
      </c>
      <c r="G34" s="265">
        <v>476889</v>
      </c>
      <c r="H34" s="261">
        <f>+E34-F34</f>
        <v>640260.37783404952</v>
      </c>
    </row>
    <row r="35" spans="1:8" x14ac:dyDescent="0.25">
      <c r="A35" s="264"/>
      <c r="B35" s="263" t="s">
        <v>262</v>
      </c>
      <c r="C35" s="265">
        <v>3092396.6332266806</v>
      </c>
      <c r="D35" s="265">
        <v>247941</v>
      </c>
      <c r="E35" s="262">
        <f>C35+D35</f>
        <v>3340337.6332266806</v>
      </c>
      <c r="F35" s="265">
        <v>1578498.78</v>
      </c>
      <c r="G35" s="265">
        <v>1573016.78</v>
      </c>
      <c r="H35" s="261">
        <f>+E35-F35</f>
        <v>1761838.8532266805</v>
      </c>
    </row>
    <row r="36" spans="1:8" x14ac:dyDescent="0.25">
      <c r="A36" s="264"/>
      <c r="B36" s="263" t="s">
        <v>261</v>
      </c>
      <c r="C36" s="265">
        <v>182017.4938</v>
      </c>
      <c r="D36" s="265">
        <v>9860</v>
      </c>
      <c r="E36" s="262">
        <f>C36+D36</f>
        <v>191877.4938</v>
      </c>
      <c r="F36" s="265">
        <v>17287</v>
      </c>
      <c r="G36" s="265">
        <v>17287</v>
      </c>
      <c r="H36" s="261">
        <f>+E36-F36</f>
        <v>174590.4938</v>
      </c>
    </row>
    <row r="37" spans="1:8" ht="15.75" thickBot="1" x14ac:dyDescent="0.3">
      <c r="A37" s="257"/>
      <c r="B37" s="256" t="s">
        <v>260</v>
      </c>
      <c r="C37" s="269">
        <v>12172028.189581791</v>
      </c>
      <c r="D37" s="269">
        <v>25312317.539999999</v>
      </c>
      <c r="E37" s="270">
        <f>C37+D37</f>
        <v>37484345.729581788</v>
      </c>
      <c r="F37" s="269">
        <v>30044771.150000002</v>
      </c>
      <c r="G37" s="269">
        <v>19648618.450000003</v>
      </c>
      <c r="H37" s="268">
        <f>+E37-F37</f>
        <v>7439574.5795817859</v>
      </c>
    </row>
    <row r="38" spans="1:8" x14ac:dyDescent="0.25">
      <c r="A38" s="267" t="s">
        <v>259</v>
      </c>
      <c r="B38" s="266"/>
      <c r="C38" s="262">
        <f>SUM(C39:C47)</f>
        <v>0</v>
      </c>
      <c r="D38" s="262">
        <f>SUM(D39:D47)</f>
        <v>2162000</v>
      </c>
      <c r="E38" s="262">
        <f>SUM(E39:E47)</f>
        <v>2162000</v>
      </c>
      <c r="F38" s="262">
        <f>SUM(F39:F47)</f>
        <v>2161999.6800000002</v>
      </c>
      <c r="G38" s="262">
        <f>SUM(G39:G47)</f>
        <v>2161999.6800000002</v>
      </c>
      <c r="H38" s="262">
        <f>SUM(H39:H47)</f>
        <v>0.31999999983236194</v>
      </c>
    </row>
    <row r="39" spans="1:8" x14ac:dyDescent="0.25">
      <c r="A39" s="264"/>
      <c r="B39" s="263" t="s">
        <v>258</v>
      </c>
      <c r="C39" s="265"/>
      <c r="D39" s="265"/>
      <c r="E39" s="262">
        <f>C39+D39</f>
        <v>0</v>
      </c>
      <c r="F39" s="265"/>
      <c r="G39" s="265"/>
      <c r="H39" s="261">
        <f>+E39-F39</f>
        <v>0</v>
      </c>
    </row>
    <row r="40" spans="1:8" x14ac:dyDescent="0.25">
      <c r="A40" s="264"/>
      <c r="B40" s="263" t="s">
        <v>257</v>
      </c>
      <c r="C40" s="265">
        <v>0</v>
      </c>
      <c r="D40" s="265">
        <v>2162000</v>
      </c>
      <c r="E40" s="262">
        <f>C40+D40</f>
        <v>2162000</v>
      </c>
      <c r="F40" s="265">
        <v>2161999.6800000002</v>
      </c>
      <c r="G40" s="265">
        <v>2161999.6800000002</v>
      </c>
      <c r="H40" s="261">
        <f>+E40-F40</f>
        <v>0.31999999983236194</v>
      </c>
    </row>
    <row r="41" spans="1:8" x14ac:dyDescent="0.25">
      <c r="A41" s="264"/>
      <c r="B41" s="263" t="s">
        <v>256</v>
      </c>
      <c r="C41" s="265"/>
      <c r="D41" s="265"/>
      <c r="E41" s="262">
        <f>C41+D41</f>
        <v>0</v>
      </c>
      <c r="F41" s="265"/>
      <c r="G41" s="265"/>
      <c r="H41" s="261">
        <f>+E41-F41</f>
        <v>0</v>
      </c>
    </row>
    <row r="42" spans="1:8" x14ac:dyDescent="0.25">
      <c r="A42" s="264"/>
      <c r="B42" s="263" t="s">
        <v>255</v>
      </c>
      <c r="C42" s="265"/>
      <c r="D42" s="265"/>
      <c r="E42" s="262">
        <f>C42+D42</f>
        <v>0</v>
      </c>
      <c r="F42" s="265"/>
      <c r="G42" s="265"/>
      <c r="H42" s="261">
        <f>+E42-F42</f>
        <v>0</v>
      </c>
    </row>
    <row r="43" spans="1:8" x14ac:dyDescent="0.25">
      <c r="A43" s="264"/>
      <c r="B43" s="263" t="s">
        <v>254</v>
      </c>
      <c r="C43" s="265"/>
      <c r="D43" s="265"/>
      <c r="E43" s="262">
        <f>C43+D43</f>
        <v>0</v>
      </c>
      <c r="F43" s="265"/>
      <c r="G43" s="265"/>
      <c r="H43" s="261">
        <f>+E43-F43</f>
        <v>0</v>
      </c>
    </row>
    <row r="44" spans="1:8" x14ac:dyDescent="0.25">
      <c r="A44" s="264"/>
      <c r="B44" s="263" t="s">
        <v>253</v>
      </c>
      <c r="C44" s="265"/>
      <c r="D44" s="265"/>
      <c r="E44" s="262">
        <f>C44+D44</f>
        <v>0</v>
      </c>
      <c r="F44" s="265"/>
      <c r="G44" s="265"/>
      <c r="H44" s="261">
        <f>+E44-F44</f>
        <v>0</v>
      </c>
    </row>
    <row r="45" spans="1:8" x14ac:dyDescent="0.25">
      <c r="A45" s="264"/>
      <c r="B45" s="263" t="s">
        <v>252</v>
      </c>
      <c r="C45" s="265"/>
      <c r="D45" s="265"/>
      <c r="E45" s="262">
        <f>C45+D45</f>
        <v>0</v>
      </c>
      <c r="F45" s="265"/>
      <c r="G45" s="265"/>
      <c r="H45" s="261">
        <f>+E45-F45</f>
        <v>0</v>
      </c>
    </row>
    <row r="46" spans="1:8" x14ac:dyDescent="0.25">
      <c r="A46" s="264"/>
      <c r="B46" s="263" t="s">
        <v>251</v>
      </c>
      <c r="C46" s="265"/>
      <c r="D46" s="265"/>
      <c r="E46" s="262">
        <f>C46+D46</f>
        <v>0</v>
      </c>
      <c r="F46" s="265"/>
      <c r="G46" s="265"/>
      <c r="H46" s="261">
        <f>+E46-F46</f>
        <v>0</v>
      </c>
    </row>
    <row r="47" spans="1:8" x14ac:dyDescent="0.25">
      <c r="A47" s="264"/>
      <c r="B47" s="263" t="s">
        <v>250</v>
      </c>
      <c r="C47" s="265"/>
      <c r="D47" s="265"/>
      <c r="E47" s="262">
        <f>C47+D47</f>
        <v>0</v>
      </c>
      <c r="F47" s="265"/>
      <c r="G47" s="265"/>
      <c r="H47" s="261">
        <f>+E47-F47</f>
        <v>0</v>
      </c>
    </row>
    <row r="48" spans="1:8" x14ac:dyDescent="0.25">
      <c r="A48" s="267" t="s">
        <v>249</v>
      </c>
      <c r="B48" s="266"/>
      <c r="C48" s="262">
        <f>SUM(C49:C57)</f>
        <v>0</v>
      </c>
      <c r="D48" s="262">
        <f>SUM(D49:D57)</f>
        <v>656331.28</v>
      </c>
      <c r="E48" s="262">
        <f>SUM(E49:E57)</f>
        <v>656331.28</v>
      </c>
      <c r="F48" s="262">
        <f>SUM(F49:F57)</f>
        <v>652980.71</v>
      </c>
      <c r="G48" s="262">
        <f>SUM(G49:G57)</f>
        <v>574380.71</v>
      </c>
      <c r="H48" s="262">
        <f>SUM(H49:H57)</f>
        <v>3350.5699999999779</v>
      </c>
    </row>
    <row r="49" spans="1:8" x14ac:dyDescent="0.25">
      <c r="A49" s="264"/>
      <c r="B49" s="263" t="s">
        <v>248</v>
      </c>
      <c r="C49" s="265">
        <v>0</v>
      </c>
      <c r="D49" s="265">
        <v>7700</v>
      </c>
      <c r="E49" s="262">
        <f>C49+D49</f>
        <v>7700</v>
      </c>
      <c r="F49" s="265">
        <v>7580</v>
      </c>
      <c r="G49" s="265">
        <v>7580</v>
      </c>
      <c r="H49" s="261">
        <f>+E49-F49</f>
        <v>120</v>
      </c>
    </row>
    <row r="50" spans="1:8" x14ac:dyDescent="0.25">
      <c r="A50" s="264"/>
      <c r="B50" s="263" t="s">
        <v>247</v>
      </c>
      <c r="C50" s="265"/>
      <c r="D50" s="265"/>
      <c r="E50" s="262">
        <f>C50+D50</f>
        <v>0</v>
      </c>
      <c r="F50" s="265"/>
      <c r="G50" s="265"/>
      <c r="H50" s="261">
        <f>+E50-F50</f>
        <v>0</v>
      </c>
    </row>
    <row r="51" spans="1:8" x14ac:dyDescent="0.25">
      <c r="A51" s="264"/>
      <c r="B51" s="263" t="s">
        <v>246</v>
      </c>
      <c r="C51" s="265"/>
      <c r="D51" s="265"/>
      <c r="E51" s="262">
        <f>C51+D51</f>
        <v>0</v>
      </c>
      <c r="F51" s="265"/>
      <c r="G51" s="265"/>
      <c r="H51" s="261">
        <f>+E51-F51</f>
        <v>0</v>
      </c>
    </row>
    <row r="52" spans="1:8" x14ac:dyDescent="0.25">
      <c r="A52" s="264"/>
      <c r="B52" s="263" t="s">
        <v>245</v>
      </c>
      <c r="C52" s="265">
        <v>0</v>
      </c>
      <c r="D52" s="265">
        <v>241161.68</v>
      </c>
      <c r="E52" s="262">
        <f>C52+D52</f>
        <v>241161.68</v>
      </c>
      <c r="F52" s="265">
        <v>239585.33</v>
      </c>
      <c r="G52" s="265">
        <v>239585.33</v>
      </c>
      <c r="H52" s="261">
        <f>+E52-F52</f>
        <v>1576.3500000000058</v>
      </c>
    </row>
    <row r="53" spans="1:8" x14ac:dyDescent="0.25">
      <c r="A53" s="264"/>
      <c r="B53" s="263" t="s">
        <v>244</v>
      </c>
      <c r="C53" s="265"/>
      <c r="D53" s="265"/>
      <c r="E53" s="262">
        <f>C53+D53</f>
        <v>0</v>
      </c>
      <c r="F53" s="265"/>
      <c r="G53" s="265"/>
      <c r="H53" s="261">
        <f>+E53-F53</f>
        <v>0</v>
      </c>
    </row>
    <row r="54" spans="1:8" x14ac:dyDescent="0.25">
      <c r="A54" s="264"/>
      <c r="B54" s="263" t="s">
        <v>243</v>
      </c>
      <c r="C54" s="265">
        <v>0</v>
      </c>
      <c r="D54" s="265">
        <v>407469.6</v>
      </c>
      <c r="E54" s="262">
        <f>C54+D54</f>
        <v>407469.6</v>
      </c>
      <c r="F54" s="265">
        <v>405815.38</v>
      </c>
      <c r="G54" s="265">
        <v>327215.38</v>
      </c>
      <c r="H54" s="261">
        <f>+E54-F54</f>
        <v>1654.2199999999721</v>
      </c>
    </row>
    <row r="55" spans="1:8" x14ac:dyDescent="0.25">
      <c r="A55" s="264"/>
      <c r="B55" s="263" t="s">
        <v>242</v>
      </c>
      <c r="C55" s="265"/>
      <c r="D55" s="265"/>
      <c r="E55" s="262">
        <f>C55+D55</f>
        <v>0</v>
      </c>
      <c r="F55" s="265"/>
      <c r="G55" s="265"/>
      <c r="H55" s="261">
        <f>+E55-F55</f>
        <v>0</v>
      </c>
    </row>
    <row r="56" spans="1:8" x14ac:dyDescent="0.25">
      <c r="A56" s="264"/>
      <c r="B56" s="263" t="s">
        <v>241</v>
      </c>
      <c r="C56" s="265"/>
      <c r="D56" s="265"/>
      <c r="E56" s="262">
        <f>C56+D56</f>
        <v>0</v>
      </c>
      <c r="F56" s="265"/>
      <c r="G56" s="265"/>
      <c r="H56" s="261">
        <f>+E56-F56</f>
        <v>0</v>
      </c>
    </row>
    <row r="57" spans="1:8" x14ac:dyDescent="0.25">
      <c r="A57" s="264"/>
      <c r="B57" s="263" t="s">
        <v>240</v>
      </c>
      <c r="C57" s="265"/>
      <c r="D57" s="265"/>
      <c r="E57" s="262">
        <f>C57+D57</f>
        <v>0</v>
      </c>
      <c r="F57" s="265"/>
      <c r="G57" s="265"/>
      <c r="H57" s="261">
        <f>+E57-F57</f>
        <v>0</v>
      </c>
    </row>
    <row r="58" spans="1:8" x14ac:dyDescent="0.25">
      <c r="A58" s="267" t="s">
        <v>239</v>
      </c>
      <c r="B58" s="266"/>
      <c r="C58" s="262">
        <f>SUM(C59:C61)</f>
        <v>78479942</v>
      </c>
      <c r="D58" s="262">
        <f>SUM(D59:D61)</f>
        <v>22686152.609999996</v>
      </c>
      <c r="E58" s="262">
        <f>SUM(E59:E61)</f>
        <v>101166094.61</v>
      </c>
      <c r="F58" s="262">
        <f>SUM(F59:F61)</f>
        <v>16932338.75</v>
      </c>
      <c r="G58" s="262">
        <f>SUM(G59:G61)</f>
        <v>10943441.100000001</v>
      </c>
      <c r="H58" s="262">
        <f>SUM(H59:H61)</f>
        <v>84233755.859999999</v>
      </c>
    </row>
    <row r="59" spans="1:8" x14ac:dyDescent="0.25">
      <c r="A59" s="264"/>
      <c r="B59" s="263" t="s">
        <v>238</v>
      </c>
      <c r="C59" s="265">
        <v>78479942</v>
      </c>
      <c r="D59" s="265">
        <v>22686152.609999996</v>
      </c>
      <c r="E59" s="262">
        <f>C59+D59</f>
        <v>101166094.61</v>
      </c>
      <c r="F59" s="265">
        <v>16932338.75</v>
      </c>
      <c r="G59" s="265">
        <v>10943441.100000001</v>
      </c>
      <c r="H59" s="261">
        <f>+E59-F59</f>
        <v>84233755.859999999</v>
      </c>
    </row>
    <row r="60" spans="1:8" x14ac:dyDescent="0.25">
      <c r="A60" s="264"/>
      <c r="B60" s="263" t="s">
        <v>237</v>
      </c>
      <c r="C60" s="265"/>
      <c r="D60" s="265"/>
      <c r="E60" s="262">
        <f>C60+D60</f>
        <v>0</v>
      </c>
      <c r="F60" s="265"/>
      <c r="G60" s="265"/>
      <c r="H60" s="261">
        <f>+E60-F60</f>
        <v>0</v>
      </c>
    </row>
    <row r="61" spans="1:8" x14ac:dyDescent="0.25">
      <c r="A61" s="264"/>
      <c r="B61" s="263" t="s">
        <v>236</v>
      </c>
      <c r="C61" s="265"/>
      <c r="D61" s="265"/>
      <c r="E61" s="262">
        <f>C61+D61</f>
        <v>0</v>
      </c>
      <c r="F61" s="265"/>
      <c r="G61" s="265"/>
      <c r="H61" s="261">
        <f>+E61-F61</f>
        <v>0</v>
      </c>
    </row>
    <row r="62" spans="1:8" x14ac:dyDescent="0.25">
      <c r="A62" s="267" t="s">
        <v>235</v>
      </c>
      <c r="B62" s="266"/>
      <c r="C62" s="262">
        <f>SUM(C63:C70)</f>
        <v>48432617</v>
      </c>
      <c r="D62" s="262">
        <f>SUM(D63:D70)</f>
        <v>0</v>
      </c>
      <c r="E62" s="262">
        <f>SUM(E63:E70)</f>
        <v>48432617</v>
      </c>
      <c r="F62" s="262">
        <f>SUM(F63:F70)</f>
        <v>0</v>
      </c>
      <c r="G62" s="262">
        <f>SUM(G63:G70)</f>
        <v>0</v>
      </c>
      <c r="H62" s="262">
        <f>SUM(H63:H70)</f>
        <v>48432617</v>
      </c>
    </row>
    <row r="63" spans="1:8" x14ac:dyDescent="0.25">
      <c r="A63" s="264"/>
      <c r="B63" s="263" t="s">
        <v>234</v>
      </c>
      <c r="C63" s="265"/>
      <c r="D63" s="265"/>
      <c r="E63" s="262">
        <f>C63+D63</f>
        <v>0</v>
      </c>
      <c r="F63" s="265"/>
      <c r="G63" s="265"/>
      <c r="H63" s="261">
        <f>+E63-F63</f>
        <v>0</v>
      </c>
    </row>
    <row r="64" spans="1:8" x14ac:dyDescent="0.25">
      <c r="A64" s="264"/>
      <c r="B64" s="263" t="s">
        <v>233</v>
      </c>
      <c r="C64" s="265"/>
      <c r="D64" s="265"/>
      <c r="E64" s="262">
        <f>C64+D64</f>
        <v>0</v>
      </c>
      <c r="F64" s="265"/>
      <c r="G64" s="265"/>
      <c r="H64" s="261">
        <f>+E64-F64</f>
        <v>0</v>
      </c>
    </row>
    <row r="65" spans="1:8" x14ac:dyDescent="0.25">
      <c r="A65" s="264"/>
      <c r="B65" s="263" t="s">
        <v>232</v>
      </c>
      <c r="C65" s="265"/>
      <c r="D65" s="265"/>
      <c r="E65" s="262">
        <f>C65+D65</f>
        <v>0</v>
      </c>
      <c r="F65" s="265"/>
      <c r="G65" s="265"/>
      <c r="H65" s="261">
        <f>+E65-F65</f>
        <v>0</v>
      </c>
    </row>
    <row r="66" spans="1:8" x14ac:dyDescent="0.25">
      <c r="A66" s="264"/>
      <c r="B66" s="263" t="s">
        <v>231</v>
      </c>
      <c r="C66" s="265"/>
      <c r="D66" s="265"/>
      <c r="E66" s="262">
        <f>C66+D66</f>
        <v>0</v>
      </c>
      <c r="F66" s="265"/>
      <c r="G66" s="265"/>
      <c r="H66" s="261">
        <f>+E66-F66</f>
        <v>0</v>
      </c>
    </row>
    <row r="67" spans="1:8" x14ac:dyDescent="0.25">
      <c r="A67" s="264"/>
      <c r="B67" s="263" t="s">
        <v>230</v>
      </c>
      <c r="C67" s="265"/>
      <c r="D67" s="265"/>
      <c r="E67" s="262">
        <f>C67+D67</f>
        <v>0</v>
      </c>
      <c r="F67" s="265"/>
      <c r="G67" s="265"/>
      <c r="H67" s="261">
        <f>+E67-F67</f>
        <v>0</v>
      </c>
    </row>
    <row r="68" spans="1:8" x14ac:dyDescent="0.25">
      <c r="A68" s="264"/>
      <c r="B68" s="263" t="s">
        <v>229</v>
      </c>
      <c r="C68" s="265"/>
      <c r="D68" s="265"/>
      <c r="E68" s="262">
        <f>C68+D68</f>
        <v>0</v>
      </c>
      <c r="F68" s="265"/>
      <c r="G68" s="265"/>
      <c r="H68" s="261">
        <f>+E68-F68</f>
        <v>0</v>
      </c>
    </row>
    <row r="69" spans="1:8" x14ac:dyDescent="0.25">
      <c r="A69" s="264"/>
      <c r="B69" s="263" t="s">
        <v>228</v>
      </c>
      <c r="C69" s="265"/>
      <c r="D69" s="265"/>
      <c r="E69" s="262">
        <f>C69+D69</f>
        <v>0</v>
      </c>
      <c r="F69" s="265"/>
      <c r="G69" s="265"/>
      <c r="H69" s="261">
        <f>+E69-F69</f>
        <v>0</v>
      </c>
    </row>
    <row r="70" spans="1:8" x14ac:dyDescent="0.25">
      <c r="A70" s="264"/>
      <c r="B70" s="263" t="s">
        <v>227</v>
      </c>
      <c r="C70" s="265">
        <v>48432617</v>
      </c>
      <c r="D70" s="265">
        <v>0</v>
      </c>
      <c r="E70" s="262">
        <f>C70+D70</f>
        <v>48432617</v>
      </c>
      <c r="F70" s="265">
        <v>0</v>
      </c>
      <c r="G70" s="265">
        <v>0</v>
      </c>
      <c r="H70" s="261">
        <f>+E70-F70</f>
        <v>48432617</v>
      </c>
    </row>
    <row r="71" spans="1:8" x14ac:dyDescent="0.25">
      <c r="A71" s="267" t="s">
        <v>226</v>
      </c>
      <c r="B71" s="266"/>
      <c r="C71" s="262">
        <f>SUM(C72:C74)</f>
        <v>0</v>
      </c>
      <c r="D71" s="262">
        <f>SUM(D72:D74)</f>
        <v>0</v>
      </c>
      <c r="E71" s="262">
        <f>SUM(E72:E74)</f>
        <v>0</v>
      </c>
      <c r="F71" s="262">
        <f>SUM(F72:F74)</f>
        <v>0</v>
      </c>
      <c r="G71" s="262">
        <f>SUM(G72:G74)</f>
        <v>0</v>
      </c>
      <c r="H71" s="262">
        <f>SUM(H72:H74)</f>
        <v>0</v>
      </c>
    </row>
    <row r="72" spans="1:8" ht="15.75" thickBot="1" x14ac:dyDescent="0.3">
      <c r="A72" s="257"/>
      <c r="B72" s="256" t="s">
        <v>225</v>
      </c>
      <c r="C72" s="269"/>
      <c r="D72" s="269"/>
      <c r="E72" s="270">
        <f>C72+D72</f>
        <v>0</v>
      </c>
      <c r="F72" s="269"/>
      <c r="G72" s="269"/>
      <c r="H72" s="268">
        <f>+E72-F72</f>
        <v>0</v>
      </c>
    </row>
    <row r="73" spans="1:8" x14ac:dyDescent="0.25">
      <c r="A73" s="264"/>
      <c r="B73" s="263" t="s">
        <v>224</v>
      </c>
      <c r="C73" s="265"/>
      <c r="D73" s="265"/>
      <c r="E73" s="262">
        <f>C73+D73</f>
        <v>0</v>
      </c>
      <c r="F73" s="265"/>
      <c r="G73" s="265"/>
      <c r="H73" s="261">
        <f>+E73-F73</f>
        <v>0</v>
      </c>
    </row>
    <row r="74" spans="1:8" x14ac:dyDescent="0.25">
      <c r="A74" s="264"/>
      <c r="B74" s="263" t="s">
        <v>223</v>
      </c>
      <c r="C74" s="265"/>
      <c r="D74" s="265"/>
      <c r="E74" s="262">
        <f>C74+D74</f>
        <v>0</v>
      </c>
      <c r="F74" s="265"/>
      <c r="G74" s="265"/>
      <c r="H74" s="261">
        <f>+E74-F74</f>
        <v>0</v>
      </c>
    </row>
    <row r="75" spans="1:8" x14ac:dyDescent="0.25">
      <c r="A75" s="267" t="s">
        <v>222</v>
      </c>
      <c r="B75" s="266"/>
      <c r="C75" s="262">
        <f>SUM(C76:C82)</f>
        <v>0</v>
      </c>
      <c r="D75" s="262">
        <f>SUM(D76:D82)</f>
        <v>82564453.810000002</v>
      </c>
      <c r="E75" s="262">
        <f>SUM(E76:E82)</f>
        <v>82564453.810000002</v>
      </c>
      <c r="F75" s="262">
        <f>SUM(F76:F82)</f>
        <v>82554628.049999997</v>
      </c>
      <c r="G75" s="262">
        <f>SUM(G76:G82)</f>
        <v>80585673.950000003</v>
      </c>
      <c r="H75" s="262">
        <f>SUM(H76:H82)</f>
        <v>9825.7599999979138</v>
      </c>
    </row>
    <row r="76" spans="1:8" x14ac:dyDescent="0.25">
      <c r="A76" s="264"/>
      <c r="B76" s="263" t="s">
        <v>221</v>
      </c>
      <c r="C76" s="265">
        <v>0</v>
      </c>
      <c r="D76" s="265">
        <v>14834441.289999999</v>
      </c>
      <c r="E76" s="262">
        <f>C76+D76</f>
        <v>14834441.289999999</v>
      </c>
      <c r="F76" s="265">
        <v>14834441.280000001</v>
      </c>
      <c r="G76" s="265">
        <v>14834441.280000001</v>
      </c>
      <c r="H76" s="261">
        <f>+E76-F76</f>
        <v>9.9999979138374329E-3</v>
      </c>
    </row>
    <row r="77" spans="1:8" x14ac:dyDescent="0.25">
      <c r="A77" s="264"/>
      <c r="B77" s="263" t="s">
        <v>220</v>
      </c>
      <c r="C77" s="265">
        <v>0</v>
      </c>
      <c r="D77" s="265">
        <v>17020130.91</v>
      </c>
      <c r="E77" s="262">
        <f>C77+D77</f>
        <v>17020130.91</v>
      </c>
      <c r="F77" s="265">
        <v>17020130.91</v>
      </c>
      <c r="G77" s="265">
        <v>17020130.91</v>
      </c>
      <c r="H77" s="261">
        <f>+E77-F77</f>
        <v>0</v>
      </c>
    </row>
    <row r="78" spans="1:8" x14ac:dyDescent="0.25">
      <c r="A78" s="264"/>
      <c r="B78" s="263" t="s">
        <v>219</v>
      </c>
      <c r="C78" s="265"/>
      <c r="D78" s="265"/>
      <c r="E78" s="262">
        <f>C78+D78</f>
        <v>0</v>
      </c>
      <c r="F78" s="265"/>
      <c r="G78" s="265"/>
      <c r="H78" s="261">
        <f>+E78-F78</f>
        <v>0</v>
      </c>
    </row>
    <row r="79" spans="1:8" x14ac:dyDescent="0.25">
      <c r="A79" s="264"/>
      <c r="B79" s="263" t="s">
        <v>218</v>
      </c>
      <c r="C79" s="265"/>
      <c r="D79" s="265"/>
      <c r="E79" s="262">
        <f>C79+D79</f>
        <v>0</v>
      </c>
      <c r="F79" s="265"/>
      <c r="G79" s="265"/>
      <c r="H79" s="261">
        <f>+E79-F79</f>
        <v>0</v>
      </c>
    </row>
    <row r="80" spans="1:8" x14ac:dyDescent="0.25">
      <c r="A80" s="264"/>
      <c r="B80" s="263" t="s">
        <v>217</v>
      </c>
      <c r="C80" s="265"/>
      <c r="D80" s="265"/>
      <c r="E80" s="262">
        <f>C80+D80</f>
        <v>0</v>
      </c>
      <c r="F80" s="265"/>
      <c r="G80" s="265"/>
      <c r="H80" s="261">
        <f>+E80-F80</f>
        <v>0</v>
      </c>
    </row>
    <row r="81" spans="1:8" x14ac:dyDescent="0.25">
      <c r="A81" s="264"/>
      <c r="B81" s="263" t="s">
        <v>216</v>
      </c>
      <c r="C81" s="265"/>
      <c r="D81" s="265"/>
      <c r="E81" s="262">
        <f>C81+D81</f>
        <v>0</v>
      </c>
      <c r="F81" s="265"/>
      <c r="G81" s="265"/>
      <c r="H81" s="261">
        <f>+E81-F81</f>
        <v>0</v>
      </c>
    </row>
    <row r="82" spans="1:8" x14ac:dyDescent="0.25">
      <c r="A82" s="264"/>
      <c r="B82" s="263" t="s">
        <v>215</v>
      </c>
      <c r="C82" s="265">
        <v>0</v>
      </c>
      <c r="D82" s="265">
        <v>50709881.609999999</v>
      </c>
      <c r="E82" s="262">
        <f>C82+D82</f>
        <v>50709881.609999999</v>
      </c>
      <c r="F82" s="265">
        <v>50700055.859999999</v>
      </c>
      <c r="G82" s="265">
        <v>48731101.760000005</v>
      </c>
      <c r="H82" s="261">
        <f>+E82-F82</f>
        <v>9825.75</v>
      </c>
    </row>
    <row r="83" spans="1:8" x14ac:dyDescent="0.25">
      <c r="A83" s="260" t="s">
        <v>288</v>
      </c>
      <c r="B83" s="259"/>
      <c r="C83" s="258">
        <f>+C84+C92+C102+C112+C122+C132+C136+C145+C149</f>
        <v>88275234</v>
      </c>
      <c r="D83" s="258">
        <f>+D84+D92+D102+D112+D122+D132+D136+D145+D149</f>
        <v>59471285.989999987</v>
      </c>
      <c r="E83" s="258">
        <f>+E84+E92+E102+E112+E122+E132+E136+E145+E149</f>
        <v>147746519.98999998</v>
      </c>
      <c r="F83" s="258">
        <f>+F84+F92+F102+F112+F122+F132+F136+F145+F149</f>
        <v>30244399.449999996</v>
      </c>
      <c r="G83" s="258">
        <f>+G84+G92+G102+G112+G122+G132+G136+G145+G149</f>
        <v>29702678.48</v>
      </c>
      <c r="H83" s="258">
        <f>+H84+H92+H102+H112+H122+H132+H136+H145+H149</f>
        <v>117502120.53999999</v>
      </c>
    </row>
    <row r="84" spans="1:8" x14ac:dyDescent="0.25">
      <c r="A84" s="267" t="s">
        <v>287</v>
      </c>
      <c r="B84" s="266"/>
      <c r="C84" s="262">
        <f>SUM(C85:C91)</f>
        <v>0</v>
      </c>
      <c r="D84" s="262">
        <f>SUM(D85:D91)</f>
        <v>0</v>
      </c>
      <c r="E84" s="262">
        <f>SUM(E85:E91)</f>
        <v>0</v>
      </c>
      <c r="F84" s="262">
        <f>SUM(F85:F91)</f>
        <v>0</v>
      </c>
      <c r="G84" s="262">
        <f>SUM(G85:G91)</f>
        <v>0</v>
      </c>
      <c r="H84" s="262">
        <f>SUM(H85:H91)</f>
        <v>0</v>
      </c>
    </row>
    <row r="85" spans="1:8" x14ac:dyDescent="0.25">
      <c r="A85" s="264"/>
      <c r="B85" s="263" t="s">
        <v>286</v>
      </c>
      <c r="C85" s="265"/>
      <c r="D85" s="265"/>
      <c r="E85" s="262">
        <f>C85+D85</f>
        <v>0</v>
      </c>
      <c r="F85" s="265"/>
      <c r="G85" s="265"/>
      <c r="H85" s="261">
        <f>+E85-F85</f>
        <v>0</v>
      </c>
    </row>
    <row r="86" spans="1:8" x14ac:dyDescent="0.25">
      <c r="A86" s="264"/>
      <c r="B86" s="263" t="s">
        <v>285</v>
      </c>
      <c r="C86" s="265"/>
      <c r="D86" s="265"/>
      <c r="E86" s="262">
        <f>C86+D86</f>
        <v>0</v>
      </c>
      <c r="F86" s="265"/>
      <c r="G86" s="265"/>
      <c r="H86" s="261">
        <f>+E86-F86</f>
        <v>0</v>
      </c>
    </row>
    <row r="87" spans="1:8" x14ac:dyDescent="0.25">
      <c r="A87" s="264"/>
      <c r="B87" s="263" t="s">
        <v>284</v>
      </c>
      <c r="C87" s="265"/>
      <c r="D87" s="265"/>
      <c r="E87" s="262">
        <f>C87+D87</f>
        <v>0</v>
      </c>
      <c r="F87" s="265"/>
      <c r="G87" s="265"/>
      <c r="H87" s="261">
        <f>+E87-F87</f>
        <v>0</v>
      </c>
    </row>
    <row r="88" spans="1:8" x14ac:dyDescent="0.25">
      <c r="A88" s="264"/>
      <c r="B88" s="263" t="s">
        <v>283</v>
      </c>
      <c r="C88" s="265"/>
      <c r="D88" s="265"/>
      <c r="E88" s="262">
        <f>C88+D88</f>
        <v>0</v>
      </c>
      <c r="F88" s="265"/>
      <c r="G88" s="265"/>
      <c r="H88" s="261">
        <f>+E88-F88</f>
        <v>0</v>
      </c>
    </row>
    <row r="89" spans="1:8" x14ac:dyDescent="0.25">
      <c r="A89" s="264"/>
      <c r="B89" s="263" t="s">
        <v>282</v>
      </c>
      <c r="C89" s="265"/>
      <c r="D89" s="265"/>
      <c r="E89" s="262">
        <f>C89+D89</f>
        <v>0</v>
      </c>
      <c r="F89" s="265"/>
      <c r="G89" s="265"/>
      <c r="H89" s="261">
        <f>+E89-F89</f>
        <v>0</v>
      </c>
    </row>
    <row r="90" spans="1:8" x14ac:dyDescent="0.25">
      <c r="A90" s="264"/>
      <c r="B90" s="263" t="s">
        <v>281</v>
      </c>
      <c r="C90" s="265"/>
      <c r="D90" s="265"/>
      <c r="E90" s="262">
        <f>C90+D90</f>
        <v>0</v>
      </c>
      <c r="F90" s="265"/>
      <c r="G90" s="265"/>
      <c r="H90" s="261">
        <f>+E90-F90</f>
        <v>0</v>
      </c>
    </row>
    <row r="91" spans="1:8" x14ac:dyDescent="0.25">
      <c r="A91" s="264"/>
      <c r="B91" s="263" t="s">
        <v>280</v>
      </c>
      <c r="C91" s="265"/>
      <c r="D91" s="265"/>
      <c r="E91" s="262">
        <f>C91+D91</f>
        <v>0</v>
      </c>
      <c r="F91" s="265"/>
      <c r="G91" s="265"/>
      <c r="H91" s="261">
        <f>+E91-F91</f>
        <v>0</v>
      </c>
    </row>
    <row r="92" spans="1:8" x14ac:dyDescent="0.25">
      <c r="A92" s="267" t="s">
        <v>279</v>
      </c>
      <c r="B92" s="266"/>
      <c r="C92" s="262">
        <f>SUM(C93:C101)</f>
        <v>0</v>
      </c>
      <c r="D92" s="262">
        <f>SUM(D93:D101)</f>
        <v>0</v>
      </c>
      <c r="E92" s="262">
        <f>SUM(E93:E101)</f>
        <v>0</v>
      </c>
      <c r="F92" s="262">
        <f>SUM(F93:F101)</f>
        <v>0</v>
      </c>
      <c r="G92" s="262">
        <f>SUM(G93:G101)</f>
        <v>0</v>
      </c>
      <c r="H92" s="262">
        <f>SUM(H93:H101)</f>
        <v>0</v>
      </c>
    </row>
    <row r="93" spans="1:8" x14ac:dyDescent="0.25">
      <c r="A93" s="264"/>
      <c r="B93" s="263" t="s">
        <v>278</v>
      </c>
      <c r="C93" s="265"/>
      <c r="D93" s="265"/>
      <c r="E93" s="262">
        <f>C93+D93</f>
        <v>0</v>
      </c>
      <c r="F93" s="265"/>
      <c r="G93" s="265"/>
      <c r="H93" s="261">
        <f>+E93-F93</f>
        <v>0</v>
      </c>
    </row>
    <row r="94" spans="1:8" x14ac:dyDescent="0.25">
      <c r="A94" s="264"/>
      <c r="B94" s="263" t="s">
        <v>277</v>
      </c>
      <c r="C94" s="265"/>
      <c r="D94" s="265"/>
      <c r="E94" s="262">
        <f>C94+D94</f>
        <v>0</v>
      </c>
      <c r="F94" s="265"/>
      <c r="G94" s="265"/>
      <c r="H94" s="261">
        <f>+E94-F94</f>
        <v>0</v>
      </c>
    </row>
    <row r="95" spans="1:8" x14ac:dyDescent="0.25">
      <c r="A95" s="264"/>
      <c r="B95" s="263" t="s">
        <v>276</v>
      </c>
      <c r="C95" s="265"/>
      <c r="D95" s="265"/>
      <c r="E95" s="262">
        <f>C95+D95</f>
        <v>0</v>
      </c>
      <c r="F95" s="265"/>
      <c r="G95" s="265"/>
      <c r="H95" s="261">
        <f>+E95-F95</f>
        <v>0</v>
      </c>
    </row>
    <row r="96" spans="1:8" x14ac:dyDescent="0.25">
      <c r="A96" s="264"/>
      <c r="B96" s="263" t="s">
        <v>275</v>
      </c>
      <c r="C96" s="265"/>
      <c r="D96" s="265"/>
      <c r="E96" s="262">
        <f>C96+D96</f>
        <v>0</v>
      </c>
      <c r="F96" s="265"/>
      <c r="G96" s="265"/>
      <c r="H96" s="261">
        <f>+E96-F96</f>
        <v>0</v>
      </c>
    </row>
    <row r="97" spans="1:8" x14ac:dyDescent="0.25">
      <c r="A97" s="264"/>
      <c r="B97" s="263" t="s">
        <v>274</v>
      </c>
      <c r="C97" s="265"/>
      <c r="D97" s="265"/>
      <c r="E97" s="262">
        <f>C97+D97</f>
        <v>0</v>
      </c>
      <c r="F97" s="265"/>
      <c r="G97" s="265"/>
      <c r="H97" s="261">
        <f>+E97-F97</f>
        <v>0</v>
      </c>
    </row>
    <row r="98" spans="1:8" x14ac:dyDescent="0.25">
      <c r="A98" s="264"/>
      <c r="B98" s="263" t="s">
        <v>273</v>
      </c>
      <c r="C98" s="265"/>
      <c r="D98" s="265"/>
      <c r="E98" s="262">
        <f>C98+D98</f>
        <v>0</v>
      </c>
      <c r="F98" s="265"/>
      <c r="G98" s="265"/>
      <c r="H98" s="261">
        <f>+E98-F98</f>
        <v>0</v>
      </c>
    </row>
    <row r="99" spans="1:8" x14ac:dyDescent="0.25">
      <c r="A99" s="264"/>
      <c r="B99" s="263" t="s">
        <v>272</v>
      </c>
      <c r="C99" s="265"/>
      <c r="D99" s="265"/>
      <c r="E99" s="262">
        <f>C99+D99</f>
        <v>0</v>
      </c>
      <c r="F99" s="265"/>
      <c r="G99" s="265"/>
      <c r="H99" s="261">
        <f>+E99-F99</f>
        <v>0</v>
      </c>
    </row>
    <row r="100" spans="1:8" x14ac:dyDescent="0.25">
      <c r="A100" s="264"/>
      <c r="B100" s="263" t="s">
        <v>271</v>
      </c>
      <c r="C100" s="265"/>
      <c r="D100" s="265"/>
      <c r="E100" s="262">
        <f>C100+D100</f>
        <v>0</v>
      </c>
      <c r="F100" s="265"/>
      <c r="G100" s="265"/>
      <c r="H100" s="261">
        <f>+E100-F100</f>
        <v>0</v>
      </c>
    </row>
    <row r="101" spans="1:8" x14ac:dyDescent="0.25">
      <c r="A101" s="264"/>
      <c r="B101" s="263" t="s">
        <v>270</v>
      </c>
      <c r="C101" s="265"/>
      <c r="D101" s="265"/>
      <c r="E101" s="262">
        <f>C101+D101</f>
        <v>0</v>
      </c>
      <c r="F101" s="265"/>
      <c r="G101" s="265"/>
      <c r="H101" s="261">
        <f>+E101-F101</f>
        <v>0</v>
      </c>
    </row>
    <row r="102" spans="1:8" x14ac:dyDescent="0.25">
      <c r="A102" s="267" t="s">
        <v>269</v>
      </c>
      <c r="B102" s="266"/>
      <c r="C102" s="262">
        <f>SUM(C103:C111)</f>
        <v>0</v>
      </c>
      <c r="D102" s="262">
        <f>SUM(D103:D111)</f>
        <v>0</v>
      </c>
      <c r="E102" s="262">
        <f>SUM(E103:E111)</f>
        <v>0</v>
      </c>
      <c r="F102" s="262">
        <f>SUM(F103:F111)</f>
        <v>0</v>
      </c>
      <c r="G102" s="262">
        <f>SUM(G103:G111)</f>
        <v>0</v>
      </c>
      <c r="H102" s="262">
        <f>SUM(H103:H111)</f>
        <v>0</v>
      </c>
    </row>
    <row r="103" spans="1:8" x14ac:dyDescent="0.25">
      <c r="A103" s="264"/>
      <c r="B103" s="263" t="s">
        <v>268</v>
      </c>
      <c r="C103" s="265"/>
      <c r="D103" s="265"/>
      <c r="E103" s="262">
        <f>C103+D103</f>
        <v>0</v>
      </c>
      <c r="F103" s="265"/>
      <c r="G103" s="265"/>
      <c r="H103" s="261">
        <f>+E103-F103</f>
        <v>0</v>
      </c>
    </row>
    <row r="104" spans="1:8" x14ac:dyDescent="0.25">
      <c r="A104" s="264"/>
      <c r="B104" s="263" t="s">
        <v>267</v>
      </c>
      <c r="C104" s="265"/>
      <c r="D104" s="265"/>
      <c r="E104" s="262">
        <f>C104+D104</f>
        <v>0</v>
      </c>
      <c r="F104" s="265"/>
      <c r="G104" s="265"/>
      <c r="H104" s="261">
        <f>+E104-F104</f>
        <v>0</v>
      </c>
    </row>
    <row r="105" spans="1:8" x14ac:dyDescent="0.25">
      <c r="A105" s="264"/>
      <c r="B105" s="263" t="s">
        <v>266</v>
      </c>
      <c r="C105" s="265"/>
      <c r="D105" s="265"/>
      <c r="E105" s="262">
        <f>C105+D105</f>
        <v>0</v>
      </c>
      <c r="F105" s="265"/>
      <c r="G105" s="265"/>
      <c r="H105" s="261">
        <f>+E105-F105</f>
        <v>0</v>
      </c>
    </row>
    <row r="106" spans="1:8" x14ac:dyDescent="0.25">
      <c r="A106" s="264"/>
      <c r="B106" s="263" t="s">
        <v>265</v>
      </c>
      <c r="C106" s="265"/>
      <c r="D106" s="265"/>
      <c r="E106" s="262">
        <f>C106+D106</f>
        <v>0</v>
      </c>
      <c r="F106" s="265"/>
      <c r="G106" s="265"/>
      <c r="H106" s="261">
        <f>+E106-F106</f>
        <v>0</v>
      </c>
    </row>
    <row r="107" spans="1:8" ht="15.75" thickBot="1" x14ac:dyDescent="0.3">
      <c r="A107" s="257"/>
      <c r="B107" s="256" t="s">
        <v>264</v>
      </c>
      <c r="C107" s="269"/>
      <c r="D107" s="269"/>
      <c r="E107" s="270">
        <f>C107+D107</f>
        <v>0</v>
      </c>
      <c r="F107" s="269"/>
      <c r="G107" s="269"/>
      <c r="H107" s="268">
        <f>+E107-F107</f>
        <v>0</v>
      </c>
    </row>
    <row r="108" spans="1:8" x14ac:dyDescent="0.25">
      <c r="A108" s="264"/>
      <c r="B108" s="263" t="s">
        <v>263</v>
      </c>
      <c r="C108" s="265"/>
      <c r="D108" s="265"/>
      <c r="E108" s="262">
        <f>C108+D108</f>
        <v>0</v>
      </c>
      <c r="F108" s="265"/>
      <c r="G108" s="265"/>
      <c r="H108" s="261">
        <f>+E108-F108</f>
        <v>0</v>
      </c>
    </row>
    <row r="109" spans="1:8" x14ac:dyDescent="0.25">
      <c r="A109" s="264"/>
      <c r="B109" s="263" t="s">
        <v>262</v>
      </c>
      <c r="C109" s="265"/>
      <c r="D109" s="265"/>
      <c r="E109" s="262">
        <f>C109+D109</f>
        <v>0</v>
      </c>
      <c r="F109" s="265"/>
      <c r="G109" s="265"/>
      <c r="H109" s="261">
        <f>+E109-F109</f>
        <v>0</v>
      </c>
    </row>
    <row r="110" spans="1:8" x14ac:dyDescent="0.25">
      <c r="A110" s="264"/>
      <c r="B110" s="263" t="s">
        <v>261</v>
      </c>
      <c r="C110" s="265"/>
      <c r="D110" s="265"/>
      <c r="E110" s="262">
        <f>C110+D110</f>
        <v>0</v>
      </c>
      <c r="F110" s="265"/>
      <c r="G110" s="265"/>
      <c r="H110" s="261">
        <f>+E110-F110</f>
        <v>0</v>
      </c>
    </row>
    <row r="111" spans="1:8" x14ac:dyDescent="0.25">
      <c r="A111" s="264"/>
      <c r="B111" s="263" t="s">
        <v>260</v>
      </c>
      <c r="C111" s="265"/>
      <c r="D111" s="265"/>
      <c r="E111" s="262">
        <f>C111+D111</f>
        <v>0</v>
      </c>
      <c r="F111" s="265"/>
      <c r="G111" s="265"/>
      <c r="H111" s="261">
        <f>+E111-F111</f>
        <v>0</v>
      </c>
    </row>
    <row r="112" spans="1:8" x14ac:dyDescent="0.25">
      <c r="A112" s="267" t="s">
        <v>259</v>
      </c>
      <c r="B112" s="266"/>
      <c r="C112" s="262">
        <f>SUM(C113:C121)</f>
        <v>0</v>
      </c>
      <c r="D112" s="262">
        <f>SUM(D113:D121)</f>
        <v>0</v>
      </c>
      <c r="E112" s="262">
        <f>SUM(E113:E121)</f>
        <v>0</v>
      </c>
      <c r="F112" s="262">
        <f>SUM(F113:F121)</f>
        <v>0</v>
      </c>
      <c r="G112" s="262">
        <f>SUM(G113:G121)</f>
        <v>0</v>
      </c>
      <c r="H112" s="262">
        <f>SUM(H113:H121)</f>
        <v>0</v>
      </c>
    </row>
    <row r="113" spans="1:8" x14ac:dyDescent="0.25">
      <c r="A113" s="264"/>
      <c r="B113" s="263" t="s">
        <v>258</v>
      </c>
      <c r="C113" s="265"/>
      <c r="D113" s="265"/>
      <c r="E113" s="262">
        <f>C113+D113</f>
        <v>0</v>
      </c>
      <c r="F113" s="265"/>
      <c r="G113" s="265"/>
      <c r="H113" s="261">
        <f>+E113-F113</f>
        <v>0</v>
      </c>
    </row>
    <row r="114" spans="1:8" x14ac:dyDescent="0.25">
      <c r="A114" s="264"/>
      <c r="B114" s="263" t="s">
        <v>257</v>
      </c>
      <c r="C114" s="265"/>
      <c r="D114" s="265"/>
      <c r="E114" s="262">
        <f>C114+D114</f>
        <v>0</v>
      </c>
      <c r="F114" s="265"/>
      <c r="G114" s="265"/>
      <c r="H114" s="261">
        <f>+E114-F114</f>
        <v>0</v>
      </c>
    </row>
    <row r="115" spans="1:8" x14ac:dyDescent="0.25">
      <c r="A115" s="264"/>
      <c r="B115" s="263" t="s">
        <v>256</v>
      </c>
      <c r="C115" s="265"/>
      <c r="D115" s="265"/>
      <c r="E115" s="262">
        <f>C115+D115</f>
        <v>0</v>
      </c>
      <c r="F115" s="265"/>
      <c r="G115" s="265"/>
      <c r="H115" s="261">
        <f>+E115-F115</f>
        <v>0</v>
      </c>
    </row>
    <row r="116" spans="1:8" x14ac:dyDescent="0.25">
      <c r="A116" s="264"/>
      <c r="B116" s="263" t="s">
        <v>255</v>
      </c>
      <c r="C116" s="265"/>
      <c r="D116" s="265"/>
      <c r="E116" s="262">
        <f>C116+D116</f>
        <v>0</v>
      </c>
      <c r="F116" s="265"/>
      <c r="G116" s="265"/>
      <c r="H116" s="261">
        <f>+E116-F116</f>
        <v>0</v>
      </c>
    </row>
    <row r="117" spans="1:8" x14ac:dyDescent="0.25">
      <c r="A117" s="264"/>
      <c r="B117" s="263" t="s">
        <v>254</v>
      </c>
      <c r="C117" s="265"/>
      <c r="D117" s="265"/>
      <c r="E117" s="262">
        <f>C117+D117</f>
        <v>0</v>
      </c>
      <c r="F117" s="265"/>
      <c r="G117" s="265"/>
      <c r="H117" s="261">
        <f>+E117-F117</f>
        <v>0</v>
      </c>
    </row>
    <row r="118" spans="1:8" x14ac:dyDescent="0.25">
      <c r="A118" s="264"/>
      <c r="B118" s="263" t="s">
        <v>253</v>
      </c>
      <c r="C118" s="265"/>
      <c r="D118" s="265"/>
      <c r="E118" s="262">
        <f>C118+D118</f>
        <v>0</v>
      </c>
      <c r="F118" s="265"/>
      <c r="G118" s="265"/>
      <c r="H118" s="261">
        <f>+E118-F118</f>
        <v>0</v>
      </c>
    </row>
    <row r="119" spans="1:8" x14ac:dyDescent="0.25">
      <c r="A119" s="264"/>
      <c r="B119" s="263" t="s">
        <v>252</v>
      </c>
      <c r="C119" s="265"/>
      <c r="D119" s="265"/>
      <c r="E119" s="262">
        <f>C119+D119</f>
        <v>0</v>
      </c>
      <c r="F119" s="265"/>
      <c r="G119" s="265"/>
      <c r="H119" s="261">
        <f>+E119-F119</f>
        <v>0</v>
      </c>
    </row>
    <row r="120" spans="1:8" x14ac:dyDescent="0.25">
      <c r="A120" s="264"/>
      <c r="B120" s="263" t="s">
        <v>251</v>
      </c>
      <c r="C120" s="265"/>
      <c r="D120" s="265"/>
      <c r="E120" s="262">
        <f>C120+D120</f>
        <v>0</v>
      </c>
      <c r="F120" s="265"/>
      <c r="G120" s="265"/>
      <c r="H120" s="261">
        <f>+E120-F120</f>
        <v>0</v>
      </c>
    </row>
    <row r="121" spans="1:8" x14ac:dyDescent="0.25">
      <c r="A121" s="264"/>
      <c r="B121" s="263" t="s">
        <v>250</v>
      </c>
      <c r="C121" s="265"/>
      <c r="D121" s="265"/>
      <c r="E121" s="262">
        <f>C121+D121</f>
        <v>0</v>
      </c>
      <c r="F121" s="265"/>
      <c r="G121" s="265"/>
      <c r="H121" s="261">
        <f>+E121-F121</f>
        <v>0</v>
      </c>
    </row>
    <row r="122" spans="1:8" x14ac:dyDescent="0.25">
      <c r="A122" s="267" t="s">
        <v>249</v>
      </c>
      <c r="B122" s="266"/>
      <c r="C122" s="262">
        <f>SUM(C123:C131)</f>
        <v>0</v>
      </c>
      <c r="D122" s="262">
        <f>SUM(D123:D131)</f>
        <v>0</v>
      </c>
      <c r="E122" s="262">
        <f>SUM(E123:E131)</f>
        <v>0</v>
      </c>
      <c r="F122" s="262">
        <f>SUM(F123:F131)</f>
        <v>0</v>
      </c>
      <c r="G122" s="262">
        <f>SUM(G123:G131)</f>
        <v>0</v>
      </c>
      <c r="H122" s="262">
        <f>SUM(H123:H131)</f>
        <v>0</v>
      </c>
    </row>
    <row r="123" spans="1:8" x14ac:dyDescent="0.25">
      <c r="A123" s="264"/>
      <c r="B123" s="263" t="s">
        <v>248</v>
      </c>
      <c r="C123" s="265">
        <v>0</v>
      </c>
      <c r="D123" s="265"/>
      <c r="E123" s="262">
        <f>C123+D123</f>
        <v>0</v>
      </c>
      <c r="F123" s="265"/>
      <c r="G123" s="265"/>
      <c r="H123" s="261">
        <f>+E123-F123</f>
        <v>0</v>
      </c>
    </row>
    <row r="124" spans="1:8" x14ac:dyDescent="0.25">
      <c r="A124" s="264"/>
      <c r="B124" s="263" t="s">
        <v>247</v>
      </c>
      <c r="C124" s="265"/>
      <c r="D124" s="265"/>
      <c r="E124" s="262">
        <f>C124+D124</f>
        <v>0</v>
      </c>
      <c r="F124" s="265"/>
      <c r="G124" s="265"/>
      <c r="H124" s="261">
        <f>+E124-F124</f>
        <v>0</v>
      </c>
    </row>
    <row r="125" spans="1:8" x14ac:dyDescent="0.25">
      <c r="A125" s="264"/>
      <c r="B125" s="263" t="s">
        <v>246</v>
      </c>
      <c r="C125" s="265"/>
      <c r="D125" s="265"/>
      <c r="E125" s="262">
        <f>C125+D125</f>
        <v>0</v>
      </c>
      <c r="F125" s="265"/>
      <c r="G125" s="265"/>
      <c r="H125" s="261">
        <f>+E125-F125</f>
        <v>0</v>
      </c>
    </row>
    <row r="126" spans="1:8" x14ac:dyDescent="0.25">
      <c r="A126" s="264"/>
      <c r="B126" s="263" t="s">
        <v>245</v>
      </c>
      <c r="C126" s="265"/>
      <c r="D126" s="265"/>
      <c r="E126" s="262">
        <f>C126+D126</f>
        <v>0</v>
      </c>
      <c r="F126" s="265"/>
      <c r="G126" s="265"/>
      <c r="H126" s="261">
        <f>+E126-F126</f>
        <v>0</v>
      </c>
    </row>
    <row r="127" spans="1:8" x14ac:dyDescent="0.25">
      <c r="A127" s="264"/>
      <c r="B127" s="263" t="s">
        <v>244</v>
      </c>
      <c r="C127" s="265"/>
      <c r="D127" s="265"/>
      <c r="E127" s="262">
        <f>C127+D127</f>
        <v>0</v>
      </c>
      <c r="F127" s="265"/>
      <c r="G127" s="265"/>
      <c r="H127" s="261">
        <f>+E127-F127</f>
        <v>0</v>
      </c>
    </row>
    <row r="128" spans="1:8" x14ac:dyDescent="0.25">
      <c r="A128" s="264"/>
      <c r="B128" s="263" t="s">
        <v>243</v>
      </c>
      <c r="C128" s="265"/>
      <c r="D128" s="265"/>
      <c r="E128" s="262">
        <f>C128+D128</f>
        <v>0</v>
      </c>
      <c r="F128" s="265"/>
      <c r="G128" s="265"/>
      <c r="H128" s="261">
        <f>+E128-F128</f>
        <v>0</v>
      </c>
    </row>
    <row r="129" spans="1:8" x14ac:dyDescent="0.25">
      <c r="A129" s="264"/>
      <c r="B129" s="263" t="s">
        <v>242</v>
      </c>
      <c r="C129" s="265"/>
      <c r="D129" s="265"/>
      <c r="E129" s="262">
        <f>C129+D129</f>
        <v>0</v>
      </c>
      <c r="F129" s="265"/>
      <c r="G129" s="265"/>
      <c r="H129" s="261">
        <f>+E129-F129</f>
        <v>0</v>
      </c>
    </row>
    <row r="130" spans="1:8" x14ac:dyDescent="0.25">
      <c r="A130" s="264"/>
      <c r="B130" s="263" t="s">
        <v>241</v>
      </c>
      <c r="C130" s="265"/>
      <c r="D130" s="265"/>
      <c r="E130" s="262">
        <f>C130+D130</f>
        <v>0</v>
      </c>
      <c r="F130" s="265"/>
      <c r="G130" s="265"/>
      <c r="H130" s="261">
        <f>+E130-F130</f>
        <v>0</v>
      </c>
    </row>
    <row r="131" spans="1:8" x14ac:dyDescent="0.25">
      <c r="A131" s="264"/>
      <c r="B131" s="263" t="s">
        <v>240</v>
      </c>
      <c r="C131" s="265"/>
      <c r="D131" s="265"/>
      <c r="E131" s="262">
        <f>C131+D131</f>
        <v>0</v>
      </c>
      <c r="F131" s="265"/>
      <c r="G131" s="265"/>
      <c r="H131" s="261">
        <f>+E131-F131</f>
        <v>0</v>
      </c>
    </row>
    <row r="132" spans="1:8" x14ac:dyDescent="0.25">
      <c r="A132" s="267" t="s">
        <v>239</v>
      </c>
      <c r="B132" s="266"/>
      <c r="C132" s="262">
        <f>SUM(C133:C135)</f>
        <v>88275234</v>
      </c>
      <c r="D132" s="262">
        <f>SUM(D133:D135)</f>
        <v>59471285.989999987</v>
      </c>
      <c r="E132" s="262">
        <f>SUM(E133:E135)</f>
        <v>147746519.98999998</v>
      </c>
      <c r="F132" s="262">
        <f>SUM(F133:F135)</f>
        <v>30244399.449999996</v>
      </c>
      <c r="G132" s="262">
        <f>SUM(G133:G135)</f>
        <v>29702678.48</v>
      </c>
      <c r="H132" s="262">
        <f>SUM(H133:H135)</f>
        <v>117502120.53999999</v>
      </c>
    </row>
    <row r="133" spans="1:8" x14ac:dyDescent="0.25">
      <c r="A133" s="264"/>
      <c r="B133" s="263" t="s">
        <v>238</v>
      </c>
      <c r="C133" s="265">
        <v>88275234</v>
      </c>
      <c r="D133" s="265">
        <v>59471285.989999987</v>
      </c>
      <c r="E133" s="262">
        <f>C133+D133</f>
        <v>147746519.98999998</v>
      </c>
      <c r="F133" s="265">
        <v>30244399.449999996</v>
      </c>
      <c r="G133" s="265">
        <v>29702678.48</v>
      </c>
      <c r="H133" s="261">
        <f>+E133-F133</f>
        <v>117502120.53999999</v>
      </c>
    </row>
    <row r="134" spans="1:8" x14ac:dyDescent="0.25">
      <c r="A134" s="264"/>
      <c r="B134" s="263" t="s">
        <v>237</v>
      </c>
      <c r="C134" s="265"/>
      <c r="D134" s="265"/>
      <c r="E134" s="262">
        <f>C134+D134</f>
        <v>0</v>
      </c>
      <c r="F134" s="265"/>
      <c r="G134" s="265"/>
      <c r="H134" s="261">
        <f>+E134-F134</f>
        <v>0</v>
      </c>
    </row>
    <row r="135" spans="1:8" x14ac:dyDescent="0.25">
      <c r="A135" s="264"/>
      <c r="B135" s="263" t="s">
        <v>236</v>
      </c>
      <c r="C135" s="265"/>
      <c r="D135" s="265"/>
      <c r="E135" s="262">
        <f>C135+D135</f>
        <v>0</v>
      </c>
      <c r="F135" s="265"/>
      <c r="G135" s="265"/>
      <c r="H135" s="261">
        <f>+E135-F135</f>
        <v>0</v>
      </c>
    </row>
    <row r="136" spans="1:8" x14ac:dyDescent="0.25">
      <c r="A136" s="267" t="s">
        <v>235</v>
      </c>
      <c r="B136" s="266"/>
      <c r="C136" s="262">
        <f>SUM(C137:C144)</f>
        <v>0</v>
      </c>
      <c r="D136" s="262">
        <f>SUM(D137:D144)</f>
        <v>0</v>
      </c>
      <c r="E136" s="262">
        <f>SUM(E137:E144)</f>
        <v>0</v>
      </c>
      <c r="F136" s="262">
        <f>SUM(F137:F144)</f>
        <v>0</v>
      </c>
      <c r="G136" s="262">
        <f>SUM(G137:G144)</f>
        <v>0</v>
      </c>
      <c r="H136" s="262">
        <f>SUM(H137:H144)</f>
        <v>0</v>
      </c>
    </row>
    <row r="137" spans="1:8" x14ac:dyDescent="0.25">
      <c r="A137" s="264"/>
      <c r="B137" s="263" t="s">
        <v>234</v>
      </c>
      <c r="C137" s="265"/>
      <c r="D137" s="265"/>
      <c r="E137" s="262">
        <f>C137+D137</f>
        <v>0</v>
      </c>
      <c r="F137" s="265"/>
      <c r="G137" s="265"/>
      <c r="H137" s="261">
        <f>+E137-F137</f>
        <v>0</v>
      </c>
    </row>
    <row r="138" spans="1:8" x14ac:dyDescent="0.25">
      <c r="A138" s="264"/>
      <c r="B138" s="263" t="s">
        <v>233</v>
      </c>
      <c r="C138" s="265"/>
      <c r="D138" s="265"/>
      <c r="E138" s="262">
        <f>C138+D138</f>
        <v>0</v>
      </c>
      <c r="F138" s="265"/>
      <c r="G138" s="265"/>
      <c r="H138" s="261">
        <f>+E138-F138</f>
        <v>0</v>
      </c>
    </row>
    <row r="139" spans="1:8" x14ac:dyDescent="0.25">
      <c r="A139" s="264"/>
      <c r="B139" s="263" t="s">
        <v>232</v>
      </c>
      <c r="C139" s="265"/>
      <c r="D139" s="265"/>
      <c r="E139" s="262">
        <f>C139+D139</f>
        <v>0</v>
      </c>
      <c r="F139" s="265"/>
      <c r="G139" s="265"/>
      <c r="H139" s="261">
        <f>+E139-F139</f>
        <v>0</v>
      </c>
    </row>
    <row r="140" spans="1:8" x14ac:dyDescent="0.25">
      <c r="A140" s="264"/>
      <c r="B140" s="263" t="s">
        <v>231</v>
      </c>
      <c r="C140" s="265"/>
      <c r="D140" s="265"/>
      <c r="E140" s="262">
        <f>C140+D140</f>
        <v>0</v>
      </c>
      <c r="F140" s="265"/>
      <c r="G140" s="265"/>
      <c r="H140" s="261">
        <f>+E140-F140</f>
        <v>0</v>
      </c>
    </row>
    <row r="141" spans="1:8" x14ac:dyDescent="0.25">
      <c r="A141" s="264"/>
      <c r="B141" s="263" t="s">
        <v>230</v>
      </c>
      <c r="C141" s="265"/>
      <c r="D141" s="265"/>
      <c r="E141" s="262">
        <f>C141+D141</f>
        <v>0</v>
      </c>
      <c r="F141" s="265"/>
      <c r="G141" s="265"/>
      <c r="H141" s="261">
        <f>+E141-F141</f>
        <v>0</v>
      </c>
    </row>
    <row r="142" spans="1:8" ht="15.75" thickBot="1" x14ac:dyDescent="0.3">
      <c r="A142" s="257"/>
      <c r="B142" s="256" t="s">
        <v>229</v>
      </c>
      <c r="C142" s="269"/>
      <c r="D142" s="269"/>
      <c r="E142" s="270">
        <f>C142+D142</f>
        <v>0</v>
      </c>
      <c r="F142" s="269"/>
      <c r="G142" s="269"/>
      <c r="H142" s="268">
        <f>+E142-F142</f>
        <v>0</v>
      </c>
    </row>
    <row r="143" spans="1:8" x14ac:dyDescent="0.25">
      <c r="A143" s="264"/>
      <c r="B143" s="263" t="s">
        <v>228</v>
      </c>
      <c r="C143" s="265"/>
      <c r="D143" s="265"/>
      <c r="E143" s="262">
        <f>C143+D143</f>
        <v>0</v>
      </c>
      <c r="F143" s="265"/>
      <c r="G143" s="265"/>
      <c r="H143" s="261">
        <f>+E143-F143</f>
        <v>0</v>
      </c>
    </row>
    <row r="144" spans="1:8" x14ac:dyDescent="0.25">
      <c r="A144" s="264"/>
      <c r="B144" s="263" t="s">
        <v>227</v>
      </c>
      <c r="C144" s="265"/>
      <c r="D144" s="265"/>
      <c r="E144" s="262">
        <f>C144+D144</f>
        <v>0</v>
      </c>
      <c r="F144" s="265"/>
      <c r="G144" s="265"/>
      <c r="H144" s="261">
        <f>+E144-F144</f>
        <v>0</v>
      </c>
    </row>
    <row r="145" spans="1:9" x14ac:dyDescent="0.25">
      <c r="A145" s="267" t="s">
        <v>226</v>
      </c>
      <c r="B145" s="266"/>
      <c r="C145" s="262">
        <f>SUM(C146:C148)</f>
        <v>0</v>
      </c>
      <c r="D145" s="262">
        <f>SUM(D146:D148)</f>
        <v>0</v>
      </c>
      <c r="E145" s="262">
        <f>SUM(E146:E148)</f>
        <v>0</v>
      </c>
      <c r="F145" s="262">
        <f>SUM(F146:F148)</f>
        <v>0</v>
      </c>
      <c r="G145" s="262">
        <f>SUM(G146:G148)</f>
        <v>0</v>
      </c>
      <c r="H145" s="262">
        <f>SUM(H146:H148)</f>
        <v>0</v>
      </c>
    </row>
    <row r="146" spans="1:9" x14ac:dyDescent="0.25">
      <c r="A146" s="264"/>
      <c r="B146" s="263" t="s">
        <v>225</v>
      </c>
      <c r="C146" s="265"/>
      <c r="D146" s="265"/>
      <c r="E146" s="262">
        <f>C146+D146</f>
        <v>0</v>
      </c>
      <c r="F146" s="265"/>
      <c r="G146" s="265"/>
      <c r="H146" s="261">
        <f>+E146-F146</f>
        <v>0</v>
      </c>
    </row>
    <row r="147" spans="1:9" x14ac:dyDescent="0.25">
      <c r="A147" s="264"/>
      <c r="B147" s="263" t="s">
        <v>224</v>
      </c>
      <c r="C147" s="265"/>
      <c r="D147" s="265"/>
      <c r="E147" s="262">
        <f>C147+D147</f>
        <v>0</v>
      </c>
      <c r="F147" s="265"/>
      <c r="G147" s="265"/>
      <c r="H147" s="261">
        <f>+E147-F147</f>
        <v>0</v>
      </c>
    </row>
    <row r="148" spans="1:9" x14ac:dyDescent="0.25">
      <c r="A148" s="264"/>
      <c r="B148" s="263" t="s">
        <v>223</v>
      </c>
      <c r="C148" s="265"/>
      <c r="D148" s="265"/>
      <c r="E148" s="262">
        <f>C148+D148</f>
        <v>0</v>
      </c>
      <c r="F148" s="265"/>
      <c r="G148" s="265"/>
      <c r="H148" s="261">
        <f>+E148-F148</f>
        <v>0</v>
      </c>
    </row>
    <row r="149" spans="1:9" x14ac:dyDescent="0.25">
      <c r="A149" s="267" t="s">
        <v>222</v>
      </c>
      <c r="B149" s="266"/>
      <c r="C149" s="262">
        <f>SUM(C150:C156)</f>
        <v>0</v>
      </c>
      <c r="D149" s="262">
        <f>SUM(D150:D156)</f>
        <v>0</v>
      </c>
      <c r="E149" s="262">
        <f>SUM(E150:E156)</f>
        <v>0</v>
      </c>
      <c r="F149" s="262">
        <f>SUM(F150:F156)</f>
        <v>0</v>
      </c>
      <c r="G149" s="262">
        <f>SUM(G150:G156)</f>
        <v>0</v>
      </c>
      <c r="H149" s="262">
        <f>SUM(H150:H156)</f>
        <v>0</v>
      </c>
    </row>
    <row r="150" spans="1:9" x14ac:dyDescent="0.25">
      <c r="A150" s="264"/>
      <c r="B150" s="263" t="s">
        <v>221</v>
      </c>
      <c r="C150" s="265"/>
      <c r="D150" s="265"/>
      <c r="E150" s="262">
        <f>C150+D150</f>
        <v>0</v>
      </c>
      <c r="F150" s="265"/>
      <c r="G150" s="265"/>
      <c r="H150" s="261">
        <f>+E150-F150</f>
        <v>0</v>
      </c>
    </row>
    <row r="151" spans="1:9" x14ac:dyDescent="0.25">
      <c r="A151" s="264"/>
      <c r="B151" s="263" t="s">
        <v>220</v>
      </c>
      <c r="C151" s="265"/>
      <c r="D151" s="265"/>
      <c r="E151" s="262">
        <f>C151+D151</f>
        <v>0</v>
      </c>
      <c r="F151" s="265"/>
      <c r="G151" s="265"/>
      <c r="H151" s="261">
        <f>+E151-F151</f>
        <v>0</v>
      </c>
    </row>
    <row r="152" spans="1:9" x14ac:dyDescent="0.25">
      <c r="A152" s="264"/>
      <c r="B152" s="263" t="s">
        <v>219</v>
      </c>
      <c r="C152" s="265"/>
      <c r="D152" s="265"/>
      <c r="E152" s="262">
        <f>C152+D152</f>
        <v>0</v>
      </c>
      <c r="F152" s="265"/>
      <c r="G152" s="265"/>
      <c r="H152" s="261">
        <f>+E152-F152</f>
        <v>0</v>
      </c>
    </row>
    <row r="153" spans="1:9" x14ac:dyDescent="0.25">
      <c r="A153" s="264"/>
      <c r="B153" s="263" t="s">
        <v>218</v>
      </c>
      <c r="C153" s="265"/>
      <c r="D153" s="265"/>
      <c r="E153" s="262">
        <f>C153+D153</f>
        <v>0</v>
      </c>
      <c r="F153" s="265"/>
      <c r="G153" s="265"/>
      <c r="H153" s="261">
        <f>+E153-F153</f>
        <v>0</v>
      </c>
    </row>
    <row r="154" spans="1:9" x14ac:dyDescent="0.25">
      <c r="A154" s="264"/>
      <c r="B154" s="263" t="s">
        <v>217</v>
      </c>
      <c r="C154" s="265"/>
      <c r="D154" s="265"/>
      <c r="E154" s="262">
        <f>C154+D154</f>
        <v>0</v>
      </c>
      <c r="F154" s="265"/>
      <c r="G154" s="265"/>
      <c r="H154" s="261">
        <f>+E154-F154</f>
        <v>0</v>
      </c>
      <c r="I154" s="106" t="str">
        <f>IF((C158-'ETCA II-04'!B80)&gt;0.9,"ERROR!!!!! EL MONTO NO COINCIDE CON LO REPORTADO EN EL FORMATO ETCA-II-04 EN EL TOTAL DEL GASTO","")</f>
        <v/>
      </c>
    </row>
    <row r="155" spans="1:9" x14ac:dyDescent="0.25">
      <c r="A155" s="264"/>
      <c r="B155" s="263" t="s">
        <v>216</v>
      </c>
      <c r="C155" s="265"/>
      <c r="D155" s="265"/>
      <c r="E155" s="262">
        <f>C155+D155</f>
        <v>0</v>
      </c>
      <c r="F155" s="265"/>
      <c r="G155" s="265"/>
      <c r="H155" s="261">
        <f>+E155-F155</f>
        <v>0</v>
      </c>
      <c r="I155" s="106" t="str">
        <f>IF((D158-'ETCA II-04'!C80)&gt;0.9,"ERROR!!!!! EL MONTO NO COINCIDE CON LO REPORTADO EN EL FORMATO ETCA-II-04 EN EL TOTAL DEL GASTO","")</f>
        <v/>
      </c>
    </row>
    <row r="156" spans="1:9" x14ac:dyDescent="0.25">
      <c r="A156" s="264"/>
      <c r="B156" s="263" t="s">
        <v>215</v>
      </c>
      <c r="C156" s="265"/>
      <c r="D156" s="265"/>
      <c r="E156" s="262">
        <f>C156+D156</f>
        <v>0</v>
      </c>
      <c r="F156" s="265"/>
      <c r="G156" s="265"/>
      <c r="H156" s="261">
        <f>+E156-F156</f>
        <v>0</v>
      </c>
      <c r="I156" s="106" t="str">
        <f>IF((E158-'ETCA II-04'!D80)&gt;0.9,"ERROR!!!!! EL MONTO NO COINCIDE CON LO REPORTADO EN EL FORMATO ETCA-II-04 EN EL TOTAL DEL GASTO","")</f>
        <v/>
      </c>
    </row>
    <row r="157" spans="1:9" x14ac:dyDescent="0.25">
      <c r="A157" s="264"/>
      <c r="B157" s="263"/>
      <c r="C157" s="262"/>
      <c r="D157" s="262"/>
      <c r="E157" s="262">
        <f>C157+D157</f>
        <v>0</v>
      </c>
      <c r="F157" s="262"/>
      <c r="G157" s="262"/>
      <c r="H157" s="261"/>
      <c r="I157" s="106" t="str">
        <f>IF((H158-'ETCA II-04'!G80)&gt;0.9,"ERROR!!!!! EL MONTO NO COINCIDE CON LO REPORTADO EN EL FORMATO ETCA-II-04 EN EL TOTAL DEL GASTO","")</f>
        <v/>
      </c>
    </row>
    <row r="158" spans="1:9" x14ac:dyDescent="0.25">
      <c r="A158" s="260" t="s">
        <v>214</v>
      </c>
      <c r="B158" s="259"/>
      <c r="C158" s="258">
        <f>+C9+C83</f>
        <v>623389417.66593051</v>
      </c>
      <c r="D158" s="258">
        <f>+D9+D83</f>
        <v>182226125.19999999</v>
      </c>
      <c r="E158" s="258">
        <f>+E9+E83</f>
        <v>805615542.86593032</v>
      </c>
      <c r="F158" s="258">
        <f>+F9+F83</f>
        <v>458746265.13999999</v>
      </c>
      <c r="G158" s="258">
        <f>+G9+G83</f>
        <v>414066339.92000002</v>
      </c>
      <c r="H158" s="258">
        <f>+H9+H83</f>
        <v>346869277.72593033</v>
      </c>
      <c r="I158" s="106" t="str">
        <f>IF((F158-'ETCA II-04'!E80)&gt;0.9,"ERROR!!!!! EL MONTO NO COINCIDE CON LO REPORTADO EN EL FORMATO ETCA-II-04 EN EL TOTAL DEL GASTO","")</f>
        <v/>
      </c>
    </row>
    <row r="159" spans="1:9" ht="15.75" thickBot="1" x14ac:dyDescent="0.3">
      <c r="A159" s="257"/>
      <c r="B159" s="256"/>
      <c r="C159" s="255"/>
      <c r="D159" s="255"/>
      <c r="E159" s="255"/>
      <c r="F159" s="255"/>
      <c r="G159" s="255"/>
      <c r="H159" s="254"/>
      <c r="I159" s="106" t="str">
        <f>IF((G158-'ETCA II-04'!F80)&gt;0.9,"ERROR!!!!! EL MONTO NO COINCIDE CON LO REPORTADO EN EL FORMATO ETCA-II-04 EN EL TOTAL DEL GASTO","")</f>
        <v/>
      </c>
    </row>
  </sheetData>
  <sheetProtection password="C115" sheet="1" scenarios="1" formatColumns="0" formatRows="0"/>
  <mergeCells count="29">
    <mergeCell ref="A38:B38"/>
    <mergeCell ref="A48:B48"/>
    <mergeCell ref="A58:B58"/>
    <mergeCell ref="A62:B62"/>
    <mergeCell ref="A5:H5"/>
    <mergeCell ref="A1:H1"/>
    <mergeCell ref="A2:H2"/>
    <mergeCell ref="A3:H3"/>
    <mergeCell ref="A4:H4"/>
    <mergeCell ref="A145:B145"/>
    <mergeCell ref="A149:B149"/>
    <mergeCell ref="A71:B71"/>
    <mergeCell ref="A6:B7"/>
    <mergeCell ref="C6:G6"/>
    <mergeCell ref="H6:H7"/>
    <mergeCell ref="A9:B9"/>
    <mergeCell ref="A10:B10"/>
    <mergeCell ref="A18:B18"/>
    <mergeCell ref="A28:B28"/>
    <mergeCell ref="A158:B158"/>
    <mergeCell ref="A75:B75"/>
    <mergeCell ref="A83:B83"/>
    <mergeCell ref="A84:B84"/>
    <mergeCell ref="A92:B92"/>
    <mergeCell ref="A102:B102"/>
    <mergeCell ref="A112:B112"/>
    <mergeCell ref="A122:B122"/>
    <mergeCell ref="A132:B132"/>
    <mergeCell ref="A136:B136"/>
  </mergeCells>
  <pageMargins left="0.70866141732283472" right="0.70866141732283472" top="0.74803149606299213" bottom="0.74803149606299213" header="0.31496062992125984" footer="0.31496062992125984"/>
  <pageSetup scale="72" orientation="portrait" horizontalDpi="1200" verticalDpi="1200" r:id="rId1"/>
  <colBreaks count="1" manualBreakCount="1">
    <brk id="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0374F-1849-4E8B-97F4-05590634E280}">
  <sheetPr>
    <tabColor theme="0" tint="-0.14999847407452621"/>
  </sheetPr>
  <dimension ref="A1:H39"/>
  <sheetViews>
    <sheetView view="pageBreakPreview" topLeftCell="A13" zoomScaleNormal="100" zoomScaleSheetLayoutView="100" workbookViewId="0">
      <selection activeCell="D30" sqref="D30"/>
    </sheetView>
  </sheetViews>
  <sheetFormatPr baseColWidth="10" defaultColWidth="11.28515625" defaultRowHeight="16.5" x14ac:dyDescent="0.25"/>
  <cols>
    <col min="1" max="1" width="36.7109375" style="1" customWidth="1"/>
    <col min="2" max="2" width="13.7109375" style="1" customWidth="1"/>
    <col min="3" max="3" width="12" style="1" customWidth="1"/>
    <col min="4" max="4" width="13" style="1" customWidth="1"/>
    <col min="5" max="5" width="13.7109375" style="1" customWidth="1"/>
    <col min="6" max="6" width="15.7109375" style="1" customWidth="1"/>
    <col min="7" max="7" width="12.140625" style="1" customWidth="1"/>
    <col min="8" max="16384" width="11.28515625" style="1"/>
  </cols>
  <sheetData>
    <row r="1" spans="1:8" x14ac:dyDescent="0.25">
      <c r="A1" s="105" t="str">
        <f>'[1]ETCA-I-01'!A1:G1</f>
        <v xml:space="preserve">Comision Estatal del Agua </v>
      </c>
      <c r="B1" s="105"/>
      <c r="C1" s="105"/>
      <c r="D1" s="105"/>
      <c r="E1" s="105"/>
      <c r="F1" s="105"/>
      <c r="G1" s="105"/>
    </row>
    <row r="2" spans="1:8" s="103" customFormat="1" ht="15.75" x14ac:dyDescent="0.25">
      <c r="A2" s="105" t="s">
        <v>213</v>
      </c>
      <c r="B2" s="105"/>
      <c r="C2" s="105"/>
      <c r="D2" s="105"/>
      <c r="E2" s="105"/>
      <c r="F2" s="105"/>
      <c r="G2" s="105"/>
    </row>
    <row r="3" spans="1:8" s="103" customFormat="1" ht="15.75" x14ac:dyDescent="0.25">
      <c r="A3" s="105" t="s">
        <v>316</v>
      </c>
      <c r="B3" s="105"/>
      <c r="C3" s="105"/>
      <c r="D3" s="105"/>
      <c r="E3" s="105"/>
      <c r="F3" s="105"/>
      <c r="G3" s="105"/>
    </row>
    <row r="4" spans="1:8" s="103" customFormat="1" x14ac:dyDescent="0.25">
      <c r="A4" s="104" t="str">
        <f>'[1]ETCA-I-03'!A3:D3</f>
        <v>Del 01 de enero  al 30 de Septiembre de 2020</v>
      </c>
      <c r="B4" s="104"/>
      <c r="C4" s="104"/>
      <c r="D4" s="104"/>
      <c r="E4" s="104"/>
      <c r="F4" s="104"/>
      <c r="G4" s="104"/>
    </row>
    <row r="5" spans="1:8" s="26" customFormat="1" ht="17.25" thickBot="1" x14ac:dyDescent="0.3">
      <c r="A5" s="253" t="s">
        <v>315</v>
      </c>
      <c r="B5" s="253"/>
      <c r="C5" s="253"/>
      <c r="D5" s="253"/>
      <c r="E5" s="253"/>
      <c r="F5" s="102"/>
      <c r="G5" s="319"/>
    </row>
    <row r="6" spans="1:8" s="317" customFormat="1" ht="38.25" x14ac:dyDescent="0.25">
      <c r="A6" s="98" t="s">
        <v>111</v>
      </c>
      <c r="B6" s="251" t="s">
        <v>209</v>
      </c>
      <c r="C6" s="251" t="s">
        <v>109</v>
      </c>
      <c r="D6" s="251" t="s">
        <v>208</v>
      </c>
      <c r="E6" s="249" t="s">
        <v>207</v>
      </c>
      <c r="F6" s="249" t="s">
        <v>206</v>
      </c>
      <c r="G6" s="318" t="s">
        <v>205</v>
      </c>
    </row>
    <row r="7" spans="1:8" s="315" customFormat="1" ht="15.75" customHeight="1" thickBot="1" x14ac:dyDescent="0.3">
      <c r="A7" s="94"/>
      <c r="B7" s="246" t="s">
        <v>26</v>
      </c>
      <c r="C7" s="246" t="s">
        <v>25</v>
      </c>
      <c r="D7" s="246" t="s">
        <v>204</v>
      </c>
      <c r="E7" s="246" t="s">
        <v>23</v>
      </c>
      <c r="F7" s="246" t="s">
        <v>22</v>
      </c>
      <c r="G7" s="316" t="s">
        <v>203</v>
      </c>
    </row>
    <row r="8" spans="1:8" ht="21.75" customHeight="1" x14ac:dyDescent="0.25">
      <c r="A8" s="314" t="s">
        <v>314</v>
      </c>
      <c r="B8" s="312">
        <v>408201624.66593045</v>
      </c>
      <c r="C8" s="312">
        <v>16847901.509999998</v>
      </c>
      <c r="D8" s="313">
        <f>C8+B8</f>
        <v>425049526.17593044</v>
      </c>
      <c r="E8" s="312">
        <v>328361918.18000001</v>
      </c>
      <c r="F8" s="312">
        <v>292260165.68000001</v>
      </c>
      <c r="G8" s="311">
        <f>D8-E8</f>
        <v>96687607.995930433</v>
      </c>
    </row>
    <row r="9" spans="1:8" ht="22.5" customHeight="1" x14ac:dyDescent="0.25">
      <c r="A9" s="314" t="s">
        <v>313</v>
      </c>
      <c r="B9" s="312">
        <v>215187793</v>
      </c>
      <c r="C9" s="312">
        <v>82813769.87999998</v>
      </c>
      <c r="D9" s="313">
        <f>C9+B9</f>
        <v>298001562.88</v>
      </c>
      <c r="E9" s="312">
        <v>47829718.909999996</v>
      </c>
      <c r="F9" s="312">
        <v>41220500.289999999</v>
      </c>
      <c r="G9" s="311">
        <f>D9-E9</f>
        <v>250171843.97</v>
      </c>
    </row>
    <row r="10" spans="1:8" ht="22.5" customHeight="1" x14ac:dyDescent="0.25">
      <c r="A10" s="314" t="s">
        <v>312</v>
      </c>
      <c r="B10" s="312">
        <v>0</v>
      </c>
      <c r="C10" s="312">
        <v>82564453.810000002</v>
      </c>
      <c r="D10" s="313">
        <f>C10+B10</f>
        <v>82564453.810000002</v>
      </c>
      <c r="E10" s="312">
        <v>82554628.049999997</v>
      </c>
      <c r="F10" s="312">
        <v>80585673.950000003</v>
      </c>
      <c r="G10" s="311">
        <f>D10-E10</f>
        <v>9825.7600000053644</v>
      </c>
    </row>
    <row r="11" spans="1:8" ht="23.25" customHeight="1" x14ac:dyDescent="0.25">
      <c r="A11" s="314" t="s">
        <v>169</v>
      </c>
      <c r="B11" s="312"/>
      <c r="C11" s="312"/>
      <c r="D11" s="313">
        <f>C11+B11</f>
        <v>0</v>
      </c>
      <c r="E11" s="312"/>
      <c r="F11" s="312"/>
      <c r="G11" s="311">
        <f>D11-E11</f>
        <v>0</v>
      </c>
    </row>
    <row r="12" spans="1:8" ht="22.5" customHeight="1" x14ac:dyDescent="0.25">
      <c r="A12" s="314" t="s">
        <v>141</v>
      </c>
      <c r="B12" s="312"/>
      <c r="C12" s="312"/>
      <c r="D12" s="313">
        <f>C12+B12</f>
        <v>0</v>
      </c>
      <c r="E12" s="312"/>
      <c r="F12" s="312"/>
      <c r="G12" s="311">
        <f>D12-E12</f>
        <v>0</v>
      </c>
    </row>
    <row r="13" spans="1:8" ht="10.5" customHeight="1" thickBot="1" x14ac:dyDescent="0.3">
      <c r="A13" s="310"/>
      <c r="B13" s="308"/>
      <c r="C13" s="308"/>
      <c r="D13" s="309"/>
      <c r="E13" s="308"/>
      <c r="F13" s="308"/>
      <c r="G13" s="307"/>
    </row>
    <row r="14" spans="1:8" ht="16.5" customHeight="1" thickBot="1" x14ac:dyDescent="0.3">
      <c r="A14" s="306" t="s">
        <v>130</v>
      </c>
      <c r="B14" s="304">
        <f>SUM(B8:B13)</f>
        <v>623389417.66593051</v>
      </c>
      <c r="C14" s="304">
        <f>SUM(C8:C13)</f>
        <v>182226125.19999999</v>
      </c>
      <c r="D14" s="305">
        <f>C14+B14</f>
        <v>805615542.86593056</v>
      </c>
      <c r="E14" s="304">
        <f>SUM(E8:E13)</f>
        <v>458746265.14000005</v>
      </c>
      <c r="F14" s="304">
        <f>SUM(F8:F13)</f>
        <v>414066339.92000002</v>
      </c>
      <c r="G14" s="303">
        <f>D14-E14</f>
        <v>346869277.72593051</v>
      </c>
      <c r="H14" s="106" t="str">
        <f>IF((B14-'ETCA II-04'!B80)&gt;0.9,"ERROR!!!!! EL MONTO NO COINCIDE CON LO REPORTADO EN EL FORMATO ETCA-II-04 EN EL TOTAL APROBADO ANUAL DEL ANALÍTICO DE EGRESOS","")</f>
        <v/>
      </c>
    </row>
    <row r="15" spans="1:8" ht="16.5" customHeight="1" x14ac:dyDescent="0.25">
      <c r="A15" s="302"/>
      <c r="B15" s="300"/>
      <c r="C15" s="300"/>
      <c r="D15" s="301"/>
      <c r="E15" s="300"/>
      <c r="F15" s="300"/>
      <c r="G15" s="300"/>
      <c r="H15" s="106" t="str">
        <f>IF((C14-'ETCA II-04'!C80)&gt;0.9,"ERROR!!!!! EL MONTO NO COINCIDE CON LO REPORTADO EN EL FORMATO ETCA-II-04 EN EL TOTAL DE AMPLIACIONES/REDUCCIONES ANUAL DEL ANALÍTICO DE EGRESOS","")</f>
        <v/>
      </c>
    </row>
    <row r="16" spans="1:8" ht="16.5" customHeight="1" x14ac:dyDescent="0.25">
      <c r="A16" s="302"/>
      <c r="B16" s="300"/>
      <c r="C16" s="300"/>
      <c r="D16" s="301"/>
      <c r="E16" s="300"/>
      <c r="F16" s="300"/>
      <c r="G16" s="300"/>
      <c r="H16" s="106" t="str">
        <f>IF((D14-'ETCA II-04'!D80)&gt;0.9,"ERROR!!!!! EL MONTO NO COINCIDE CON LO REPORTADO EN EL FORMATO ETCA-II-04 EN EL TOTAL MODIFICADO ANUAL DEL ANALÍTICO DE EGRESOS","")</f>
        <v/>
      </c>
    </row>
    <row r="17" spans="1:8" ht="16.5" customHeight="1" x14ac:dyDescent="0.25">
      <c r="A17" s="302"/>
      <c r="B17" s="300"/>
      <c r="C17" s="300"/>
      <c r="D17" s="301"/>
      <c r="E17" s="300"/>
      <c r="F17" s="300"/>
      <c r="G17" s="300"/>
      <c r="H17" s="106" t="str">
        <f>IF((E14-'ETCA II-04'!E80)&gt;0.9,"ERROR!!!!! EL MONTO NO COINCIDE CON LO REPORTADO EN EL FORMATO ETCA-II-04 EN EL TOTAL DEVENGADO ANUAL DEL ANALÍTICO DE EGRESOS","")</f>
        <v/>
      </c>
    </row>
    <row r="18" spans="1:8" ht="16.5" customHeight="1" x14ac:dyDescent="0.25">
      <c r="A18" s="302"/>
      <c r="B18" s="300"/>
      <c r="C18" s="300"/>
      <c r="D18" s="301"/>
      <c r="E18" s="300"/>
      <c r="F18" s="300"/>
      <c r="G18" s="300"/>
      <c r="H18" s="106" t="str">
        <f>IF((F14-'ETCA II-04'!F80)&gt;0.9,"ERROR!!!!! EL MONTO NO COINCIDE CON LO REPORTADO EN EL FORMATO ETCA-II-04 EN EL TOTAL PAGADO ANUAL DEL ANALÍTICO DE EGRESOS","")</f>
        <v/>
      </c>
    </row>
    <row r="19" spans="1:8" ht="16.5" customHeight="1" x14ac:dyDescent="0.25">
      <c r="A19" s="302"/>
      <c r="B19" s="300"/>
      <c r="C19" s="300"/>
      <c r="D19" s="301"/>
      <c r="E19" s="300"/>
      <c r="F19" s="300"/>
      <c r="G19" s="300"/>
      <c r="H19" s="106"/>
    </row>
    <row r="20" spans="1:8" ht="16.5" customHeight="1" x14ac:dyDescent="0.25">
      <c r="A20" s="302"/>
      <c r="B20" s="300"/>
      <c r="C20" s="300"/>
      <c r="D20" s="301"/>
      <c r="E20" s="300"/>
      <c r="F20" s="300"/>
      <c r="G20" s="300"/>
      <c r="H20" s="106"/>
    </row>
    <row r="21" spans="1:8" ht="16.5" customHeight="1" x14ac:dyDescent="0.25">
      <c r="A21" s="302"/>
      <c r="B21" s="300"/>
      <c r="C21" s="300"/>
      <c r="D21" s="301"/>
      <c r="E21" s="300"/>
      <c r="F21" s="300"/>
      <c r="G21" s="300"/>
      <c r="H21" s="106"/>
    </row>
    <row r="22" spans="1:8" ht="16.5" customHeight="1" x14ac:dyDescent="0.25">
      <c r="A22" s="302"/>
      <c r="B22" s="300"/>
      <c r="C22" s="300"/>
      <c r="D22" s="301"/>
      <c r="E22" s="300"/>
      <c r="F22" s="300"/>
      <c r="G22" s="300"/>
      <c r="H22" s="106"/>
    </row>
    <row r="23" spans="1:8" ht="16.5" customHeight="1" x14ac:dyDescent="0.25">
      <c r="A23" s="302"/>
      <c r="B23" s="300"/>
      <c r="C23" s="300"/>
      <c r="D23" s="301"/>
      <c r="E23" s="300"/>
      <c r="F23" s="300"/>
      <c r="G23" s="300"/>
      <c r="H23" s="106"/>
    </row>
    <row r="24" spans="1:8" ht="16.5" customHeight="1" x14ac:dyDescent="0.25">
      <c r="A24" s="302"/>
      <c r="B24" s="300"/>
      <c r="C24" s="300"/>
      <c r="D24" s="301"/>
      <c r="E24" s="300"/>
      <c r="F24" s="300"/>
      <c r="G24" s="300"/>
      <c r="H24" s="106"/>
    </row>
    <row r="25" spans="1:8" ht="18.75" customHeight="1" x14ac:dyDescent="0.25">
      <c r="H25" s="106" t="str">
        <f>IF(C14&lt;&gt;'ETCA II-04'!C80,"ERROR!!!!! EL MONTO NO COINCIDE CON LO REPORTADO EN EL FORMATO ETCA-II-11 EN EL TOTAL DE AMPLIACIONES/REDUCCIONES DEL ANALÍTICO DE EGRESOS","")</f>
        <v/>
      </c>
    </row>
    <row r="26" spans="1:8" s="174" customFormat="1" ht="15.75" x14ac:dyDescent="0.25">
      <c r="A26" s="299" t="s">
        <v>311</v>
      </c>
      <c r="B26" s="299"/>
      <c r="C26" s="299"/>
      <c r="D26" s="299"/>
      <c r="E26" s="299"/>
      <c r="F26" s="299"/>
      <c r="G26" s="294"/>
      <c r="H26" s="106" t="str">
        <f>IF(D14&lt;&gt;'ETCA II-04'!D80,"ERROR!!!!! EL MONTO NO COINCIDE CON LO REPORTADO EN EL FORMATO ETCA-II-11 EN EL TOTAL MODIFICADO ANUAL DEL ANALÍTICO DE EGRESOS","")</f>
        <v>ERROR!!!!! EL MONTO NO COINCIDE CON LO REPORTADO EN EL FORMATO ETCA-II-11 EN EL TOTAL MODIFICADO ANUAL DEL ANALÍTICO DE EGRESOS</v>
      </c>
    </row>
    <row r="27" spans="1:8" s="174" customFormat="1" ht="13.5" x14ac:dyDescent="0.25">
      <c r="A27" s="297" t="s">
        <v>310</v>
      </c>
      <c r="B27" s="294"/>
      <c r="C27" s="294"/>
      <c r="D27" s="294"/>
      <c r="E27" s="294"/>
      <c r="F27" s="294"/>
      <c r="G27" s="294"/>
      <c r="H27" s="106" t="str">
        <f>IF(E14&lt;&gt;'ETCA II-04'!D80,"ERROR!!!!! EL MONTO NO COINCIDE CON LO REPORTADO EN EL FORMATO ETCA-II-11 EN EL TOTAL DEVENGADO ANUAL DEL ANALÍTICO DE EGRESOS","")</f>
        <v>ERROR!!!!! EL MONTO NO COINCIDE CON LO REPORTADO EN EL FORMATO ETCA-II-11 EN EL TOTAL DEVENGADO ANUAL DEL ANALÍTICO DE EGRESOS</v>
      </c>
    </row>
    <row r="28" spans="1:8" s="174" customFormat="1" ht="28.5" customHeight="1" x14ac:dyDescent="0.25">
      <c r="A28" s="296" t="s">
        <v>309</v>
      </c>
      <c r="B28" s="296"/>
      <c r="C28" s="296"/>
      <c r="D28" s="296"/>
      <c r="E28" s="296"/>
      <c r="F28" s="296"/>
      <c r="G28" s="296"/>
      <c r="H28" s="106" t="str">
        <f>IF(F14&lt;&gt;'ETCA II-04'!F80,"ERROR!!!!! EL MONTO NO COINCIDE CON LO REPORTADO EN EL FORMATO ETCA-II-11 EN EL TOTAL PAGADO ANUAL DEL ANALÍTICO DE EGRESOS","")</f>
        <v/>
      </c>
    </row>
    <row r="29" spans="1:8" s="174" customFormat="1" ht="13.5" x14ac:dyDescent="0.25">
      <c r="A29" s="297" t="s">
        <v>308</v>
      </c>
      <c r="B29" s="294"/>
      <c r="C29" s="294"/>
      <c r="D29" s="294"/>
      <c r="E29" s="294"/>
      <c r="F29" s="294"/>
      <c r="G29" s="294"/>
      <c r="H29" s="106" t="str">
        <f>IF(G14&lt;&gt;'ETCA II-04'!G80,"ERROR!!!!! EL MONTO NO COINCIDE CON LO REPORTADO EN EL FORMATO ETCA-II-11 EN EL TOTAL DEL SUBEJERCICIO DEL ANALÍTICO DE EGRESOS","")</f>
        <v>ERROR!!!!! EL MONTO NO COINCIDE CON LO REPORTADO EN EL FORMATO ETCA-II-11 EN EL TOTAL DEL SUBEJERCICIO DEL ANALÍTICO DE EGRESOS</v>
      </c>
    </row>
    <row r="30" spans="1:8" s="174" customFormat="1" ht="25.5" customHeight="1" x14ac:dyDescent="0.25">
      <c r="A30" s="296" t="s">
        <v>307</v>
      </c>
      <c r="B30" s="296"/>
      <c r="C30" s="296"/>
      <c r="D30" s="296"/>
      <c r="E30" s="296"/>
      <c r="F30" s="296"/>
      <c r="G30" s="296"/>
    </row>
    <row r="31" spans="1:8" s="174" customFormat="1" ht="13.5" x14ac:dyDescent="0.25">
      <c r="A31" s="298" t="s">
        <v>306</v>
      </c>
      <c r="B31" s="298"/>
      <c r="C31" s="298"/>
      <c r="D31" s="298"/>
      <c r="E31" s="294"/>
      <c r="F31" s="294"/>
      <c r="G31" s="294"/>
    </row>
    <row r="32" spans="1:8" s="174" customFormat="1" ht="13.5" customHeight="1" x14ac:dyDescent="0.25">
      <c r="A32" s="296" t="s">
        <v>305</v>
      </c>
      <c r="B32" s="296"/>
      <c r="C32" s="296"/>
      <c r="D32" s="296"/>
      <c r="E32" s="296"/>
      <c r="F32" s="296"/>
      <c r="G32" s="296"/>
    </row>
    <row r="33" spans="1:7" s="174" customFormat="1" ht="13.5" x14ac:dyDescent="0.25">
      <c r="A33" s="297" t="s">
        <v>304</v>
      </c>
      <c r="B33" s="294"/>
      <c r="C33" s="294"/>
      <c r="D33" s="294"/>
      <c r="E33" s="294"/>
      <c r="F33" s="294"/>
      <c r="G33" s="294"/>
    </row>
    <row r="34" spans="1:7" s="174" customFormat="1" ht="13.5" customHeight="1" x14ac:dyDescent="0.25">
      <c r="A34" s="296" t="s">
        <v>303</v>
      </c>
      <c r="B34" s="296"/>
      <c r="C34" s="296"/>
      <c r="D34" s="296"/>
      <c r="E34" s="296"/>
      <c r="F34" s="296"/>
      <c r="G34" s="296"/>
    </row>
    <row r="35" spans="1:7" s="174" customFormat="1" ht="13.5" x14ac:dyDescent="0.25">
      <c r="A35" s="295" t="s">
        <v>300</v>
      </c>
      <c r="B35" s="294"/>
      <c r="C35" s="294"/>
      <c r="D35" s="294"/>
      <c r="E35" s="294"/>
      <c r="F35" s="294"/>
      <c r="G35" s="294"/>
    </row>
    <row r="36" spans="1:7" s="174" customFormat="1" ht="13.5" x14ac:dyDescent="0.25">
      <c r="A36" s="297" t="s">
        <v>302</v>
      </c>
      <c r="B36" s="294"/>
      <c r="C36" s="294"/>
      <c r="D36" s="294"/>
      <c r="E36" s="294"/>
      <c r="F36" s="294"/>
      <c r="G36" s="294"/>
    </row>
    <row r="37" spans="1:7" s="174" customFormat="1" ht="13.5" customHeight="1" x14ac:dyDescent="0.25">
      <c r="A37" s="296" t="s">
        <v>301</v>
      </c>
      <c r="B37" s="296"/>
      <c r="C37" s="296"/>
      <c r="D37" s="296"/>
      <c r="E37" s="296"/>
      <c r="F37" s="296"/>
      <c r="G37" s="296"/>
    </row>
    <row r="38" spans="1:7" s="174" customFormat="1" ht="13.5" x14ac:dyDescent="0.25">
      <c r="A38" s="295" t="s">
        <v>300</v>
      </c>
      <c r="B38" s="294"/>
      <c r="C38" s="294"/>
      <c r="D38" s="294"/>
      <c r="E38" s="294"/>
      <c r="F38" s="294"/>
      <c r="G38" s="294"/>
    </row>
    <row r="39" spans="1:7" ht="8.25" customHeight="1" x14ac:dyDescent="0.25"/>
  </sheetData>
  <sheetProtection formatColumns="0" formatRows="0" insertHyperlinks="0"/>
  <mergeCells count="13">
    <mergeCell ref="A34:G34"/>
    <mergeCell ref="A37:G37"/>
    <mergeCell ref="A26:F26"/>
    <mergeCell ref="A28:G28"/>
    <mergeCell ref="A30:G30"/>
    <mergeCell ref="A31:D31"/>
    <mergeCell ref="A32:G32"/>
    <mergeCell ref="A6:A7"/>
    <mergeCell ref="A1:G1"/>
    <mergeCell ref="A2:G2"/>
    <mergeCell ref="A3:G3"/>
    <mergeCell ref="A4:G4"/>
    <mergeCell ref="A5:E5"/>
  </mergeCells>
  <pageMargins left="0.39370078740157483" right="0.39370078740157483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DFC0A-5635-4B56-A447-2279B601EB16}">
  <sheetPr>
    <tabColor theme="0" tint="-0.14999847407452621"/>
  </sheetPr>
  <dimension ref="A1:V36"/>
  <sheetViews>
    <sheetView view="pageBreakPreview" topLeftCell="A23" zoomScale="115" zoomScaleNormal="100" zoomScaleSheetLayoutView="115" workbookViewId="0">
      <selection activeCell="D30" sqref="D30"/>
    </sheetView>
  </sheetViews>
  <sheetFormatPr baseColWidth="10" defaultColWidth="11.28515625" defaultRowHeight="16.5" x14ac:dyDescent="0.25"/>
  <cols>
    <col min="1" max="1" width="39.85546875" style="1" customWidth="1"/>
    <col min="2" max="7" width="13.7109375" style="1" customWidth="1"/>
    <col min="8" max="8" width="10.28515625" style="320" hidden="1" customWidth="1"/>
    <col min="9" max="9" width="11" style="320" hidden="1" customWidth="1"/>
    <col min="10" max="10" width="7" style="320" hidden="1" customWidth="1"/>
    <col min="11" max="21" width="0" style="320" hidden="1" customWidth="1"/>
    <col min="22" max="22" width="11.28515625" style="320"/>
    <col min="23" max="16384" width="11.28515625" style="1"/>
  </cols>
  <sheetData>
    <row r="1" spans="1:22" x14ac:dyDescent="0.25">
      <c r="A1" s="105" t="str">
        <f>'[1]ETCA-I-01'!A1:G1</f>
        <v xml:space="preserve">Comision Estatal del Agua </v>
      </c>
      <c r="B1" s="105"/>
      <c r="C1" s="105"/>
      <c r="D1" s="105"/>
      <c r="E1" s="105"/>
      <c r="F1" s="105"/>
      <c r="G1" s="105"/>
    </row>
    <row r="2" spans="1:22" s="26" customFormat="1" x14ac:dyDescent="0.25">
      <c r="A2" s="105" t="s">
        <v>213</v>
      </c>
      <c r="B2" s="105"/>
      <c r="C2" s="105"/>
      <c r="D2" s="105"/>
      <c r="E2" s="105"/>
      <c r="F2" s="105"/>
      <c r="G2" s="105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</row>
    <row r="3" spans="1:22" s="26" customFormat="1" x14ac:dyDescent="0.25">
      <c r="A3" s="105" t="s">
        <v>330</v>
      </c>
      <c r="B3" s="105"/>
      <c r="C3" s="105"/>
      <c r="D3" s="105"/>
      <c r="E3" s="105"/>
      <c r="F3" s="105"/>
      <c r="G3" s="105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</row>
    <row r="4" spans="1:22" s="26" customFormat="1" x14ac:dyDescent="0.25">
      <c r="A4" s="104" t="str">
        <f>'[1]ETCA-I-03'!A3:D3</f>
        <v>Del 01 de enero  al 30 de Septiembre de 2020</v>
      </c>
      <c r="B4" s="104"/>
      <c r="C4" s="104"/>
      <c r="D4" s="104"/>
      <c r="E4" s="104"/>
      <c r="F4" s="104"/>
      <c r="G4" s="104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</row>
    <row r="5" spans="1:22" s="26" customFormat="1" ht="17.25" thickBot="1" x14ac:dyDescent="0.3">
      <c r="A5" s="253" t="s">
        <v>331</v>
      </c>
      <c r="B5" s="253"/>
      <c r="C5" s="253"/>
      <c r="D5" s="253"/>
      <c r="E5" s="253"/>
      <c r="F5" s="102"/>
      <c r="G5" s="319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</row>
    <row r="6" spans="1:22" s="331" customFormat="1" ht="38.25" x14ac:dyDescent="0.25">
      <c r="A6" s="332" t="s">
        <v>330</v>
      </c>
      <c r="B6" s="251" t="s">
        <v>209</v>
      </c>
      <c r="C6" s="251" t="s">
        <v>109</v>
      </c>
      <c r="D6" s="251" t="s">
        <v>208</v>
      </c>
      <c r="E6" s="249" t="s">
        <v>207</v>
      </c>
      <c r="F6" s="249" t="s">
        <v>206</v>
      </c>
      <c r="G6" s="318" t="s">
        <v>205</v>
      </c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</row>
    <row r="7" spans="1:22" s="327" customFormat="1" ht="17.25" thickBot="1" x14ac:dyDescent="0.3">
      <c r="A7" s="330"/>
      <c r="B7" s="329" t="s">
        <v>26</v>
      </c>
      <c r="C7" s="329" t="s">
        <v>25</v>
      </c>
      <c r="D7" s="329" t="s">
        <v>204</v>
      </c>
      <c r="E7" s="329" t="s">
        <v>23</v>
      </c>
      <c r="F7" s="329" t="s">
        <v>22</v>
      </c>
      <c r="G7" s="328" t="s">
        <v>203</v>
      </c>
      <c r="H7" s="321" t="s">
        <v>329</v>
      </c>
      <c r="I7" s="321" t="s">
        <v>328</v>
      </c>
      <c r="J7" s="321" t="s">
        <v>327</v>
      </c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  <c r="V7" s="321"/>
    </row>
    <row r="8" spans="1:22" ht="21" customHeight="1" x14ac:dyDescent="0.25">
      <c r="A8" s="325" t="s">
        <v>326</v>
      </c>
      <c r="B8" s="326">
        <v>3479411.7612575777</v>
      </c>
      <c r="C8" s="312">
        <v>25107.360000000001</v>
      </c>
      <c r="D8" s="312">
        <f>IF($A8="","",B8+C8)</f>
        <v>3504519.1212575776</v>
      </c>
      <c r="E8" s="312">
        <v>2539962.5418000002</v>
      </c>
      <c r="F8" s="312">
        <v>2250405.4045049567</v>
      </c>
      <c r="G8" s="324">
        <f>IF($A8="","",D8-E8)</f>
        <v>964556.57945757732</v>
      </c>
      <c r="H8" s="320">
        <v>2539962.5418000002</v>
      </c>
      <c r="I8" s="320">
        <v>44958060.557200007</v>
      </c>
      <c r="J8" s="320">
        <f>H8/I8</f>
        <v>5.6496265860232417E-2</v>
      </c>
      <c r="K8" s="320">
        <v>39832816.74000001</v>
      </c>
      <c r="L8" s="320">
        <f>J8*K8</f>
        <v>2250405.4045049567</v>
      </c>
    </row>
    <row r="9" spans="1:22" ht="21" customHeight="1" x14ac:dyDescent="0.25">
      <c r="A9" s="325" t="s">
        <v>325</v>
      </c>
      <c r="B9" s="326">
        <v>79073374.841815904</v>
      </c>
      <c r="C9" s="312">
        <f>17272520.52+2162000+3249193.48-45847.84-25107.36-4067.77</f>
        <v>22608691.030000001</v>
      </c>
      <c r="D9" s="312">
        <f>IF($A9="","",B9+C9)</f>
        <v>101682065.8718159</v>
      </c>
      <c r="E9" s="312">
        <f>16906910.45922+19563893.85+4647.53</f>
        <v>36475451.839220002</v>
      </c>
      <c r="F9" s="312">
        <f>14979513.2978406+19563893.85</f>
        <v>34543407.147840604</v>
      </c>
      <c r="G9" s="324">
        <f>IF($A9="","",D9-E9)</f>
        <v>65206614.032595903</v>
      </c>
      <c r="H9" s="320">
        <v>16906910.459220044</v>
      </c>
      <c r="I9" s="320">
        <v>44958060.557200007</v>
      </c>
      <c r="J9" s="320">
        <f>H9/I9</f>
        <v>0.37605960421067169</v>
      </c>
      <c r="K9" s="320">
        <v>39832816.74000001</v>
      </c>
      <c r="L9" s="320">
        <f>J9*K9</f>
        <v>14979513.297840621</v>
      </c>
      <c r="M9" s="320">
        <v>2161999.6800000002</v>
      </c>
      <c r="N9" s="320">
        <v>2161999.6800000002</v>
      </c>
      <c r="O9" s="320">
        <v>17401894.170000002</v>
      </c>
      <c r="P9" s="320">
        <v>17401894.170000002</v>
      </c>
      <c r="S9" s="320">
        <v>2161999.6800000002</v>
      </c>
    </row>
    <row r="10" spans="1:22" ht="21" customHeight="1" x14ac:dyDescent="0.25">
      <c r="A10" s="325" t="s">
        <v>324</v>
      </c>
      <c r="B10" s="326">
        <v>21363853.215424981</v>
      </c>
      <c r="C10" s="312">
        <v>1000000</v>
      </c>
      <c r="D10" s="312">
        <f>IF($A10="","",B10+C10)</f>
        <v>22363853.215424981</v>
      </c>
      <c r="E10" s="312">
        <f>5085977.98481272+500000</f>
        <v>5585977.9848127197</v>
      </c>
      <c r="F10" s="312">
        <f>4506173.67613014+500000</f>
        <v>5006173.6761301402</v>
      </c>
      <c r="G10" s="324">
        <f>IF($A10="","",D10-E10)</f>
        <v>16777875.230612263</v>
      </c>
      <c r="H10" s="320">
        <v>5085977.984812717</v>
      </c>
      <c r="I10" s="320">
        <v>44958060.557200007</v>
      </c>
      <c r="J10" s="320">
        <f>H10/I10</f>
        <v>0.11312716611389058</v>
      </c>
      <c r="K10" s="320">
        <v>39832816.74000001</v>
      </c>
      <c r="L10" s="320">
        <f>J10*K10</f>
        <v>4506173.6761301421</v>
      </c>
    </row>
    <row r="11" spans="1:22" ht="21" customHeight="1" x14ac:dyDescent="0.25">
      <c r="A11" s="325" t="s">
        <v>323</v>
      </c>
      <c r="B11" s="326">
        <v>130318168.1448452</v>
      </c>
      <c r="C11" s="312">
        <v>81157438.599999979</v>
      </c>
      <c r="D11" s="312">
        <f>IF($A11="","",B11+C11)</f>
        <v>211475606.74484518</v>
      </c>
      <c r="E11" s="312">
        <f>7087729.14069012+46676738.2</f>
        <v>53764467.340690121</v>
      </c>
      <c r="F11" s="312">
        <f>6279724.09095955+40146119.58</f>
        <v>46425843.670959547</v>
      </c>
      <c r="G11" s="324">
        <f>IF($A11="","",D11-E11)</f>
        <v>157711139.40415508</v>
      </c>
      <c r="H11" s="320">
        <v>7087729.1406901209</v>
      </c>
      <c r="I11" s="320">
        <v>44958060.557200007</v>
      </c>
      <c r="J11" s="320">
        <f>H11/I11</f>
        <v>0.15765202174752233</v>
      </c>
      <c r="K11" s="320">
        <v>39832816.74000001</v>
      </c>
      <c r="L11" s="320">
        <f>J11*K11</f>
        <v>6279724.0909595527</v>
      </c>
      <c r="Q11" s="320">
        <v>47176738.199999996</v>
      </c>
      <c r="R11" s="320">
        <v>40646119.579999998</v>
      </c>
      <c r="S11" s="320">
        <v>82157438.599999979</v>
      </c>
      <c r="T11" s="320">
        <v>1000000</v>
      </c>
      <c r="U11" s="320">
        <f>S11-T11</f>
        <v>81157438.599999979</v>
      </c>
    </row>
    <row r="12" spans="1:22" ht="21" customHeight="1" x14ac:dyDescent="0.25">
      <c r="A12" s="325" t="s">
        <v>322</v>
      </c>
      <c r="B12" s="326">
        <v>39075008.3903317</v>
      </c>
      <c r="C12" s="312">
        <v>45847.839999999997</v>
      </c>
      <c r="D12" s="312">
        <f>IF($A12="","",B12+C12)</f>
        <v>39120856.230331704</v>
      </c>
      <c r="E12" s="312">
        <v>6479657.7177926712</v>
      </c>
      <c r="F12" s="312">
        <v>5740973.147237489</v>
      </c>
      <c r="G12" s="324">
        <f>IF($A12="","",D12-E12)</f>
        <v>32641198.512539033</v>
      </c>
      <c r="H12" s="320">
        <v>6479657.7177926712</v>
      </c>
      <c r="I12" s="320">
        <v>44958060.557200007</v>
      </c>
      <c r="J12" s="320">
        <f>H12/I12</f>
        <v>0.14412671804533519</v>
      </c>
      <c r="K12" s="320">
        <v>39832816.74000001</v>
      </c>
      <c r="L12" s="320">
        <f>J12*K12</f>
        <v>5740973.147237489</v>
      </c>
      <c r="Q12" s="320">
        <v>500000</v>
      </c>
      <c r="R12" s="320">
        <v>500000</v>
      </c>
    </row>
    <row r="13" spans="1:22" ht="21" customHeight="1" x14ac:dyDescent="0.25">
      <c r="A13" s="325" t="s">
        <v>321</v>
      </c>
      <c r="B13" s="326">
        <v>5682050.4859565804</v>
      </c>
      <c r="C13" s="312">
        <v>0</v>
      </c>
      <c r="D13" s="312">
        <f>IF($A13="","",B13+C13)</f>
        <v>5682050.4859565804</v>
      </c>
      <c r="E13" s="312">
        <v>3507751.2406423981</v>
      </c>
      <c r="F13" s="312">
        <v>3107865.6553755556</v>
      </c>
      <c r="G13" s="324">
        <f>IF($A13="","",D13-E13)</f>
        <v>2174299.2453141822</v>
      </c>
      <c r="H13" s="320">
        <v>3507751.2406423981</v>
      </c>
      <c r="I13" s="320">
        <v>44958060.557200007</v>
      </c>
      <c r="J13" s="320">
        <f>H13/I13</f>
        <v>7.8022743800958597E-2</v>
      </c>
      <c r="K13" s="320">
        <v>39832816.74000001</v>
      </c>
      <c r="L13" s="320">
        <f>J13*K13</f>
        <v>3107865.6553755556</v>
      </c>
      <c r="Q13" s="320">
        <f>Q11-Q12</f>
        <v>46676738.199999996</v>
      </c>
      <c r="R13" s="320">
        <f>R11-R12</f>
        <v>40146119.579999998</v>
      </c>
    </row>
    <row r="14" spans="1:22" ht="21" customHeight="1" x14ac:dyDescent="0.25">
      <c r="A14" s="325" t="s">
        <v>320</v>
      </c>
      <c r="B14" s="326">
        <v>4079523.2336262274</v>
      </c>
      <c r="C14" s="312">
        <v>0</v>
      </c>
      <c r="D14" s="312">
        <f>IF($A14="","",B14+C14)</f>
        <v>4079523.2336262274</v>
      </c>
      <c r="E14" s="312">
        <v>3279052.1882420471</v>
      </c>
      <c r="F14" s="312">
        <v>2905238.4216832886</v>
      </c>
      <c r="G14" s="324">
        <f>IF($A14="","",D14-E14)</f>
        <v>800471.04538418027</v>
      </c>
      <c r="H14" s="320">
        <v>3279052.1882420471</v>
      </c>
      <c r="I14" s="320">
        <v>44958060.557200007</v>
      </c>
      <c r="J14" s="320">
        <f>H14/I14</f>
        <v>7.2935801669427411E-2</v>
      </c>
      <c r="K14" s="320">
        <v>39832816.74000001</v>
      </c>
      <c r="L14" s="320">
        <f>J14*K14</f>
        <v>2905238.4216832886</v>
      </c>
      <c r="S14" s="320">
        <v>-632242.45999999961</v>
      </c>
    </row>
    <row r="15" spans="1:22" ht="21" customHeight="1" x14ac:dyDescent="0.25">
      <c r="A15" s="325" t="s">
        <v>319</v>
      </c>
      <c r="B15" s="326">
        <v>216250.92891638639</v>
      </c>
      <c r="C15" s="312">
        <v>4067.77</v>
      </c>
      <c r="D15" s="312">
        <f>IF($A15="","",B15+C15)</f>
        <v>220318.69891638638</v>
      </c>
      <c r="E15" s="312">
        <v>71019.284</v>
      </c>
      <c r="F15" s="312">
        <v>62923.046268395323</v>
      </c>
      <c r="G15" s="324">
        <f>IF($A15="","",D15-E15)</f>
        <v>149299.41491638636</v>
      </c>
      <c r="H15" s="320">
        <v>71019.284</v>
      </c>
      <c r="I15" s="320">
        <v>44958060.557200007</v>
      </c>
      <c r="J15" s="320">
        <f>H15/I15</f>
        <v>1.5796785519616083E-3</v>
      </c>
      <c r="K15" s="320">
        <v>39832816.74000001</v>
      </c>
      <c r="L15" s="320">
        <f>J15*K15</f>
        <v>62923.046268395323</v>
      </c>
      <c r="S15" s="320">
        <v>496692.58</v>
      </c>
    </row>
    <row r="16" spans="1:22" ht="21" customHeight="1" x14ac:dyDescent="0.25">
      <c r="A16" s="325" t="s">
        <v>318</v>
      </c>
      <c r="B16" s="326">
        <v>340101776.66375589</v>
      </c>
      <c r="C16" s="312">
        <v>77384972.599999994</v>
      </c>
      <c r="D16" s="312">
        <f>IF($A16="","",B16+C16)</f>
        <v>417486749.26375592</v>
      </c>
      <c r="E16" s="312">
        <v>347042925</v>
      </c>
      <c r="F16" s="312">
        <v>314023509.75</v>
      </c>
      <c r="G16" s="324">
        <f>IF($A16="","",D16-E16)</f>
        <v>70443824.263755918</v>
      </c>
      <c r="S16" s="320">
        <v>3384743.36</v>
      </c>
    </row>
    <row r="17" spans="1:19" ht="21" customHeight="1" x14ac:dyDescent="0.25">
      <c r="A17" s="325"/>
      <c r="B17" s="312"/>
      <c r="C17" s="312"/>
      <c r="D17" s="312" t="str">
        <f>IF($A17="","",B17+C17)</f>
        <v/>
      </c>
      <c r="E17" s="312"/>
      <c r="F17" s="312"/>
      <c r="G17" s="324" t="str">
        <f>IF($A17="","",D17-E17)</f>
        <v/>
      </c>
      <c r="I17" s="320">
        <v>414066339.92000002</v>
      </c>
      <c r="S17" s="320">
        <f>SUM(S14:S16)</f>
        <v>3249193.4800000004</v>
      </c>
    </row>
    <row r="18" spans="1:19" ht="21" customHeight="1" x14ac:dyDescent="0.25">
      <c r="A18" s="325"/>
      <c r="B18" s="312"/>
      <c r="C18" s="312"/>
      <c r="D18" s="312" t="str">
        <f>IF($A18="","",B18+C18)</f>
        <v/>
      </c>
      <c r="E18" s="312"/>
      <c r="F18" s="312"/>
      <c r="G18" s="324" t="str">
        <f>IF($A18="","",D18-E18)</f>
        <v/>
      </c>
      <c r="I18" s="320">
        <v>2161999.6800000002</v>
      </c>
      <c r="J18" s="320">
        <v>4000</v>
      </c>
    </row>
    <row r="19" spans="1:19" ht="21" customHeight="1" x14ac:dyDescent="0.25">
      <c r="A19" s="325"/>
      <c r="B19" s="312"/>
      <c r="C19" s="312"/>
      <c r="D19" s="312" t="str">
        <f>IF($A19="","",B19+C19)</f>
        <v/>
      </c>
      <c r="E19" s="312"/>
      <c r="F19" s="312"/>
      <c r="G19" s="324" t="str">
        <f>IF($A19="","",D19-E19)</f>
        <v/>
      </c>
      <c r="I19" s="320">
        <v>40646119.579999998</v>
      </c>
      <c r="J19" s="320">
        <v>6000</v>
      </c>
    </row>
    <row r="20" spans="1:19" ht="21" customHeight="1" x14ac:dyDescent="0.25">
      <c r="A20" s="325"/>
      <c r="B20" s="312"/>
      <c r="C20" s="312"/>
      <c r="D20" s="312" t="str">
        <f>IF($A20="","",B20+C20)</f>
        <v/>
      </c>
      <c r="E20" s="312"/>
      <c r="F20" s="312"/>
      <c r="G20" s="324" t="str">
        <f>IF($A20="","",D20-E20)</f>
        <v/>
      </c>
      <c r="I20" s="320">
        <v>17401894.170000002</v>
      </c>
      <c r="J20" s="320">
        <v>9000</v>
      </c>
    </row>
    <row r="21" spans="1:19" ht="21" customHeight="1" x14ac:dyDescent="0.25">
      <c r="A21" s="325"/>
      <c r="B21" s="312"/>
      <c r="C21" s="312"/>
      <c r="D21" s="312" t="str">
        <f>IF($A21="","",B21+C21)</f>
        <v/>
      </c>
      <c r="E21" s="312"/>
      <c r="F21" s="312"/>
      <c r="G21" s="324" t="str">
        <f>IF($A21="","",D21-E21)</f>
        <v/>
      </c>
      <c r="I21" s="320">
        <v>314023509.75</v>
      </c>
      <c r="J21" s="320" t="s">
        <v>317</v>
      </c>
    </row>
    <row r="22" spans="1:19" ht="21" customHeight="1" x14ac:dyDescent="0.25">
      <c r="A22" s="325"/>
      <c r="B22" s="312"/>
      <c r="C22" s="312"/>
      <c r="D22" s="312" t="str">
        <f>IF($A22="","",B22+C22)</f>
        <v/>
      </c>
      <c r="E22" s="312"/>
      <c r="F22" s="312"/>
      <c r="G22" s="324" t="str">
        <f>IF($A22="","",D22-E22)</f>
        <v/>
      </c>
      <c r="I22" s="320">
        <f>I17-I18-I19-I20-I21</f>
        <v>39832816.74000001</v>
      </c>
    </row>
    <row r="23" spans="1:19" ht="21" customHeight="1" x14ac:dyDescent="0.25">
      <c r="A23" s="325"/>
      <c r="B23" s="312"/>
      <c r="C23" s="312"/>
      <c r="D23" s="312" t="str">
        <f>IF($A23="","",B23+C23)</f>
        <v/>
      </c>
      <c r="E23" s="312"/>
      <c r="F23" s="312"/>
      <c r="G23" s="324" t="str">
        <f>IF($A23="","",D23-E23)</f>
        <v/>
      </c>
    </row>
    <row r="24" spans="1:19" ht="21" customHeight="1" x14ac:dyDescent="0.25">
      <c r="A24" s="325"/>
      <c r="B24" s="312"/>
      <c r="C24" s="312"/>
      <c r="D24" s="312" t="str">
        <f>IF($A24="","",B24+C24)</f>
        <v/>
      </c>
      <c r="E24" s="312"/>
      <c r="F24" s="312"/>
      <c r="G24" s="324" t="str">
        <f>IF($A24="","",D24-E24)</f>
        <v/>
      </c>
    </row>
    <row r="25" spans="1:19" ht="21" customHeight="1" x14ac:dyDescent="0.25">
      <c r="A25" s="325"/>
      <c r="B25" s="312"/>
      <c r="C25" s="312"/>
      <c r="D25" s="312" t="str">
        <f>IF($A25="","",B25+C25)</f>
        <v/>
      </c>
      <c r="E25" s="312"/>
      <c r="F25" s="312"/>
      <c r="G25" s="324" t="str">
        <f>IF($A25="","",D25-E25)</f>
        <v/>
      </c>
    </row>
    <row r="26" spans="1:19" ht="21" customHeight="1" x14ac:dyDescent="0.25">
      <c r="A26" s="325"/>
      <c r="B26" s="312"/>
      <c r="C26" s="312"/>
      <c r="D26" s="312" t="str">
        <f>IF($A26="","",B26+C26)</f>
        <v/>
      </c>
      <c r="E26" s="312"/>
      <c r="F26" s="312"/>
      <c r="G26" s="324" t="str">
        <f>IF($A26="","",D26-E26)</f>
        <v/>
      </c>
    </row>
    <row r="27" spans="1:19" ht="21" customHeight="1" x14ac:dyDescent="0.25">
      <c r="A27" s="325"/>
      <c r="B27" s="312"/>
      <c r="C27" s="312"/>
      <c r="D27" s="312" t="str">
        <f>IF($A27="","",B27+C27)</f>
        <v/>
      </c>
      <c r="E27" s="312"/>
      <c r="F27" s="312"/>
      <c r="G27" s="324" t="str">
        <f>IF($A27="","",D27-E27)</f>
        <v/>
      </c>
    </row>
    <row r="28" spans="1:19" ht="21" customHeight="1" x14ac:dyDescent="0.25">
      <c r="A28" s="325"/>
      <c r="B28" s="312"/>
      <c r="C28" s="312"/>
      <c r="D28" s="312" t="str">
        <f>IF($A28="","",B28+C28)</f>
        <v/>
      </c>
      <c r="E28" s="312"/>
      <c r="F28" s="312"/>
      <c r="G28" s="324" t="str">
        <f>IF($A28="","",D28-E28)</f>
        <v/>
      </c>
    </row>
    <row r="29" spans="1:19" ht="21" customHeight="1" x14ac:dyDescent="0.25">
      <c r="A29" s="325"/>
      <c r="B29" s="312"/>
      <c r="C29" s="312"/>
      <c r="D29" s="312" t="str">
        <f>IF($A29="","",B29+C29)</f>
        <v/>
      </c>
      <c r="E29" s="312"/>
      <c r="F29" s="312"/>
      <c r="G29" s="324" t="str">
        <f>IF($A29="","",D29-E29)</f>
        <v/>
      </c>
    </row>
    <row r="30" spans="1:19" ht="21" customHeight="1" thickBot="1" x14ac:dyDescent="0.3">
      <c r="A30" s="325"/>
      <c r="B30" s="312"/>
      <c r="C30" s="312"/>
      <c r="D30" s="312" t="str">
        <f>IF($A30="","",B30+C30)</f>
        <v/>
      </c>
      <c r="E30" s="312"/>
      <c r="F30" s="312"/>
      <c r="G30" s="324" t="str">
        <f>IF($A30="","",D30-E30)</f>
        <v/>
      </c>
    </row>
    <row r="31" spans="1:19" ht="21" customHeight="1" thickBot="1" x14ac:dyDescent="0.3">
      <c r="A31" s="323" t="s">
        <v>130</v>
      </c>
      <c r="B31" s="231">
        <f>SUM(B8:B30)</f>
        <v>623389417.66593051</v>
      </c>
      <c r="C31" s="231">
        <f>SUM(C8:C30)</f>
        <v>182226125.19999999</v>
      </c>
      <c r="D31" s="231">
        <f>IF($A31="","",B31+C31)</f>
        <v>805615542.86593056</v>
      </c>
      <c r="E31" s="231">
        <f>SUM(E8:E30)</f>
        <v>458746265.1372</v>
      </c>
      <c r="F31" s="231">
        <f>SUM(F8:F30)</f>
        <v>414066339.91999996</v>
      </c>
      <c r="G31" s="230">
        <f>IF($A31="","",D31-E31)</f>
        <v>346869277.72873056</v>
      </c>
      <c r="H31" s="321" t="str">
        <f>IF(($B$31-'ETCA II-04'!B80)&gt;0.9,"ERROR!!!!! EL MONTO NO COINCIDE CON LO REPORTADO EN EL FORMATO ETCA-II-04 EN EL TOTAL APROBADO ANUAL DEL ANALÍTICO DE EGRESOS","")</f>
        <v/>
      </c>
    </row>
    <row r="32" spans="1:19" x14ac:dyDescent="0.25">
      <c r="B32" s="320"/>
      <c r="C32" s="320"/>
      <c r="D32" s="320"/>
      <c r="E32" s="320"/>
      <c r="F32" s="320"/>
      <c r="G32" s="320"/>
      <c r="H32" s="321" t="str">
        <f>IF(($C$31-'ETCA II-04'!C80)&gt;0.9,"ERROR!!!!! EL MONTO NO COINCIDE CON LO REPORTADO EN EL FORMATO ETCA-II-04 EN EL TOTAL AMPLIACIONES/REDUCCIONES ANUAL DEL ANALÍTICO DE EGRESOS","")</f>
        <v/>
      </c>
    </row>
    <row r="33" spans="2:8" x14ac:dyDescent="0.25">
      <c r="B33" s="322"/>
      <c r="C33" s="322"/>
      <c r="D33" s="322"/>
      <c r="E33" s="322"/>
      <c r="F33" s="322"/>
      <c r="G33" s="322"/>
      <c r="H33" s="321" t="str">
        <f>IF(($D$31-'ETCA II-04'!D80)&gt;0.9,"ERROR!!!!! EL MONTO NO COINCIDE CON LO REPORTADO EN EL FORMATO ETCA-II-04 EN EL TOTAL MODIFICADO ANUAL DEL ANALÍTICO DE EGRESOS","")</f>
        <v/>
      </c>
    </row>
    <row r="34" spans="2:8" x14ac:dyDescent="0.25">
      <c r="H34" s="321" t="str">
        <f>IF(($E$31-'ETCA II-04'!E80)&gt;0.9,"ERROR!!!!! EL MONTO NO COINCIDE CON LO REPORTADO EN EL FORMATO ETCA-II-04 EN EL TOTAL DEVENGADO ANUAL DEL ANALÍTICO DE EGRESOS","")</f>
        <v/>
      </c>
    </row>
    <row r="35" spans="2:8" x14ac:dyDescent="0.25">
      <c r="H35" s="321" t="str">
        <f>IF(($F$31-'ETCA II-04'!F80)&gt;0.9,"ERROR!!!!! EL MONTO NO COINCIDE CON LO REPORTADO EN EL FORMATO ETCA-II-04 EN EL TOTAL PAGADO ANUAL DEL ANALÍTICO DE EGRESOS","")</f>
        <v/>
      </c>
    </row>
    <row r="36" spans="2:8" x14ac:dyDescent="0.25">
      <c r="H36" s="321" t="str">
        <f>IF(($G$31-'ETCA II-04'!G80)&gt;0.9,"ERROR!!!!! EL MONTO NO COINCIDE CON LO REPORTADO EN EL FORMATO ETCA-II-04 EN EL TOTAL APROBADO ANUAL DEL ANALÍTICO DE EGRESOS","")</f>
        <v/>
      </c>
    </row>
  </sheetData>
  <sheetProtection formatColumns="0" formatRows="0" insertRows="0" deleteColumns="0" deleteRows="0"/>
  <mergeCells count="6">
    <mergeCell ref="A6:A7"/>
    <mergeCell ref="A1:G1"/>
    <mergeCell ref="A2:G2"/>
    <mergeCell ref="A3:G3"/>
    <mergeCell ref="A4:G4"/>
    <mergeCell ref="A5:E5"/>
  </mergeCells>
  <printOptions horizontalCentered="1"/>
  <pageMargins left="0.51181102362204722" right="0.15748031496062992" top="0.74803149606299213" bottom="0.74803149606299213" header="0.31496062992125984" footer="0.31496062992125984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0585A-47E3-4EED-B2BE-96229669FAFD}">
  <sheetPr>
    <tabColor theme="0" tint="-0.14999847407452621"/>
  </sheetPr>
  <dimension ref="A1:H36"/>
  <sheetViews>
    <sheetView view="pageBreakPreview" topLeftCell="A19" zoomScaleNormal="100" zoomScaleSheetLayoutView="100" workbookViewId="0">
      <selection activeCell="D30" sqref="D30"/>
    </sheetView>
  </sheetViews>
  <sheetFormatPr baseColWidth="10" defaultColWidth="11.42578125" defaultRowHeight="15" x14ac:dyDescent="0.25"/>
  <cols>
    <col min="1" max="1" width="32.42578125" customWidth="1"/>
    <col min="2" max="2" width="13" customWidth="1"/>
    <col min="3" max="3" width="13.140625" customWidth="1"/>
    <col min="4" max="4" width="12.42578125" customWidth="1"/>
    <col min="5" max="5" width="12.85546875" customWidth="1"/>
    <col min="6" max="6" width="14" customWidth="1"/>
    <col min="7" max="7" width="15.42578125" customWidth="1"/>
    <col min="8" max="8" width="11.7109375" bestFit="1" customWidth="1"/>
  </cols>
  <sheetData>
    <row r="1" spans="1:7" s="337" customFormat="1" ht="15.75" x14ac:dyDescent="0.2">
      <c r="A1" s="361" t="str">
        <f>'[1]ETCA-I-01'!A1:G1</f>
        <v xml:space="preserve">Comision Estatal del Agua </v>
      </c>
      <c r="B1" s="360"/>
      <c r="C1" s="360"/>
      <c r="D1" s="360"/>
      <c r="E1" s="360"/>
      <c r="F1" s="360"/>
      <c r="G1" s="359"/>
    </row>
    <row r="2" spans="1:7" s="337" customFormat="1" ht="12.75" x14ac:dyDescent="0.2">
      <c r="A2" s="358" t="s">
        <v>299</v>
      </c>
      <c r="B2" s="357"/>
      <c r="C2" s="357"/>
      <c r="D2" s="357"/>
      <c r="E2" s="357"/>
      <c r="F2" s="357"/>
      <c r="G2" s="356"/>
    </row>
    <row r="3" spans="1:7" s="337" customFormat="1" ht="12.75" x14ac:dyDescent="0.2">
      <c r="A3" s="358" t="s">
        <v>339</v>
      </c>
      <c r="B3" s="357"/>
      <c r="C3" s="357"/>
      <c r="D3" s="357"/>
      <c r="E3" s="357"/>
      <c r="F3" s="357"/>
      <c r="G3" s="356"/>
    </row>
    <row r="4" spans="1:7" s="337" customFormat="1" ht="12.75" x14ac:dyDescent="0.2">
      <c r="A4" s="358" t="str">
        <f>'[1]ETCA-I-03'!A3:D3</f>
        <v>Del 01 de enero  al 30 de Septiembre de 2020</v>
      </c>
      <c r="B4" s="357"/>
      <c r="C4" s="357"/>
      <c r="D4" s="357"/>
      <c r="E4" s="357"/>
      <c r="F4" s="357"/>
      <c r="G4" s="356"/>
    </row>
    <row r="5" spans="1:7" s="337" customFormat="1" ht="20.25" customHeight="1" thickBot="1" x14ac:dyDescent="0.25">
      <c r="A5" s="355" t="s">
        <v>297</v>
      </c>
      <c r="B5" s="354"/>
      <c r="C5" s="354"/>
      <c r="D5" s="354"/>
      <c r="E5" s="354"/>
      <c r="F5" s="354"/>
      <c r="G5" s="353"/>
    </row>
    <row r="6" spans="1:7" s="337" customFormat="1" ht="13.5" thickBot="1" x14ac:dyDescent="0.25">
      <c r="A6" s="349" t="s">
        <v>296</v>
      </c>
      <c r="B6" s="352" t="s">
        <v>295</v>
      </c>
      <c r="C6" s="351"/>
      <c r="D6" s="351"/>
      <c r="E6" s="351"/>
      <c r="F6" s="350"/>
      <c r="G6" s="349" t="s">
        <v>294</v>
      </c>
    </row>
    <row r="7" spans="1:7" s="337" customFormat="1" ht="26.25" thickBot="1" x14ac:dyDescent="0.25">
      <c r="A7" s="347"/>
      <c r="B7" s="348" t="s">
        <v>293</v>
      </c>
      <c r="C7" s="348" t="s">
        <v>109</v>
      </c>
      <c r="D7" s="348" t="s">
        <v>30</v>
      </c>
      <c r="E7" s="348" t="s">
        <v>108</v>
      </c>
      <c r="F7" s="348" t="s">
        <v>338</v>
      </c>
      <c r="G7" s="347"/>
    </row>
    <row r="8" spans="1:7" s="337" customFormat="1" ht="12.75" x14ac:dyDescent="0.2">
      <c r="A8" s="340" t="s">
        <v>337</v>
      </c>
      <c r="B8" s="346"/>
      <c r="C8" s="346"/>
      <c r="D8" s="346"/>
      <c r="E8" s="346"/>
      <c r="F8" s="346"/>
      <c r="G8" s="346"/>
    </row>
    <row r="9" spans="1:7" s="337" customFormat="1" ht="12.75" x14ac:dyDescent="0.2">
      <c r="A9" s="340" t="s">
        <v>336</v>
      </c>
      <c r="B9" s="339">
        <f>SUM(B10:B17)+B18</f>
        <v>535114183.66593021</v>
      </c>
      <c r="C9" s="339">
        <f>SUM(C10:C17)+C18</f>
        <v>122754839.20999999</v>
      </c>
      <c r="D9" s="339">
        <f>SUM(D10:D17)+D18</f>
        <v>657869022.87593031</v>
      </c>
      <c r="E9" s="339">
        <f>SUM(E10:E17)+E18</f>
        <v>428501865.68719995</v>
      </c>
      <c r="F9" s="339">
        <f>SUM(F10:F17)+F18</f>
        <v>384363661.43999994</v>
      </c>
      <c r="G9" s="339">
        <f>SUM(G10:G17)+G18</f>
        <v>229367157.18873033</v>
      </c>
    </row>
    <row r="10" spans="1:7" s="337" customFormat="1" ht="12.75" x14ac:dyDescent="0.2">
      <c r="A10" s="342" t="s">
        <v>326</v>
      </c>
      <c r="B10" s="339">
        <v>3479411.7612575777</v>
      </c>
      <c r="C10" s="339">
        <v>25107.360000000001</v>
      </c>
      <c r="D10" s="339">
        <f>B10+C10</f>
        <v>3504519.1212575776</v>
      </c>
      <c r="E10" s="339">
        <v>2539962.5418000002</v>
      </c>
      <c r="F10" s="339">
        <v>2250405.4045049567</v>
      </c>
      <c r="G10" s="339">
        <f>+D10-E10</f>
        <v>964556.57945757732</v>
      </c>
    </row>
    <row r="11" spans="1:7" s="337" customFormat="1" ht="25.5" x14ac:dyDescent="0.2">
      <c r="A11" s="342" t="s">
        <v>325</v>
      </c>
      <c r="B11" s="339">
        <v>79073374.841815904</v>
      </c>
      <c r="C11" s="339">
        <v>22608691.030000001</v>
      </c>
      <c r="D11" s="339">
        <f>B11+C11</f>
        <v>101682065.8718159</v>
      </c>
      <c r="E11" s="339">
        <v>36475451.839220002</v>
      </c>
      <c r="F11" s="339">
        <v>34543407.147840604</v>
      </c>
      <c r="G11" s="339">
        <f>+D11-E11</f>
        <v>65206614.032595903</v>
      </c>
    </row>
    <row r="12" spans="1:7" s="337" customFormat="1" ht="25.5" x14ac:dyDescent="0.2">
      <c r="A12" s="342" t="s">
        <v>324</v>
      </c>
      <c r="B12" s="339">
        <v>21363853.215424981</v>
      </c>
      <c r="C12" s="344">
        <v>500000</v>
      </c>
      <c r="D12" s="339">
        <f>B12+C12</f>
        <v>21863853.215424981</v>
      </c>
      <c r="E12" s="339">
        <f>5585977.98481272-250000</f>
        <v>5335977.9848127197</v>
      </c>
      <c r="F12" s="339">
        <f>5006173.67613014-250000</f>
        <v>4756173.6761301402</v>
      </c>
      <c r="G12" s="339">
        <f>+D12-E12</f>
        <v>16527875.230612261</v>
      </c>
    </row>
    <row r="13" spans="1:7" s="337" customFormat="1" ht="25.5" x14ac:dyDescent="0.2">
      <c r="A13" s="342" t="s">
        <v>323</v>
      </c>
      <c r="B13" s="339">
        <v>42042934.144844994</v>
      </c>
      <c r="C13" s="339">
        <f>81157438.6-58971285.99</f>
        <v>22186152.609999992</v>
      </c>
      <c r="D13" s="339">
        <f>B13+C13</f>
        <v>64229086.754844986</v>
      </c>
      <c r="E13" s="339">
        <f>53764467.3406901-29994399.45</f>
        <v>23770067.890690099</v>
      </c>
      <c r="F13" s="339">
        <f>46425843.6709595-29452678.48</f>
        <v>16973165.190959502</v>
      </c>
      <c r="G13" s="339">
        <f>+D13-E13</f>
        <v>40459018.86415489</v>
      </c>
    </row>
    <row r="14" spans="1:7" s="337" customFormat="1" ht="25.5" x14ac:dyDescent="0.2">
      <c r="A14" s="342" t="s">
        <v>322</v>
      </c>
      <c r="B14" s="339">
        <v>39075008.3903317</v>
      </c>
      <c r="C14" s="339">
        <v>45847.839999999997</v>
      </c>
      <c r="D14" s="339">
        <f>B14+C14</f>
        <v>39120856.230331704</v>
      </c>
      <c r="E14" s="339">
        <v>6479657.7177926712</v>
      </c>
      <c r="F14" s="339">
        <v>5740973.147237489</v>
      </c>
      <c r="G14" s="339">
        <f>+D14-E14</f>
        <v>32641198.512539033</v>
      </c>
    </row>
    <row r="15" spans="1:7" s="337" customFormat="1" ht="12.75" x14ac:dyDescent="0.2">
      <c r="A15" s="342" t="s">
        <v>333</v>
      </c>
      <c r="B15" s="339">
        <v>5682050.4859565804</v>
      </c>
      <c r="C15" s="339">
        <v>0</v>
      </c>
      <c r="D15" s="339">
        <f>B15+C15</f>
        <v>5682050.4859565804</v>
      </c>
      <c r="E15" s="339">
        <v>3507751.2406423981</v>
      </c>
      <c r="F15" s="339">
        <v>3107865.6553755556</v>
      </c>
      <c r="G15" s="339">
        <f>+D15-E15</f>
        <v>2174299.2453141822</v>
      </c>
    </row>
    <row r="16" spans="1:7" s="337" customFormat="1" ht="12.75" x14ac:dyDescent="0.2">
      <c r="A16" s="342" t="s">
        <v>320</v>
      </c>
      <c r="B16" s="339">
        <v>4079523.2336262274</v>
      </c>
      <c r="C16" s="339">
        <v>0</v>
      </c>
      <c r="D16" s="339">
        <f>B16+C16</f>
        <v>4079523.2336262274</v>
      </c>
      <c r="E16" s="339">
        <v>3279052.1882420471</v>
      </c>
      <c r="F16" s="339">
        <v>2905238.4216832886</v>
      </c>
      <c r="G16" s="339">
        <f>+D16-E16</f>
        <v>800471.04538418027</v>
      </c>
    </row>
    <row r="17" spans="1:8" s="337" customFormat="1" ht="25.5" x14ac:dyDescent="0.2">
      <c r="A17" s="342" t="s">
        <v>332</v>
      </c>
      <c r="B17" s="339">
        <v>216250.92891638639</v>
      </c>
      <c r="C17" s="339">
        <v>4067.77</v>
      </c>
      <c r="D17" s="339">
        <f>B17+C17</f>
        <v>220318.69891638638</v>
      </c>
      <c r="E17" s="339">
        <v>71019.284</v>
      </c>
      <c r="F17" s="339">
        <v>62923.046268395323</v>
      </c>
      <c r="G17" s="339">
        <f>+D17-E17</f>
        <v>149299.41491638636</v>
      </c>
    </row>
    <row r="18" spans="1:8" s="337" customFormat="1" ht="12.75" x14ac:dyDescent="0.2">
      <c r="A18" s="342" t="s">
        <v>318</v>
      </c>
      <c r="B18" s="339">
        <v>340101776.66375589</v>
      </c>
      <c r="C18" s="339">
        <v>77384972.599999994</v>
      </c>
      <c r="D18" s="339">
        <f>B18+C18</f>
        <v>417486749.26375592</v>
      </c>
      <c r="E18" s="339">
        <v>347042925</v>
      </c>
      <c r="F18" s="339">
        <v>314023509.75</v>
      </c>
      <c r="G18" s="339">
        <f>+D18-E18</f>
        <v>70443824.263755918</v>
      </c>
    </row>
    <row r="19" spans="1:8" s="337" customFormat="1" ht="12.75" x14ac:dyDescent="0.2">
      <c r="A19" s="342"/>
      <c r="B19" s="339"/>
      <c r="C19" s="339"/>
      <c r="D19" s="339"/>
      <c r="E19" s="339"/>
      <c r="F19" s="339"/>
      <c r="G19" s="339"/>
    </row>
    <row r="20" spans="1:8" s="337" customFormat="1" ht="12.75" x14ac:dyDescent="0.2">
      <c r="A20" s="345" t="s">
        <v>335</v>
      </c>
      <c r="B20" s="339"/>
      <c r="C20" s="339"/>
      <c r="D20" s="339"/>
      <c r="E20" s="339"/>
      <c r="F20" s="339"/>
      <c r="G20" s="339"/>
    </row>
    <row r="21" spans="1:8" s="337" customFormat="1" ht="12.75" x14ac:dyDescent="0.2">
      <c r="A21" s="345" t="s">
        <v>334</v>
      </c>
      <c r="B21" s="339">
        <f>SUM(B22:B29)+B30</f>
        <v>88275234</v>
      </c>
      <c r="C21" s="339">
        <f>SUM(C22:C29)+C30</f>
        <v>59471285.990000002</v>
      </c>
      <c r="D21" s="339">
        <f>SUM(D22:D29)+D30</f>
        <v>147746519.99000001</v>
      </c>
      <c r="E21" s="339">
        <f>SUM(E22:E29)+E30</f>
        <v>30244399.449999999</v>
      </c>
      <c r="F21" s="339">
        <f>SUM(F22:F29)+F30</f>
        <v>29702678.48</v>
      </c>
      <c r="G21" s="339">
        <f>SUM(G22:G29)</f>
        <v>117502120.54000001</v>
      </c>
    </row>
    <row r="22" spans="1:8" s="337" customFormat="1" ht="12.75" x14ac:dyDescent="0.2">
      <c r="A22" s="342" t="s">
        <v>326</v>
      </c>
      <c r="B22" s="339"/>
      <c r="C22" s="339"/>
      <c r="D22" s="339">
        <f>B22+C22</f>
        <v>0</v>
      </c>
      <c r="E22" s="339"/>
      <c r="F22" s="339"/>
      <c r="G22" s="339">
        <f>+D22-E22</f>
        <v>0</v>
      </c>
    </row>
    <row r="23" spans="1:8" s="337" customFormat="1" ht="25.5" x14ac:dyDescent="0.2">
      <c r="A23" s="342" t="s">
        <v>325</v>
      </c>
      <c r="B23" s="339"/>
      <c r="C23" s="339"/>
      <c r="D23" s="339">
        <f>B23+C23</f>
        <v>0</v>
      </c>
      <c r="E23" s="339"/>
      <c r="F23" s="339"/>
      <c r="G23" s="339">
        <f>+D23-E23</f>
        <v>0</v>
      </c>
    </row>
    <row r="24" spans="1:8" s="337" customFormat="1" ht="25.5" x14ac:dyDescent="0.2">
      <c r="A24" s="342" t="s">
        <v>324</v>
      </c>
      <c r="B24" s="339"/>
      <c r="C24" s="344">
        <v>500000</v>
      </c>
      <c r="D24" s="339">
        <f>B24+C24</f>
        <v>500000</v>
      </c>
      <c r="E24" s="339">
        <v>250000</v>
      </c>
      <c r="F24" s="339">
        <v>250000</v>
      </c>
      <c r="G24" s="339">
        <f>+D24-E24</f>
        <v>250000</v>
      </c>
    </row>
    <row r="25" spans="1:8" s="337" customFormat="1" ht="25.5" x14ac:dyDescent="0.2">
      <c r="A25" s="342" t="s">
        <v>323</v>
      </c>
      <c r="B25" s="339">
        <v>88275234</v>
      </c>
      <c r="C25" s="339">
        <v>58971285.990000002</v>
      </c>
      <c r="D25" s="339">
        <f>B25+C25</f>
        <v>147246519.99000001</v>
      </c>
      <c r="E25" s="339">
        <v>29994399.449999999</v>
      </c>
      <c r="F25" s="339">
        <v>29452678.48</v>
      </c>
      <c r="G25" s="339">
        <f>+D25-E25</f>
        <v>117252120.54000001</v>
      </c>
      <c r="H25" s="343"/>
    </row>
    <row r="26" spans="1:8" s="337" customFormat="1" ht="25.5" x14ac:dyDescent="0.2">
      <c r="A26" s="342" t="s">
        <v>322</v>
      </c>
      <c r="B26" s="339"/>
      <c r="C26" s="339"/>
      <c r="D26" s="339">
        <f>B26+C26</f>
        <v>0</v>
      </c>
      <c r="E26" s="339"/>
      <c r="F26" s="339"/>
      <c r="G26" s="339">
        <f>+D26-E26</f>
        <v>0</v>
      </c>
    </row>
    <row r="27" spans="1:8" s="337" customFormat="1" ht="12.75" x14ac:dyDescent="0.2">
      <c r="A27" s="342" t="s">
        <v>333</v>
      </c>
      <c r="B27" s="339"/>
      <c r="C27" s="339"/>
      <c r="D27" s="339">
        <f>B27+C27</f>
        <v>0</v>
      </c>
      <c r="E27" s="339"/>
      <c r="F27" s="339"/>
      <c r="G27" s="339">
        <f>+D27-E27</f>
        <v>0</v>
      </c>
    </row>
    <row r="28" spans="1:8" s="337" customFormat="1" ht="12.75" x14ac:dyDescent="0.2">
      <c r="A28" s="342" t="s">
        <v>320</v>
      </c>
      <c r="B28" s="339"/>
      <c r="C28" s="339"/>
      <c r="D28" s="339">
        <f>B28+C28</f>
        <v>0</v>
      </c>
      <c r="E28" s="339"/>
      <c r="F28" s="339"/>
      <c r="G28" s="339">
        <f>+D28-E28</f>
        <v>0</v>
      </c>
    </row>
    <row r="29" spans="1:8" s="337" customFormat="1" ht="25.5" x14ac:dyDescent="0.2">
      <c r="A29" s="342" t="s">
        <v>332</v>
      </c>
      <c r="B29" s="339"/>
      <c r="C29" s="339"/>
      <c r="D29" s="339">
        <f>B29+C29</f>
        <v>0</v>
      </c>
      <c r="E29" s="339"/>
      <c r="F29" s="339"/>
      <c r="G29" s="339">
        <f>+D29-E29</f>
        <v>0</v>
      </c>
    </row>
    <row r="30" spans="1:8" s="337" customFormat="1" ht="12.75" x14ac:dyDescent="0.2">
      <c r="A30" s="341" t="s">
        <v>318</v>
      </c>
      <c r="B30" s="339"/>
      <c r="C30" s="339"/>
      <c r="D30" s="339"/>
      <c r="E30" s="339"/>
      <c r="F30" s="339"/>
      <c r="G30" s="339">
        <f>+D30-E30</f>
        <v>0</v>
      </c>
    </row>
    <row r="31" spans="1:8" s="337" customFormat="1" ht="12.75" x14ac:dyDescent="0.2">
      <c r="A31" s="341"/>
      <c r="B31" s="339"/>
      <c r="C31" s="339"/>
      <c r="D31" s="339"/>
      <c r="E31" s="339"/>
      <c r="F31" s="339"/>
      <c r="G31" s="339"/>
    </row>
    <row r="32" spans="1:8" s="337" customFormat="1" ht="12.75" x14ac:dyDescent="0.2">
      <c r="A32" s="340" t="s">
        <v>214</v>
      </c>
      <c r="B32" s="339">
        <f>+B9+B21</f>
        <v>623389417.66593027</v>
      </c>
      <c r="C32" s="339">
        <f>+C9+C21</f>
        <v>182226125.19999999</v>
      </c>
      <c r="D32" s="339">
        <f>+D9+D21</f>
        <v>805615542.86593032</v>
      </c>
      <c r="E32" s="339">
        <f>+E9+E21</f>
        <v>458746265.13719994</v>
      </c>
      <c r="F32" s="339">
        <f>+F9+F21</f>
        <v>414066339.91999996</v>
      </c>
      <c r="G32" s="339">
        <f>+G9+G21</f>
        <v>346869277.72873032</v>
      </c>
      <c r="H32" s="338" t="str">
        <f>IF((B32-'ETCA-II-07'!B31)&gt;0.9,"ERROR!!!!! EL MONTO NO COINCIDE CON LO REPORTADO EN EL FORMATO ETCA-II-07 EN EL TOTAL DEL GASTO","")</f>
        <v/>
      </c>
    </row>
    <row r="33" spans="1:8" ht="15.75" thickBot="1" x14ac:dyDescent="0.3">
      <c r="A33" s="336"/>
      <c r="B33" s="335"/>
      <c r="C33" s="335"/>
      <c r="D33" s="335"/>
      <c r="E33" s="335"/>
      <c r="F33" s="335"/>
      <c r="G33" s="335"/>
      <c r="H33" s="106" t="str">
        <f>IF((C32-'ETCA-II-07'!C31)&gt;0.9,"ERROR!!!!! EL MONTO NO COINCIDE CON LO REPORTADO EN EL FORMATO ETCA-II-07 EN EL TOTAL DEL GASTO","")</f>
        <v/>
      </c>
    </row>
    <row r="34" spans="1:8" x14ac:dyDescent="0.25">
      <c r="B34" s="334"/>
      <c r="C34" s="334"/>
      <c r="D34" s="334"/>
      <c r="E34" s="334"/>
      <c r="F34" s="334"/>
      <c r="G34" s="334"/>
      <c r="H34" s="106" t="str">
        <f>IF((D32-'ETCA-II-07'!D31)&gt;0.9,"ERROR!!!!! EL MONTO NO COINCIDE CON LO REPORTADO EN EL FORMATO ETCA-II-07 EN EL TOTAL DEL GASTO","")</f>
        <v/>
      </c>
    </row>
    <row r="35" spans="1:8" x14ac:dyDescent="0.25">
      <c r="H35" s="106" t="str">
        <f>IF((F32-'ETCA-II-07'!F31)&gt;0.9,"ERROR!!!!! EL MONTO NO COINCIDE CON LO REPORTADO EN EL FORMATO ETCA-II-07 EN EL TOTAL DEL GASTO","")</f>
        <v/>
      </c>
    </row>
    <row r="36" spans="1:8" x14ac:dyDescent="0.25">
      <c r="H36" s="106" t="str">
        <f>IF((G32-'ETCA-II-07'!G31)&gt;0.9,"ERROR!!!!! EL MONTO NO COINCIDE CON LO REPORTADO EN EL FORMATO ETCA-II-07 EN EL TOTAL DEL GASTO","")</f>
        <v/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35433070866141736" bottom="0.35433070866141736" header="0.31496062992125984" footer="0.31496062992125984"/>
  <pageSetup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CA217-B2D7-4085-AEBA-4367E45118F5}">
  <sheetPr>
    <tabColor theme="0" tint="-0.14999847407452621"/>
    <pageSetUpPr fitToPage="1"/>
  </sheetPr>
  <dimension ref="A1:H21"/>
  <sheetViews>
    <sheetView view="pageBreakPreview" topLeftCell="A9" zoomScaleNormal="100" zoomScaleSheetLayoutView="100" workbookViewId="0">
      <selection activeCell="D30" sqref="D30"/>
    </sheetView>
  </sheetViews>
  <sheetFormatPr baseColWidth="10" defaultColWidth="11.28515625" defaultRowHeight="16.5" x14ac:dyDescent="0.25"/>
  <cols>
    <col min="1" max="1" width="39.85546875" style="1" customWidth="1"/>
    <col min="2" max="7" width="13.7109375" style="1" customWidth="1"/>
    <col min="8" max="16384" width="11.28515625" style="1"/>
  </cols>
  <sheetData>
    <row r="1" spans="1:8" x14ac:dyDescent="0.25">
      <c r="A1" s="105" t="str">
        <f>'[1]ETCA-I-01'!A1:G1</f>
        <v xml:space="preserve">Comision Estatal del Agua </v>
      </c>
      <c r="B1" s="105"/>
      <c r="C1" s="105"/>
      <c r="D1" s="105"/>
      <c r="E1" s="105"/>
      <c r="F1" s="105"/>
      <c r="G1" s="105"/>
    </row>
    <row r="2" spans="1:8" s="26" customFormat="1" x14ac:dyDescent="0.25">
      <c r="A2" s="105" t="s">
        <v>213</v>
      </c>
      <c r="B2" s="105"/>
      <c r="C2" s="105"/>
      <c r="D2" s="105"/>
      <c r="E2" s="105"/>
      <c r="F2" s="105"/>
      <c r="G2" s="105"/>
    </row>
    <row r="3" spans="1:8" s="26" customFormat="1" x14ac:dyDescent="0.25">
      <c r="A3" s="374" t="s">
        <v>344</v>
      </c>
      <c r="B3" s="374"/>
      <c r="C3" s="374"/>
      <c r="D3" s="374"/>
      <c r="E3" s="374"/>
      <c r="F3" s="374"/>
      <c r="G3" s="374"/>
    </row>
    <row r="4" spans="1:8" s="26" customFormat="1" x14ac:dyDescent="0.25">
      <c r="A4" s="104" t="str">
        <f>'[1]ETCA-I-03'!A3:D3</f>
        <v>Del 01 de enero  al 30 de Septiembre de 2020</v>
      </c>
      <c r="B4" s="104"/>
      <c r="C4" s="104"/>
      <c r="D4" s="104"/>
      <c r="E4" s="104"/>
      <c r="F4" s="104"/>
      <c r="G4" s="104"/>
    </row>
    <row r="5" spans="1:8" s="26" customFormat="1" ht="17.25" thickBot="1" x14ac:dyDescent="0.3">
      <c r="A5" s="253" t="s">
        <v>345</v>
      </c>
      <c r="B5" s="253"/>
      <c r="C5" s="253"/>
      <c r="D5" s="253"/>
      <c r="E5" s="253"/>
      <c r="F5" s="99"/>
      <c r="G5" s="373"/>
    </row>
    <row r="6" spans="1:8" s="331" customFormat="1" ht="53.25" customHeight="1" x14ac:dyDescent="0.25">
      <c r="A6" s="372" t="s">
        <v>344</v>
      </c>
      <c r="B6" s="371" t="s">
        <v>209</v>
      </c>
      <c r="C6" s="371" t="s">
        <v>109</v>
      </c>
      <c r="D6" s="371" t="s">
        <v>208</v>
      </c>
      <c r="E6" s="371" t="s">
        <v>207</v>
      </c>
      <c r="F6" s="371" t="s">
        <v>206</v>
      </c>
      <c r="G6" s="370" t="s">
        <v>205</v>
      </c>
    </row>
    <row r="7" spans="1:8" s="368" customFormat="1" ht="15.75" customHeight="1" thickBot="1" x14ac:dyDescent="0.3">
      <c r="A7" s="369"/>
      <c r="B7" s="329" t="s">
        <v>26</v>
      </c>
      <c r="C7" s="329" t="s">
        <v>25</v>
      </c>
      <c r="D7" s="329" t="s">
        <v>204</v>
      </c>
      <c r="E7" s="329" t="s">
        <v>23</v>
      </c>
      <c r="F7" s="329" t="s">
        <v>22</v>
      </c>
      <c r="G7" s="328" t="s">
        <v>203</v>
      </c>
    </row>
    <row r="8" spans="1:8" ht="30" customHeight="1" x14ac:dyDescent="0.25">
      <c r="A8" s="367"/>
      <c r="B8" s="366"/>
      <c r="C8" s="366"/>
      <c r="D8" s="366"/>
      <c r="E8" s="366"/>
      <c r="F8" s="366"/>
      <c r="G8" s="365"/>
    </row>
    <row r="9" spans="1:8" ht="30" customHeight="1" x14ac:dyDescent="0.25">
      <c r="A9" s="314" t="s">
        <v>343</v>
      </c>
      <c r="B9" s="238">
        <v>623389417.66593051</v>
      </c>
      <c r="C9" s="238">
        <v>182226125.19999996</v>
      </c>
      <c r="D9" s="239">
        <f>B9+C9</f>
        <v>805615542.86593044</v>
      </c>
      <c r="E9" s="238">
        <v>458746265.13999999</v>
      </c>
      <c r="F9" s="238">
        <v>414066339.92000002</v>
      </c>
      <c r="G9" s="237">
        <f>D9-E9</f>
        <v>346869277.72593045</v>
      </c>
    </row>
    <row r="10" spans="1:8" ht="30" customHeight="1" x14ac:dyDescent="0.25">
      <c r="A10" s="314" t="s">
        <v>342</v>
      </c>
      <c r="B10" s="238"/>
      <c r="C10" s="238"/>
      <c r="D10" s="239">
        <f>B10+C10</f>
        <v>0</v>
      </c>
      <c r="E10" s="238"/>
      <c r="F10" s="238"/>
      <c r="G10" s="237">
        <f>D10-E10</f>
        <v>0</v>
      </c>
    </row>
    <row r="11" spans="1:8" ht="30" customHeight="1" x14ac:dyDescent="0.25">
      <c r="A11" s="314" t="s">
        <v>341</v>
      </c>
      <c r="B11" s="238"/>
      <c r="C11" s="238"/>
      <c r="D11" s="239">
        <f>B11+C11</f>
        <v>0</v>
      </c>
      <c r="E11" s="238"/>
      <c r="F11" s="238"/>
      <c r="G11" s="237">
        <f>D11-E11</f>
        <v>0</v>
      </c>
    </row>
    <row r="12" spans="1:8" ht="30" customHeight="1" x14ac:dyDescent="0.25">
      <c r="A12" s="314" t="s">
        <v>340</v>
      </c>
      <c r="B12" s="238"/>
      <c r="C12" s="238"/>
      <c r="D12" s="239">
        <f>B12+C12</f>
        <v>0</v>
      </c>
      <c r="E12" s="238"/>
      <c r="F12" s="238"/>
      <c r="G12" s="237">
        <f>D12-E12</f>
        <v>0</v>
      </c>
    </row>
    <row r="13" spans="1:8" ht="30" customHeight="1" thickBot="1" x14ac:dyDescent="0.3">
      <c r="A13" s="364"/>
      <c r="B13" s="235"/>
      <c r="C13" s="235"/>
      <c r="D13" s="235"/>
      <c r="E13" s="235"/>
      <c r="F13" s="235"/>
      <c r="G13" s="233"/>
    </row>
    <row r="14" spans="1:8" s="331" customFormat="1" ht="30" customHeight="1" thickBot="1" x14ac:dyDescent="0.3">
      <c r="A14" s="306" t="s">
        <v>130</v>
      </c>
      <c r="B14" s="363">
        <f>SUM(B9:B12)</f>
        <v>623389417.66593051</v>
      </c>
      <c r="C14" s="363">
        <f>SUM(C9:C12)</f>
        <v>182226125.19999996</v>
      </c>
      <c r="D14" s="363">
        <f>B14+C14</f>
        <v>805615542.86593044</v>
      </c>
      <c r="E14" s="363">
        <f>SUM(E9:E12)</f>
        <v>458746265.13999999</v>
      </c>
      <c r="F14" s="363">
        <f>SUM(F9:F12)</f>
        <v>414066339.92000002</v>
      </c>
      <c r="G14" s="362">
        <f>D14-E14</f>
        <v>346869277.72593045</v>
      </c>
      <c r="H14" s="106" t="str">
        <f>IF((B14-'ETCA II-04'!B80)&gt;0.9,"ERROR!!!!! EL MONTO NO COINCIDE CON LO REPORTADO EN EL FORMATO ETCA-II-04 EN EL TOTAL APROBADO ANUAL DEL ANALÍTICO DE EGRESOS","")</f>
        <v/>
      </c>
    </row>
    <row r="15" spans="1:8" s="331" customFormat="1" ht="30" customHeight="1" x14ac:dyDescent="0.25">
      <c r="A15" s="302"/>
      <c r="B15" s="228"/>
      <c r="C15" s="228"/>
      <c r="D15" s="228"/>
      <c r="E15" s="228"/>
      <c r="F15" s="228"/>
      <c r="G15" s="228"/>
      <c r="H15" s="106" t="str">
        <f>IF((C14-'ETCA II-04'!C80)&gt;0.9,"ERROR!!!!! EL MONTO NO COINCIDE CON LO REPORTADO EN EL FORMATO ETCA-II-04 EN EL TOTAL AMPLIACIONES/REDUCCIONES ANUAL DEL ANALÍTICO DE EGRESOS","")</f>
        <v/>
      </c>
    </row>
    <row r="16" spans="1:8" s="331" customFormat="1" ht="30" customHeight="1" x14ac:dyDescent="0.25">
      <c r="A16" s="302"/>
      <c r="B16" s="228"/>
      <c r="C16" s="228"/>
      <c r="D16" s="228"/>
      <c r="E16" s="228"/>
      <c r="F16" s="228"/>
      <c r="G16" s="228"/>
      <c r="H16" s="106" t="str">
        <f>IF((D14-'ETCA II-04'!D80)&gt;0.9,"ERROR!!!!! EL MONTO NO COINCIDE CON LO REPORTADO EN EL FORMATO ETCA-II-04 EN EL TOTAL MODIFICADO ANUAL DEL ANALÍTICO DE EGRESOS","")</f>
        <v/>
      </c>
    </row>
    <row r="17" spans="1:8" s="331" customFormat="1" ht="18" customHeight="1" x14ac:dyDescent="0.25">
      <c r="A17" s="302"/>
      <c r="B17" s="228"/>
      <c r="C17" s="228"/>
      <c r="D17" s="228"/>
      <c r="E17" s="228"/>
      <c r="F17" s="228"/>
      <c r="G17" s="228"/>
      <c r="H17" s="106" t="str">
        <f>IF((E14-'ETCA II-04'!E80)&gt;0.9,"ERROR!!!!! EL MONTO NO COINCIDE CON LO REPORTADO EN EL FORMATO ETCA-II-04 EN EL TOTAL DEVENGADO ANUAL DEL ANALÍTICO DE EGRESOS","")</f>
        <v/>
      </c>
    </row>
    <row r="18" spans="1:8" s="331" customFormat="1" ht="18" customHeight="1" x14ac:dyDescent="0.25">
      <c r="A18" s="302"/>
      <c r="B18" s="228"/>
      <c r="C18" s="228"/>
      <c r="D18" s="228"/>
      <c r="E18" s="228"/>
      <c r="F18" s="228"/>
      <c r="G18" s="228"/>
      <c r="H18" s="106" t="str">
        <f>IF((F14-'ETCA II-04'!F80)&gt;0.9,"ERROR!!!!! EL MONTO NO COINCIDE CON LO REPORTADO EN EL FORMATO ETCA-II-04 EN EL TOTAL PAGADO ANUAL DEL ANALÍTICO DE EGRESOS","")</f>
        <v/>
      </c>
    </row>
    <row r="19" spans="1:8" x14ac:dyDescent="0.25">
      <c r="H19" s="106" t="str">
        <f>IF((G14-'ETCA II-04'!G80)&gt;0.9,"ERROR!!!!! EL MONTO NO COINCIDE CON LO REPORTADO EN EL FORMATO ETCA-II-04 EN EL TOTAL SUBEJERCICIO ANUAL DEL ANALÍTICO DE EGRESOS","")</f>
        <v/>
      </c>
    </row>
    <row r="20" spans="1:8" x14ac:dyDescent="0.25">
      <c r="H20" s="106" t="str">
        <f>IF((B20-'ETCA II-04'!B86)&gt;0.9,"ERROR!!!!! EL MONTO NO COINCIDE CON LO REPORTADO EN EL FORMATO ETCA-II-04 EN EL TOTAL APROBADO ANUAL DEL ANALÍTICO DE EGRESOS","")</f>
        <v/>
      </c>
    </row>
    <row r="21" spans="1:8" x14ac:dyDescent="0.25">
      <c r="H21" s="106" t="str">
        <f>IF(G14&lt;&gt;'ETCA II-04'!G80,"ERROR!!!!! EL MONTO NO COINCIDE CON LO REPORTADO EN EL FORMATO ETCA-II-04 EN EL TOTAL SUBEJERCICIO PRESENTADO EN EL ANALÍTICO DE EGRESOS","")</f>
        <v/>
      </c>
    </row>
  </sheetData>
  <sheetProtection formatColumns="0" formatRows="0" insertHyperlinks="0"/>
  <mergeCells count="6">
    <mergeCell ref="A6:A7"/>
    <mergeCell ref="A4:G4"/>
    <mergeCell ref="A1:G1"/>
    <mergeCell ref="A2:G2"/>
    <mergeCell ref="A3:G3"/>
    <mergeCell ref="A5:E5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ETCA-II-01</vt:lpstr>
      <vt:lpstr>ETCA-II-02</vt:lpstr>
      <vt:lpstr>ETCA-II-03</vt:lpstr>
      <vt:lpstr>ETCA II-04</vt:lpstr>
      <vt:lpstr>ETCA-II-05</vt:lpstr>
      <vt:lpstr>ETCA-II-06</vt:lpstr>
      <vt:lpstr>ETCA-II-07</vt:lpstr>
      <vt:lpstr>ETCA-II-08</vt:lpstr>
      <vt:lpstr>ETCA-II-09</vt:lpstr>
      <vt:lpstr>ETCA-II-10</vt:lpstr>
      <vt:lpstr>ETCA-II-11</vt:lpstr>
      <vt:lpstr>ETCA-II-12</vt:lpstr>
      <vt:lpstr>ETCA-II-13 </vt:lpstr>
      <vt:lpstr>ETCA-II-14</vt:lpstr>
      <vt:lpstr>ETCA-II-15</vt:lpstr>
      <vt:lpstr>ETCA-II-16</vt:lpstr>
      <vt:lpstr>ETCA-II-17</vt:lpstr>
      <vt:lpstr>'ETCA-II-01'!Área_de_impresión</vt:lpstr>
      <vt:lpstr>'ETCA-II-02'!Área_de_impresión</vt:lpstr>
      <vt:lpstr>'ETCA-II-03'!Área_de_impresión</vt:lpstr>
      <vt:lpstr>'ETCA-II-05'!Área_de_impresión</vt:lpstr>
      <vt:lpstr>'ETCA-II-06'!Área_de_impresión</vt:lpstr>
      <vt:lpstr>'ETCA-II-07'!Área_de_impresión</vt:lpstr>
      <vt:lpstr>'ETCA-II-08'!Área_de_impresión</vt:lpstr>
      <vt:lpstr>'ETCA-II-09'!Área_de_impresión</vt:lpstr>
      <vt:lpstr>'ETCA-II-10'!Área_de_impresión</vt:lpstr>
      <vt:lpstr>'ETCA-II-11'!Área_de_impresión</vt:lpstr>
      <vt:lpstr>'ETCA-II-12'!Área_de_impresión</vt:lpstr>
      <vt:lpstr>'ETCA-II-13 '!Área_de_impresión</vt:lpstr>
      <vt:lpstr>'ETCA-II-14'!Área_de_impresión</vt:lpstr>
      <vt:lpstr>'ETCA-II-15'!Área_de_impresión</vt:lpstr>
      <vt:lpstr>'ETCA-II-16'!Área_de_impresión</vt:lpstr>
      <vt:lpstr>'ETCA-II-17'!Área_de_impresión</vt:lpstr>
      <vt:lpstr>'ETCA-II-01'!Títulos_a_imprimir</vt:lpstr>
      <vt:lpstr>'ETCA-II-02'!Títulos_a_imprimir</vt:lpstr>
      <vt:lpstr>'ETCA-II-12'!Títulos_a_imprimir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Lugo</dc:creator>
  <cp:lastModifiedBy>Valeria Lugo</cp:lastModifiedBy>
  <dcterms:created xsi:type="dcterms:W3CDTF">2024-11-08T19:49:37Z</dcterms:created>
  <dcterms:modified xsi:type="dcterms:W3CDTF">2024-11-08T19:50:03Z</dcterms:modified>
</cp:coreProperties>
</file>