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3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vier.hernandez\Desktop\CEA formatos-etcas-informe-4to Trimestre 2023\"/>
    </mc:Choice>
  </mc:AlternateContent>
  <xr:revisionPtr revIDLastSave="0" documentId="13_ncr:1_{155CFB8F-DB3D-47BE-8E66-BEA263D7D72D}" xr6:coauthVersionLast="47" xr6:coauthVersionMax="47" xr10:uidLastSave="{00000000-0000-0000-0000-000000000000}"/>
  <bookViews>
    <workbookView xWindow="-120" yWindow="-120" windowWidth="21840" windowHeight="13140" tabRatio="898" firstSheet="5" xr2:uid="{00000000-000D-0000-FFFF-FFFF00000000}"/>
  </bookViews>
  <sheets>
    <sheet name="ETCA-II-01" sheetId="67" r:id="rId1"/>
    <sheet name="ETCA-II-02" sheetId="55" r:id="rId2"/>
    <sheet name="ETCA-II-03" sheetId="21" r:id="rId3"/>
    <sheet name="ETCA-II-04" sheetId="70" r:id="rId4"/>
    <sheet name="ETCA-II-05" sheetId="71" r:id="rId5"/>
    <sheet name="ETCA-II-06" sheetId="37" r:id="rId6"/>
    <sheet name="ETCA-II-07" sheetId="38" r:id="rId7"/>
    <sheet name="ETCA-II-08" sheetId="61" r:id="rId8"/>
    <sheet name="ETCA-II-09" sheetId="44" r:id="rId9"/>
    <sheet name="ETCA-II-10" sheetId="45" r:id="rId10"/>
    <sheet name="ETCA-II-11" sheetId="72" r:id="rId11"/>
    <sheet name="ETCA-II-12" sheetId="62" r:id="rId12"/>
    <sheet name="ETCA-II-13" sheetId="107" r:id="rId13"/>
    <sheet name="ETCA-II-14" sheetId="65" r:id="rId14"/>
    <sheet name="ETCA-II-15" sheetId="24" r:id="rId15"/>
    <sheet name="ETCA-II-16" sheetId="16" r:id="rId16"/>
    <sheet name="ETCA-II-17" sheetId="19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Print_Area" localSheetId="0">'ETCA-II-01'!$A$1:$H$50</definedName>
    <definedName name="_xlnm.Print_Area" localSheetId="1">'ETCA-II-02'!$A$1:$I$86</definedName>
    <definedName name="_xlnm.Print_Area" localSheetId="2">'ETCA-II-03'!$A$1:$D$34</definedName>
    <definedName name="_xlnm.Print_Area" localSheetId="4">'ETCA-II-05'!$A$1:$H$164</definedName>
    <definedName name="_xlnm.Print_Area" localSheetId="5">'ETCA-II-06'!$A$1:$G$25</definedName>
    <definedName name="_xlnm.Print_Area" localSheetId="6">'ETCA-II-07'!$A$1:$G$36</definedName>
    <definedName name="_xlnm.Print_Area" localSheetId="7">'ETCA-II-08'!$A$1:$G$42</definedName>
    <definedName name="_xlnm.Print_Area" localSheetId="8">'ETCA-II-09'!$A$1:$G$20</definedName>
    <definedName name="_xlnm.Print_Area" localSheetId="9">'ETCA-II-10'!$A$1:$G$26</definedName>
    <definedName name="_xlnm.Print_Area" localSheetId="10">'ETCA-II-11'!$A$1:$G$47</definedName>
    <definedName name="_xlnm.Print_Area" localSheetId="11">'ETCA-II-12'!$A$1:$H$85</definedName>
    <definedName name="_xlnm.Print_Area" localSheetId="12">'ETCA-II-13'!$A$1:$I$431</definedName>
    <definedName name="_xlnm.Print_Area" localSheetId="13">'ETCA-II-14'!$A$1:$G$38</definedName>
    <definedName name="_xlnm.Print_Area" localSheetId="14">'ETCA-II-15'!$A$1:$C$46</definedName>
    <definedName name="_xlnm.Print_Area" localSheetId="15">'ETCA-II-16'!$A$1:$E$32</definedName>
    <definedName name="_xlnm.Print_Area" localSheetId="16">'ETCA-II-17'!$A$1:$D$37</definedName>
    <definedName name="Ay_Asociaciones">#REF!</definedName>
    <definedName name="Ay_ConfCol">#REF!</definedName>
    <definedName name="Ay_DocProy">#REF!</definedName>
    <definedName name="Ay_EmitirDocto">#REF!</definedName>
    <definedName name="Ay_Funcionalidad">#REF!</definedName>
    <definedName name="Ay_Introduccion">#REF!</definedName>
    <definedName name="Ay_Parametros">#REF!</definedName>
    <definedName name="Ay_PorBenef">#REF!</definedName>
    <definedName name="Ay_PorCategorias">#REF!</definedName>
    <definedName name="Ay_PorCuentas">#REF!</definedName>
    <definedName name="Ay_PorDoc">#REF!</definedName>
    <definedName name="Ay_PorPago">#REF!</definedName>
    <definedName name="Ay_Restricciones">#REF!</definedName>
    <definedName name="Ay_Saldos">#REF!</definedName>
    <definedName name="Ay_UsoVistas">#REF!</definedName>
    <definedName name="Ay_Verificar">#REF!</definedName>
    <definedName name="_xlnm.Database" localSheetId="0">#REF!</definedName>
    <definedName name="_xlnm.Database" localSheetId="2">#REF!</definedName>
    <definedName name="_xlnm.Database" localSheetId="5">#REF!</definedName>
    <definedName name="_xlnm.Database" localSheetId="6">#REF!</definedName>
    <definedName name="_xlnm.Database" localSheetId="12">#REF!</definedName>
    <definedName name="_xlnm.Database" localSheetId="14">#REF!</definedName>
    <definedName name="_xlnm.Database" localSheetId="16">#REF!</definedName>
    <definedName name="_xlnm.Database">#REF!</definedName>
    <definedName name="camposBD">OFFSET([1]Definiciones!$D$1,0,0,COUNTA([1]Definiciones!$D$1:$D$65536),1)</definedName>
    <definedName name="CodigoCuentaBase">[1]Encabezado!#REF!</definedName>
    <definedName name="dd">#REF!</definedName>
    <definedName name="Documentos">OFFSET([1]Definiciones!$B$1,0,0,COUNTA([1]Definiciones!$B$1:$B$65536),1)</definedName>
    <definedName name="Funciones_Fechas_Periodos">[2]!Funciones_Fechas_Periodos</definedName>
    <definedName name="Funciones_Saldos">[2]!Funciones_Saldos</definedName>
    <definedName name="Funciones_Tablas">[2]!Funciones_Tablas</definedName>
    <definedName name="ppto" localSheetId="12">[3]Hoja2!$B$3:$M$95</definedName>
    <definedName name="ppto">[4]Hoja2!$B$3:$M$95</definedName>
    <definedName name="qw" localSheetId="12">#REF!</definedName>
    <definedName name="qw">#REF!</definedName>
    <definedName name="SaldoInicialBase">[1]Encabezado!$Z$7</definedName>
    <definedName name="SaldoInicialBaseEnTransito">[1]Encabezado!$Z$8</definedName>
    <definedName name="TablaD">[5]Reglas!$A$4:$G$972</definedName>
    <definedName name="TipoDeposito">OFFSET([1]Definiciones!$G$1,0,0,COUNTA([1]Definiciones!$G$1:$G$65536),1)</definedName>
    <definedName name="_xlnm.Print_Titles" localSheetId="0">'ETCA-II-01'!$5:$7</definedName>
    <definedName name="_xlnm.Print_Titles" localSheetId="1">'ETCA-II-02'!$5:$7</definedName>
    <definedName name="_xlnm.Print_Titles" localSheetId="3">'ETCA-II-04'!$6:$7</definedName>
    <definedName name="_xlnm.Print_Titles" localSheetId="4">'ETCA-II-05'!$6:$7</definedName>
    <definedName name="_xlnm.Print_Titles" localSheetId="11">'ETCA-II-12'!$6:$7</definedName>
    <definedName name="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7" i="107" l="1"/>
  <c r="H427" i="107"/>
  <c r="G427" i="107"/>
  <c r="F427" i="107"/>
  <c r="E427" i="107"/>
  <c r="D427" i="107"/>
  <c r="C427" i="107"/>
  <c r="G36" i="107"/>
  <c r="G35" i="107" s="1"/>
  <c r="F36" i="107"/>
  <c r="F35" i="107" s="1"/>
  <c r="D36" i="107"/>
  <c r="D35" i="107" s="1"/>
  <c r="C36" i="107"/>
  <c r="C35" i="107" s="1"/>
  <c r="G34" i="107"/>
  <c r="G33" i="107" s="1"/>
  <c r="F34" i="107"/>
  <c r="F33" i="107" s="1"/>
  <c r="D34" i="107"/>
  <c r="D33" i="107" s="1"/>
  <c r="C34" i="107"/>
  <c r="E34" i="107" s="1"/>
  <c r="G32" i="107"/>
  <c r="F32" i="107"/>
  <c r="D32" i="107"/>
  <c r="C32" i="107"/>
  <c r="E32" i="107" s="1"/>
  <c r="G31" i="107"/>
  <c r="F31" i="107"/>
  <c r="D31" i="107"/>
  <c r="C31" i="107"/>
  <c r="E31" i="107" s="1"/>
  <c r="G30" i="107"/>
  <c r="F30" i="107"/>
  <c r="D30" i="107"/>
  <c r="C30" i="107"/>
  <c r="E30" i="107" s="1"/>
  <c r="G29" i="107"/>
  <c r="F29" i="107"/>
  <c r="D29" i="107"/>
  <c r="C29" i="107"/>
  <c r="E29" i="107" s="1"/>
  <c r="H29" i="107" l="1"/>
  <c r="H31" i="107"/>
  <c r="H32" i="107"/>
  <c r="E36" i="107"/>
  <c r="H36" i="107" s="1"/>
  <c r="I32" i="107"/>
  <c r="E35" i="107"/>
  <c r="H35" i="107" s="1"/>
  <c r="I34" i="107"/>
  <c r="H34" i="107"/>
  <c r="C33" i="107"/>
  <c r="E33" i="107" s="1"/>
  <c r="H33" i="107" s="1"/>
  <c r="I30" i="107"/>
  <c r="H30" i="107"/>
  <c r="I29" i="107"/>
  <c r="I31" i="107"/>
  <c r="I33" i="107" l="1"/>
  <c r="I36" i="107"/>
  <c r="I35" i="107"/>
  <c r="D8" i="16" l="1"/>
  <c r="F62" i="55" l="1"/>
  <c r="D19" i="67"/>
  <c r="H301" i="107" l="1"/>
  <c r="E300" i="107"/>
  <c r="I300" i="107" s="1"/>
  <c r="C299" i="107"/>
  <c r="C298" i="107" s="1"/>
  <c r="E298" i="107" s="1"/>
  <c r="E297" i="107"/>
  <c r="I297" i="107" s="1"/>
  <c r="C296" i="107"/>
  <c r="C295" i="107" s="1"/>
  <c r="E295" i="107" s="1"/>
  <c r="H295" i="107" s="1"/>
  <c r="E294" i="107"/>
  <c r="H294" i="107" s="1"/>
  <c r="C293" i="107"/>
  <c r="E293" i="107" s="1"/>
  <c r="I293" i="107" s="1"/>
  <c r="E292" i="107"/>
  <c r="H292" i="107" s="1"/>
  <c r="C291" i="107"/>
  <c r="C290" i="107" s="1"/>
  <c r="E290" i="107" s="1"/>
  <c r="I290" i="107" s="1"/>
  <c r="E289" i="107"/>
  <c r="I289" i="107" s="1"/>
  <c r="C288" i="107"/>
  <c r="E287" i="107"/>
  <c r="C286" i="107"/>
  <c r="E286" i="107" s="1"/>
  <c r="H286" i="107" s="1"/>
  <c r="E291" i="107" l="1"/>
  <c r="I291" i="107" s="1"/>
  <c r="H297" i="107"/>
  <c r="E299" i="107"/>
  <c r="I299" i="107" s="1"/>
  <c r="I292" i="107"/>
  <c r="H291" i="107"/>
  <c r="H290" i="107"/>
  <c r="I286" i="107"/>
  <c r="H289" i="107"/>
  <c r="I294" i="107"/>
  <c r="I298" i="107"/>
  <c r="H298" i="107"/>
  <c r="H293" i="107"/>
  <c r="E296" i="107"/>
  <c r="H296" i="107" s="1"/>
  <c r="H300" i="107"/>
  <c r="E288" i="107"/>
  <c r="C285" i="107"/>
  <c r="I295" i="107"/>
  <c r="I287" i="107"/>
  <c r="H287" i="107"/>
  <c r="H299" i="107" l="1"/>
  <c r="I296" i="107"/>
  <c r="I288" i="107"/>
  <c r="H288" i="107"/>
  <c r="C284" i="107"/>
  <c r="E284" i="107" s="1"/>
  <c r="H284" i="107" s="1"/>
  <c r="E285" i="107"/>
  <c r="H285" i="107" l="1"/>
  <c r="I285" i="107"/>
  <c r="E15" i="67" l="1"/>
  <c r="F59" i="55" l="1"/>
  <c r="D25" i="67"/>
  <c r="D11" i="61"/>
  <c r="G11" i="61" s="1"/>
  <c r="D12" i="61"/>
  <c r="G12" i="61" s="1"/>
  <c r="D13" i="61"/>
  <c r="G13" i="61" s="1"/>
  <c r="D14" i="61"/>
  <c r="G14" i="61" s="1"/>
  <c r="D15" i="61"/>
  <c r="G15" i="61" s="1"/>
  <c r="D16" i="61"/>
  <c r="G16" i="61" s="1"/>
  <c r="D17" i="61"/>
  <c r="G17" i="61" s="1"/>
  <c r="D18" i="61"/>
  <c r="G18" i="61" s="1"/>
  <c r="H38" i="67" l="1"/>
  <c r="E38" i="67"/>
  <c r="H37" i="67"/>
  <c r="E37" i="67"/>
  <c r="B1" i="19" l="1"/>
  <c r="A1" i="16"/>
  <c r="A1" i="24"/>
  <c r="A1" i="65"/>
  <c r="A1" i="62"/>
  <c r="A1" i="72"/>
  <c r="A1" i="45"/>
  <c r="A1" i="44"/>
  <c r="A1" i="61"/>
  <c r="A1" i="38"/>
  <c r="A1" i="37" l="1"/>
  <c r="A1" i="71"/>
  <c r="A1" i="70"/>
  <c r="A1" i="21"/>
  <c r="A1" i="55"/>
  <c r="A1" i="67"/>
  <c r="E12" i="21" l="1"/>
  <c r="E11" i="21"/>
  <c r="E9" i="21"/>
  <c r="G25" i="67" l="1"/>
  <c r="F25" i="67"/>
  <c r="C25" i="67"/>
  <c r="G19" i="67"/>
  <c r="F19" i="67"/>
  <c r="C19" i="67"/>
  <c r="A4" i="62" l="1"/>
  <c r="H20" i="44"/>
  <c r="A4" i="61"/>
  <c r="A4" i="65" l="1"/>
  <c r="D43" i="72" l="1"/>
  <c r="G43" i="72" s="1"/>
  <c r="D42" i="72"/>
  <c r="G42" i="72" s="1"/>
  <c r="D41" i="72"/>
  <c r="G41" i="72" s="1"/>
  <c r="D40" i="72"/>
  <c r="G40" i="72" s="1"/>
  <c r="F39" i="72"/>
  <c r="E39" i="72"/>
  <c r="C39" i="72"/>
  <c r="B39" i="72"/>
  <c r="G38" i="72"/>
  <c r="D38" i="72"/>
  <c r="D37" i="72"/>
  <c r="G37" i="72" s="1"/>
  <c r="D36" i="72"/>
  <c r="G36" i="72" s="1"/>
  <c r="D35" i="72"/>
  <c r="G35" i="72" s="1"/>
  <c r="D34" i="72"/>
  <c r="G34" i="72" s="1"/>
  <c r="D33" i="72"/>
  <c r="G33" i="72" s="1"/>
  <c r="D32" i="72"/>
  <c r="G32" i="72" s="1"/>
  <c r="D31" i="72"/>
  <c r="G31" i="72" s="1"/>
  <c r="D30" i="72"/>
  <c r="G30" i="72" s="1"/>
  <c r="D29" i="72"/>
  <c r="G29" i="72" s="1"/>
  <c r="F28" i="72"/>
  <c r="E28" i="72"/>
  <c r="C28" i="72"/>
  <c r="B28" i="72"/>
  <c r="G27" i="72"/>
  <c r="D27" i="72"/>
  <c r="D26" i="72"/>
  <c r="G26" i="72" s="1"/>
  <c r="D25" i="72"/>
  <c r="G25" i="72" s="1"/>
  <c r="D24" i="72"/>
  <c r="G24" i="72" s="1"/>
  <c r="D23" i="72"/>
  <c r="G23" i="72" s="1"/>
  <c r="D22" i="72"/>
  <c r="G22" i="72" s="1"/>
  <c r="D21" i="72"/>
  <c r="G21" i="72" s="1"/>
  <c r="D20" i="72"/>
  <c r="G20" i="72" s="1"/>
  <c r="F19" i="72"/>
  <c r="E19" i="72"/>
  <c r="C19" i="72"/>
  <c r="B19" i="72"/>
  <c r="G18" i="72"/>
  <c r="D18" i="72"/>
  <c r="D17" i="72"/>
  <c r="G17" i="72" s="1"/>
  <c r="D16" i="72"/>
  <c r="G16" i="72" s="1"/>
  <c r="D15" i="72"/>
  <c r="G15" i="72" s="1"/>
  <c r="D14" i="72"/>
  <c r="G14" i="72" s="1"/>
  <c r="D13" i="72"/>
  <c r="G13" i="72" s="1"/>
  <c r="D12" i="72"/>
  <c r="G12" i="72" s="1"/>
  <c r="D11" i="72"/>
  <c r="G11" i="72" s="1"/>
  <c r="D10" i="72"/>
  <c r="G10" i="72" s="1"/>
  <c r="F9" i="72"/>
  <c r="E9" i="72"/>
  <c r="C9" i="72"/>
  <c r="B9" i="72"/>
  <c r="A4" i="72"/>
  <c r="E157" i="71"/>
  <c r="E156" i="71"/>
  <c r="H156" i="71" s="1"/>
  <c r="E155" i="71"/>
  <c r="H155" i="71" s="1"/>
  <c r="E154" i="71"/>
  <c r="H154" i="71" s="1"/>
  <c r="E153" i="71"/>
  <c r="H153" i="71" s="1"/>
  <c r="E152" i="71"/>
  <c r="E151" i="71"/>
  <c r="H151" i="71" s="1"/>
  <c r="E150" i="71"/>
  <c r="H150" i="71" s="1"/>
  <c r="G149" i="71"/>
  <c r="F149" i="71"/>
  <c r="D149" i="71"/>
  <c r="C149" i="71"/>
  <c r="E148" i="71"/>
  <c r="H148" i="71" s="1"/>
  <c r="E147" i="71"/>
  <c r="H147" i="71" s="1"/>
  <c r="E146" i="71"/>
  <c r="G145" i="71"/>
  <c r="F145" i="71"/>
  <c r="D145" i="71"/>
  <c r="C145" i="71"/>
  <c r="E144" i="71"/>
  <c r="H144" i="71" s="1"/>
  <c r="E143" i="71"/>
  <c r="H143" i="71" s="1"/>
  <c r="E142" i="71"/>
  <c r="H142" i="71" s="1"/>
  <c r="E141" i="71"/>
  <c r="H141" i="71" s="1"/>
  <c r="E140" i="71"/>
  <c r="E139" i="71"/>
  <c r="H139" i="71" s="1"/>
  <c r="E138" i="71"/>
  <c r="H138" i="71" s="1"/>
  <c r="E137" i="71"/>
  <c r="H137" i="71" s="1"/>
  <c r="G136" i="71"/>
  <c r="F136" i="71"/>
  <c r="D136" i="71"/>
  <c r="C136" i="71"/>
  <c r="E135" i="71"/>
  <c r="H135" i="71" s="1"/>
  <c r="E134" i="71"/>
  <c r="H134" i="71" s="1"/>
  <c r="E133" i="71"/>
  <c r="H133" i="71" s="1"/>
  <c r="G132" i="71"/>
  <c r="F132" i="71"/>
  <c r="D132" i="71"/>
  <c r="C132" i="71"/>
  <c r="E131" i="71"/>
  <c r="H131" i="71" s="1"/>
  <c r="E130" i="71"/>
  <c r="H130" i="71" s="1"/>
  <c r="E129" i="71"/>
  <c r="H129" i="71" s="1"/>
  <c r="E128" i="71"/>
  <c r="H128" i="71" s="1"/>
  <c r="E127" i="71"/>
  <c r="H127" i="71" s="1"/>
  <c r="E126" i="71"/>
  <c r="H126" i="71" s="1"/>
  <c r="E125" i="71"/>
  <c r="H125" i="71" s="1"/>
  <c r="E124" i="71"/>
  <c r="H124" i="71" s="1"/>
  <c r="E123" i="71"/>
  <c r="H123" i="71" s="1"/>
  <c r="G122" i="71"/>
  <c r="F122" i="71"/>
  <c r="D122" i="71"/>
  <c r="C122" i="71"/>
  <c r="E121" i="71"/>
  <c r="H121" i="71" s="1"/>
  <c r="E120" i="71"/>
  <c r="H120" i="71" s="1"/>
  <c r="E119" i="71"/>
  <c r="H119" i="71" s="1"/>
  <c r="E118" i="71"/>
  <c r="H118" i="71" s="1"/>
  <c r="E117" i="71"/>
  <c r="H117" i="71" s="1"/>
  <c r="E116" i="71"/>
  <c r="H116" i="71" s="1"/>
  <c r="E115" i="71"/>
  <c r="H115" i="71" s="1"/>
  <c r="E114" i="71"/>
  <c r="H114" i="71" s="1"/>
  <c r="E113" i="71"/>
  <c r="H113" i="71" s="1"/>
  <c r="G112" i="71"/>
  <c r="F112" i="71"/>
  <c r="D112" i="71"/>
  <c r="C112" i="71"/>
  <c r="E111" i="71"/>
  <c r="H111" i="71" s="1"/>
  <c r="E110" i="71"/>
  <c r="H110" i="71" s="1"/>
  <c r="E109" i="71"/>
  <c r="H109" i="71" s="1"/>
  <c r="E108" i="71"/>
  <c r="H108" i="71" s="1"/>
  <c r="E107" i="71"/>
  <c r="H107" i="71" s="1"/>
  <c r="E106" i="71"/>
  <c r="H106" i="71" s="1"/>
  <c r="E105" i="71"/>
  <c r="H105" i="71" s="1"/>
  <c r="E104" i="71"/>
  <c r="H104" i="71" s="1"/>
  <c r="E103" i="71"/>
  <c r="H103" i="71" s="1"/>
  <c r="G102" i="71"/>
  <c r="F102" i="71"/>
  <c r="D102" i="71"/>
  <c r="C102" i="71"/>
  <c r="E101" i="71"/>
  <c r="H101" i="71" s="1"/>
  <c r="E100" i="71"/>
  <c r="H100" i="71" s="1"/>
  <c r="E99" i="71"/>
  <c r="H99" i="71" s="1"/>
  <c r="E98" i="71"/>
  <c r="H98" i="71" s="1"/>
  <c r="E97" i="71"/>
  <c r="H97" i="71" s="1"/>
  <c r="E96" i="71"/>
  <c r="H96" i="71" s="1"/>
  <c r="E95" i="71"/>
  <c r="H95" i="71" s="1"/>
  <c r="E94" i="71"/>
  <c r="H94" i="71" s="1"/>
  <c r="E93" i="71"/>
  <c r="H93" i="71" s="1"/>
  <c r="G92" i="71"/>
  <c r="F92" i="71"/>
  <c r="D92" i="71"/>
  <c r="C92" i="71"/>
  <c r="E91" i="71"/>
  <c r="H91" i="71" s="1"/>
  <c r="E90" i="71"/>
  <c r="H90" i="71" s="1"/>
  <c r="E89" i="71"/>
  <c r="H89" i="71" s="1"/>
  <c r="E88" i="71"/>
  <c r="E87" i="71"/>
  <c r="H87" i="71" s="1"/>
  <c r="E86" i="71"/>
  <c r="H86" i="71" s="1"/>
  <c r="E85" i="71"/>
  <c r="H85" i="71" s="1"/>
  <c r="G84" i="71"/>
  <c r="F84" i="71"/>
  <c r="D84" i="71"/>
  <c r="C84" i="71"/>
  <c r="E82" i="71"/>
  <c r="H82" i="71" s="1"/>
  <c r="E81" i="71"/>
  <c r="H81" i="71" s="1"/>
  <c r="E80" i="71"/>
  <c r="H80" i="71" s="1"/>
  <c r="E79" i="71"/>
  <c r="H79" i="71" s="1"/>
  <c r="E78" i="71"/>
  <c r="H78" i="71" s="1"/>
  <c r="E77" i="71"/>
  <c r="H77" i="71" s="1"/>
  <c r="E76" i="71"/>
  <c r="H76" i="71" s="1"/>
  <c r="G75" i="71"/>
  <c r="F75" i="71"/>
  <c r="D75" i="71"/>
  <c r="C75" i="71"/>
  <c r="E74" i="71"/>
  <c r="H74" i="71" s="1"/>
  <c r="E73" i="71"/>
  <c r="H73" i="71" s="1"/>
  <c r="E72" i="71"/>
  <c r="H72" i="71" s="1"/>
  <c r="G71" i="71"/>
  <c r="F71" i="71"/>
  <c r="D71" i="71"/>
  <c r="C71" i="71"/>
  <c r="E70" i="71"/>
  <c r="H70" i="71" s="1"/>
  <c r="E69" i="71"/>
  <c r="H69" i="71" s="1"/>
  <c r="E68" i="71"/>
  <c r="H68" i="71" s="1"/>
  <c r="E67" i="71"/>
  <c r="H67" i="71" s="1"/>
  <c r="E66" i="71"/>
  <c r="H66" i="71" s="1"/>
  <c r="E65" i="71"/>
  <c r="H65" i="71" s="1"/>
  <c r="E64" i="71"/>
  <c r="H64" i="71" s="1"/>
  <c r="E63" i="71"/>
  <c r="H63" i="71" s="1"/>
  <c r="G62" i="71"/>
  <c r="F62" i="71"/>
  <c r="D62" i="71"/>
  <c r="C62" i="71"/>
  <c r="E61" i="71"/>
  <c r="H61" i="71" s="1"/>
  <c r="E60" i="71"/>
  <c r="H60" i="71" s="1"/>
  <c r="E59" i="71"/>
  <c r="H59" i="71" s="1"/>
  <c r="G58" i="71"/>
  <c r="F58" i="71"/>
  <c r="D58" i="71"/>
  <c r="C58" i="71"/>
  <c r="E57" i="71"/>
  <c r="H57" i="71" s="1"/>
  <c r="E56" i="71"/>
  <c r="H56" i="71" s="1"/>
  <c r="E55" i="71"/>
  <c r="H55" i="71" s="1"/>
  <c r="E54" i="71"/>
  <c r="H54" i="71" s="1"/>
  <c r="E53" i="71"/>
  <c r="H53" i="71" s="1"/>
  <c r="E52" i="71"/>
  <c r="E51" i="71"/>
  <c r="H51" i="71" s="1"/>
  <c r="E50" i="71"/>
  <c r="H50" i="71" s="1"/>
  <c r="E49" i="71"/>
  <c r="H49" i="71" s="1"/>
  <c r="G48" i="71"/>
  <c r="F48" i="71"/>
  <c r="D48" i="71"/>
  <c r="C48" i="71"/>
  <c r="E47" i="71"/>
  <c r="H47" i="71" s="1"/>
  <c r="E46" i="71"/>
  <c r="H46" i="71" s="1"/>
  <c r="E45" i="71"/>
  <c r="H45" i="71" s="1"/>
  <c r="E44" i="71"/>
  <c r="H44" i="71" s="1"/>
  <c r="E43" i="71"/>
  <c r="H43" i="71" s="1"/>
  <c r="E42" i="71"/>
  <c r="E41" i="71"/>
  <c r="H41" i="71" s="1"/>
  <c r="E40" i="71"/>
  <c r="H40" i="71" s="1"/>
  <c r="E39" i="71"/>
  <c r="H39" i="71" s="1"/>
  <c r="G38" i="71"/>
  <c r="F38" i="71"/>
  <c r="D38" i="71"/>
  <c r="C38" i="71"/>
  <c r="E37" i="71"/>
  <c r="H37" i="71" s="1"/>
  <c r="E36" i="71"/>
  <c r="H36" i="71" s="1"/>
  <c r="E35" i="71"/>
  <c r="H35" i="71" s="1"/>
  <c r="E34" i="71"/>
  <c r="H34" i="71" s="1"/>
  <c r="E33" i="71"/>
  <c r="H33" i="71" s="1"/>
  <c r="E32" i="71"/>
  <c r="E31" i="71"/>
  <c r="H31" i="71" s="1"/>
  <c r="E30" i="71"/>
  <c r="H30" i="71" s="1"/>
  <c r="E29" i="71"/>
  <c r="H29" i="71" s="1"/>
  <c r="G28" i="71"/>
  <c r="F28" i="71"/>
  <c r="D28" i="71"/>
  <c r="C28" i="71"/>
  <c r="E27" i="71"/>
  <c r="H27" i="71" s="1"/>
  <c r="E26" i="71"/>
  <c r="H26" i="71" s="1"/>
  <c r="E25" i="71"/>
  <c r="H25" i="71" s="1"/>
  <c r="E24" i="71"/>
  <c r="H24" i="71" s="1"/>
  <c r="E23" i="71"/>
  <c r="H23" i="71" s="1"/>
  <c r="E22" i="71"/>
  <c r="E21" i="71"/>
  <c r="H21" i="71" s="1"/>
  <c r="E20" i="71"/>
  <c r="H20" i="71" s="1"/>
  <c r="E19" i="71"/>
  <c r="H19" i="71" s="1"/>
  <c r="G18" i="71"/>
  <c r="F18" i="71"/>
  <c r="D18" i="71"/>
  <c r="C18" i="71"/>
  <c r="E17" i="71"/>
  <c r="H17" i="71" s="1"/>
  <c r="E16" i="71"/>
  <c r="H16" i="71" s="1"/>
  <c r="E15" i="71"/>
  <c r="H15" i="71" s="1"/>
  <c r="E14" i="71"/>
  <c r="H14" i="71" s="1"/>
  <c r="E13" i="71"/>
  <c r="H13" i="71" s="1"/>
  <c r="E12" i="71"/>
  <c r="H12" i="71" s="1"/>
  <c r="E11" i="71"/>
  <c r="H11" i="71" s="1"/>
  <c r="G10" i="71"/>
  <c r="F10" i="71"/>
  <c r="D10" i="71"/>
  <c r="C10" i="71"/>
  <c r="E44" i="72" l="1"/>
  <c r="D28" i="72"/>
  <c r="G28" i="72" s="1"/>
  <c r="D9" i="72"/>
  <c r="G9" i="72" s="1"/>
  <c r="C44" i="72"/>
  <c r="F9" i="71"/>
  <c r="F83" i="71"/>
  <c r="E18" i="71"/>
  <c r="E38" i="71"/>
  <c r="G83" i="71"/>
  <c r="D9" i="71"/>
  <c r="E28" i="71"/>
  <c r="H71" i="71"/>
  <c r="E145" i="71"/>
  <c r="D19" i="72"/>
  <c r="G19" i="72" s="1"/>
  <c r="D39" i="72"/>
  <c r="G39" i="72" s="1"/>
  <c r="E48" i="71"/>
  <c r="C9" i="71"/>
  <c r="G9" i="71"/>
  <c r="H58" i="71"/>
  <c r="H75" i="71"/>
  <c r="D83" i="71"/>
  <c r="H122" i="71"/>
  <c r="E71" i="71"/>
  <c r="E84" i="71"/>
  <c r="F44" i="72"/>
  <c r="H112" i="71"/>
  <c r="E58" i="71"/>
  <c r="C83" i="71"/>
  <c r="E136" i="71"/>
  <c r="E149" i="71"/>
  <c r="B44" i="72"/>
  <c r="H132" i="71"/>
  <c r="H62" i="71"/>
  <c r="H92" i="71"/>
  <c r="H10" i="71"/>
  <c r="H102" i="71"/>
  <c r="H88" i="71"/>
  <c r="H84" i="71" s="1"/>
  <c r="H140" i="71"/>
  <c r="H136" i="71" s="1"/>
  <c r="H146" i="71"/>
  <c r="H145" i="71" s="1"/>
  <c r="H152" i="71"/>
  <c r="H149" i="71" s="1"/>
  <c r="E10" i="71"/>
  <c r="E62" i="71"/>
  <c r="E92" i="71"/>
  <c r="E102" i="71"/>
  <c r="E112" i="71"/>
  <c r="E122" i="71"/>
  <c r="E132" i="71"/>
  <c r="E75" i="71"/>
  <c r="H22" i="71"/>
  <c r="H18" i="71" s="1"/>
  <c r="H32" i="71"/>
  <c r="H28" i="71" s="1"/>
  <c r="H42" i="71"/>
  <c r="H38" i="71" s="1"/>
  <c r="H52" i="71"/>
  <c r="H48" i="71" s="1"/>
  <c r="D79" i="70"/>
  <c r="G79" i="70" s="1"/>
  <c r="D78" i="70"/>
  <c r="G78" i="70" s="1"/>
  <c r="D77" i="70"/>
  <c r="G77" i="70" s="1"/>
  <c r="D76" i="70"/>
  <c r="G76" i="70" s="1"/>
  <c r="D75" i="70"/>
  <c r="G75" i="70" s="1"/>
  <c r="D74" i="70"/>
  <c r="G74" i="70" s="1"/>
  <c r="D73" i="70"/>
  <c r="G73" i="70" s="1"/>
  <c r="F72" i="70"/>
  <c r="E72" i="70"/>
  <c r="C72" i="70"/>
  <c r="B72" i="70"/>
  <c r="D71" i="70"/>
  <c r="G71" i="70" s="1"/>
  <c r="D70" i="70"/>
  <c r="G70" i="70" s="1"/>
  <c r="D69" i="70"/>
  <c r="G69" i="70" s="1"/>
  <c r="F68" i="70"/>
  <c r="E68" i="70"/>
  <c r="C68" i="70"/>
  <c r="B68" i="70"/>
  <c r="D67" i="70"/>
  <c r="G67" i="70" s="1"/>
  <c r="D66" i="70"/>
  <c r="G66" i="70" s="1"/>
  <c r="D65" i="70"/>
  <c r="G65" i="70" s="1"/>
  <c r="D64" i="70"/>
  <c r="G64" i="70" s="1"/>
  <c r="D63" i="70"/>
  <c r="G63" i="70" s="1"/>
  <c r="D62" i="70"/>
  <c r="G62" i="70" s="1"/>
  <c r="D61" i="70"/>
  <c r="G61" i="70" s="1"/>
  <c r="F60" i="70"/>
  <c r="E60" i="70"/>
  <c r="C60" i="70"/>
  <c r="B60" i="70"/>
  <c r="D59" i="70"/>
  <c r="G59" i="70" s="1"/>
  <c r="D58" i="70"/>
  <c r="G58" i="70" s="1"/>
  <c r="D57" i="70"/>
  <c r="G57" i="70" s="1"/>
  <c r="F56" i="70"/>
  <c r="E56" i="70"/>
  <c r="C56" i="70"/>
  <c r="B56" i="70"/>
  <c r="D55" i="70"/>
  <c r="G55" i="70" s="1"/>
  <c r="D54" i="70"/>
  <c r="G54" i="70" s="1"/>
  <c r="D53" i="70"/>
  <c r="G53" i="70" s="1"/>
  <c r="D52" i="70"/>
  <c r="G52" i="70" s="1"/>
  <c r="D51" i="70"/>
  <c r="G51" i="70" s="1"/>
  <c r="D50" i="70"/>
  <c r="G50" i="70" s="1"/>
  <c r="D49" i="70"/>
  <c r="G49" i="70" s="1"/>
  <c r="D48" i="70"/>
  <c r="G48" i="70" s="1"/>
  <c r="D47" i="70"/>
  <c r="G47" i="70" s="1"/>
  <c r="F46" i="70"/>
  <c r="E46" i="70"/>
  <c r="C46" i="70"/>
  <c r="B46" i="70"/>
  <c r="D45" i="70"/>
  <c r="G45" i="70" s="1"/>
  <c r="D44" i="70"/>
  <c r="G44" i="70" s="1"/>
  <c r="D43" i="70"/>
  <c r="G43" i="70" s="1"/>
  <c r="D42" i="70"/>
  <c r="G42" i="70" s="1"/>
  <c r="D41" i="70"/>
  <c r="G41" i="70" s="1"/>
  <c r="D40" i="70"/>
  <c r="G40" i="70" s="1"/>
  <c r="D39" i="70"/>
  <c r="G39" i="70" s="1"/>
  <c r="D38" i="70"/>
  <c r="G38" i="70" s="1"/>
  <c r="D37" i="70"/>
  <c r="G37" i="70" s="1"/>
  <c r="F36" i="70"/>
  <c r="E36" i="70"/>
  <c r="C36" i="70"/>
  <c r="B36" i="70"/>
  <c r="D35" i="70"/>
  <c r="G35" i="70" s="1"/>
  <c r="D34" i="70"/>
  <c r="G34" i="70" s="1"/>
  <c r="D33" i="70"/>
  <c r="G33" i="70" s="1"/>
  <c r="D32" i="70"/>
  <c r="G32" i="70" s="1"/>
  <c r="D31" i="70"/>
  <c r="G31" i="70" s="1"/>
  <c r="D30" i="70"/>
  <c r="G30" i="70" s="1"/>
  <c r="D29" i="70"/>
  <c r="G29" i="70" s="1"/>
  <c r="D28" i="70"/>
  <c r="G28" i="70" s="1"/>
  <c r="D27" i="70"/>
  <c r="G27" i="70" s="1"/>
  <c r="F26" i="70"/>
  <c r="E26" i="70"/>
  <c r="C26" i="70"/>
  <c r="B26" i="70"/>
  <c r="D25" i="70"/>
  <c r="G25" i="70" s="1"/>
  <c r="D24" i="70"/>
  <c r="G24" i="70" s="1"/>
  <c r="D23" i="70"/>
  <c r="G23" i="70" s="1"/>
  <c r="D22" i="70"/>
  <c r="G22" i="70" s="1"/>
  <c r="D21" i="70"/>
  <c r="G21" i="70" s="1"/>
  <c r="D20" i="70"/>
  <c r="G20" i="70" s="1"/>
  <c r="D19" i="70"/>
  <c r="G19" i="70" s="1"/>
  <c r="D18" i="70"/>
  <c r="G18" i="70" s="1"/>
  <c r="D17" i="70"/>
  <c r="G17" i="70" s="1"/>
  <c r="F16" i="70"/>
  <c r="E16" i="70"/>
  <c r="C16" i="70"/>
  <c r="B16" i="70"/>
  <c r="D15" i="70"/>
  <c r="G15" i="70" s="1"/>
  <c r="D14" i="70"/>
  <c r="G14" i="70" s="1"/>
  <c r="D13" i="70"/>
  <c r="G13" i="70" s="1"/>
  <c r="D12" i="70"/>
  <c r="G12" i="70" s="1"/>
  <c r="D11" i="70"/>
  <c r="G11" i="70" s="1"/>
  <c r="D10" i="70"/>
  <c r="G10" i="70" s="1"/>
  <c r="D9" i="70"/>
  <c r="G9" i="70" s="1"/>
  <c r="F8" i="70"/>
  <c r="E8" i="70"/>
  <c r="C8" i="70"/>
  <c r="B8" i="70"/>
  <c r="A4" i="70"/>
  <c r="F158" i="71" l="1"/>
  <c r="D158" i="71"/>
  <c r="G158" i="71"/>
  <c r="D68" i="70"/>
  <c r="D46" i="70"/>
  <c r="G46" i="70" s="1"/>
  <c r="D60" i="70"/>
  <c r="G60" i="70" s="1"/>
  <c r="D26" i="70"/>
  <c r="G26" i="70" s="1"/>
  <c r="D72" i="70"/>
  <c r="G72" i="70" s="1"/>
  <c r="D16" i="70"/>
  <c r="G16" i="70" s="1"/>
  <c r="D56" i="70"/>
  <c r="G56" i="70" s="1"/>
  <c r="F80" i="70"/>
  <c r="D44" i="72"/>
  <c r="C158" i="71"/>
  <c r="D36" i="70"/>
  <c r="G36" i="70" s="1"/>
  <c r="E83" i="71"/>
  <c r="H83" i="71"/>
  <c r="E9" i="71"/>
  <c r="H9" i="71"/>
  <c r="D8" i="70"/>
  <c r="G8" i="70" s="1"/>
  <c r="C80" i="70"/>
  <c r="G68" i="70"/>
  <c r="E80" i="70"/>
  <c r="B80" i="70"/>
  <c r="H44" i="72" s="1"/>
  <c r="H46" i="72" l="1"/>
  <c r="H45" i="72"/>
  <c r="H47" i="72"/>
  <c r="H158" i="71"/>
  <c r="E158" i="71"/>
  <c r="I159" i="71"/>
  <c r="I154" i="71"/>
  <c r="I155" i="71"/>
  <c r="I158" i="71"/>
  <c r="G44" i="72"/>
  <c r="D80" i="70"/>
  <c r="C5" i="24"/>
  <c r="D5" i="24" s="1"/>
  <c r="I156" i="71" l="1"/>
  <c r="G80" i="70"/>
  <c r="I66" i="55"/>
  <c r="I67" i="55"/>
  <c r="I12" i="55"/>
  <c r="H28" i="67"/>
  <c r="F66" i="55"/>
  <c r="F67" i="55"/>
  <c r="F12" i="55"/>
  <c r="E28" i="67"/>
  <c r="A3" i="67"/>
  <c r="G35" i="67"/>
  <c r="G41" i="67"/>
  <c r="C35" i="67"/>
  <c r="C41" i="67"/>
  <c r="H26" i="67"/>
  <c r="H29" i="67"/>
  <c r="H30" i="67"/>
  <c r="H31" i="67"/>
  <c r="H32" i="67"/>
  <c r="H33" i="67"/>
  <c r="H36" i="67"/>
  <c r="H39" i="67"/>
  <c r="H42" i="67"/>
  <c r="H41" i="67" s="1"/>
  <c r="F35" i="67"/>
  <c r="F41" i="67"/>
  <c r="E26" i="67"/>
  <c r="E29" i="67"/>
  <c r="E30" i="67"/>
  <c r="E31" i="67"/>
  <c r="E32" i="67"/>
  <c r="E33" i="67"/>
  <c r="E36" i="67"/>
  <c r="E39" i="67"/>
  <c r="E42" i="67"/>
  <c r="E41" i="67" s="1"/>
  <c r="D35" i="67"/>
  <c r="D41" i="67"/>
  <c r="H18" i="67"/>
  <c r="E18" i="67"/>
  <c r="H17" i="67"/>
  <c r="E17" i="67"/>
  <c r="H16" i="67"/>
  <c r="E16" i="67"/>
  <c r="H15" i="67"/>
  <c r="H14" i="67"/>
  <c r="E14" i="67"/>
  <c r="H13" i="67"/>
  <c r="E13" i="67"/>
  <c r="H12" i="67"/>
  <c r="E12" i="67"/>
  <c r="H11" i="67"/>
  <c r="E11" i="67"/>
  <c r="H10" i="67"/>
  <c r="E10" i="67"/>
  <c r="H9" i="67"/>
  <c r="E9" i="67"/>
  <c r="D30" i="65"/>
  <c r="G30" i="65" s="1"/>
  <c r="D29" i="65"/>
  <c r="G29" i="65" s="1"/>
  <c r="D28" i="65"/>
  <c r="G28" i="65" s="1"/>
  <c r="F27" i="65"/>
  <c r="F20" i="65" s="1"/>
  <c r="E27" i="65"/>
  <c r="E20" i="65" s="1"/>
  <c r="C27" i="65"/>
  <c r="C20" i="65" s="1"/>
  <c r="B27" i="65"/>
  <c r="B20" i="65" s="1"/>
  <c r="B15" i="65"/>
  <c r="B8" i="65" s="1"/>
  <c r="D26" i="65"/>
  <c r="G26" i="65" s="1"/>
  <c r="D25" i="65"/>
  <c r="G25" i="65" s="1"/>
  <c r="D24" i="65"/>
  <c r="G24" i="65" s="1"/>
  <c r="D23" i="65"/>
  <c r="G23" i="65" s="1"/>
  <c r="D21" i="65"/>
  <c r="G21" i="65" s="1"/>
  <c r="D22" i="65"/>
  <c r="D9" i="65"/>
  <c r="G9" i="65" s="1"/>
  <c r="D10" i="65"/>
  <c r="G10" i="65" s="1"/>
  <c r="D11" i="65"/>
  <c r="G11" i="65" s="1"/>
  <c r="D12" i="65"/>
  <c r="G12" i="65" s="1"/>
  <c r="D13" i="65"/>
  <c r="G13" i="65" s="1"/>
  <c r="D14" i="65"/>
  <c r="G14" i="65" s="1"/>
  <c r="D16" i="65"/>
  <c r="G16" i="65" s="1"/>
  <c r="D17" i="65"/>
  <c r="G17" i="65" s="1"/>
  <c r="D18" i="65"/>
  <c r="G18" i="65" s="1"/>
  <c r="F15" i="65"/>
  <c r="F8" i="65" s="1"/>
  <c r="E15" i="65"/>
  <c r="E8" i="65" s="1"/>
  <c r="C15" i="65"/>
  <c r="C8" i="65" s="1"/>
  <c r="I38" i="55"/>
  <c r="I37" i="55" s="1"/>
  <c r="A3" i="55"/>
  <c r="H30" i="55"/>
  <c r="G30" i="55"/>
  <c r="E30" i="55"/>
  <c r="D30" i="55"/>
  <c r="C76" i="62"/>
  <c r="D30" i="61"/>
  <c r="G30" i="61" s="1"/>
  <c r="D28" i="61"/>
  <c r="G28" i="61" s="1"/>
  <c r="D27" i="61"/>
  <c r="G27" i="61" s="1"/>
  <c r="D26" i="61"/>
  <c r="G26" i="61" s="1"/>
  <c r="D25" i="61"/>
  <c r="G25" i="61" s="1"/>
  <c r="D24" i="61"/>
  <c r="G24" i="61" s="1"/>
  <c r="D23" i="61"/>
  <c r="G23" i="61" s="1"/>
  <c r="D22" i="61"/>
  <c r="D10" i="61"/>
  <c r="G10" i="61" s="1"/>
  <c r="I78" i="55"/>
  <c r="I77" i="55"/>
  <c r="I79" i="55" s="1"/>
  <c r="I72" i="55"/>
  <c r="I71" i="55" s="1"/>
  <c r="I65" i="55"/>
  <c r="I64" i="55"/>
  <c r="I62" i="55"/>
  <c r="I61" i="55"/>
  <c r="I60" i="55"/>
  <c r="I59" i="55"/>
  <c r="I57" i="55"/>
  <c r="I56" i="55"/>
  <c r="I55" i="55"/>
  <c r="I54" i="55"/>
  <c r="I53" i="55"/>
  <c r="I52" i="55"/>
  <c r="I51" i="55"/>
  <c r="I50" i="55"/>
  <c r="I41" i="55"/>
  <c r="I40" i="55"/>
  <c r="E80" i="62"/>
  <c r="H80" i="62" s="1"/>
  <c r="E79" i="62"/>
  <c r="H79" i="62" s="1"/>
  <c r="E78" i="62"/>
  <c r="H78" i="62" s="1"/>
  <c r="E77" i="62"/>
  <c r="H77" i="62" s="1"/>
  <c r="E74" i="62"/>
  <c r="H74" i="62" s="1"/>
  <c r="E66" i="62"/>
  <c r="H66" i="62" s="1"/>
  <c r="H67" i="62"/>
  <c r="E68" i="62"/>
  <c r="H68" i="62" s="1"/>
  <c r="E69" i="62"/>
  <c r="H69" i="62" s="1"/>
  <c r="E70" i="62"/>
  <c r="H70" i="62" s="1"/>
  <c r="E71" i="62"/>
  <c r="H71" i="62" s="1"/>
  <c r="E72" i="62"/>
  <c r="H72" i="62" s="1"/>
  <c r="E73" i="62"/>
  <c r="H73" i="62" s="1"/>
  <c r="E64" i="62"/>
  <c r="H64" i="62" s="1"/>
  <c r="E63" i="62"/>
  <c r="H63" i="62" s="1"/>
  <c r="E62" i="62"/>
  <c r="H62" i="62" s="1"/>
  <c r="E61" i="62"/>
  <c r="H61" i="62" s="1"/>
  <c r="E60" i="62"/>
  <c r="H60" i="62" s="1"/>
  <c r="E59" i="62"/>
  <c r="H59" i="62" s="1"/>
  <c r="E58" i="62"/>
  <c r="E55" i="62"/>
  <c r="H55" i="62" s="1"/>
  <c r="E54" i="62"/>
  <c r="H54" i="62" s="1"/>
  <c r="E53" i="62"/>
  <c r="E52" i="62"/>
  <c r="H52" i="62" s="1"/>
  <c r="E51" i="62"/>
  <c r="H51" i="62" s="1"/>
  <c r="E50" i="62"/>
  <c r="H50" i="62" s="1"/>
  <c r="E49" i="62"/>
  <c r="H49" i="62" s="1"/>
  <c r="E48" i="62"/>
  <c r="E44" i="62"/>
  <c r="H44" i="62" s="1"/>
  <c r="E43" i="62"/>
  <c r="H43" i="62" s="1"/>
  <c r="E42" i="62"/>
  <c r="E41" i="62"/>
  <c r="H41" i="62" s="1"/>
  <c r="E38" i="62"/>
  <c r="H38" i="62" s="1"/>
  <c r="E37" i="62"/>
  <c r="H37" i="62" s="1"/>
  <c r="E36" i="62"/>
  <c r="H36" i="62" s="1"/>
  <c r="E35" i="62"/>
  <c r="E34" i="62"/>
  <c r="H34" i="62" s="1"/>
  <c r="E33" i="62"/>
  <c r="H33" i="62" s="1"/>
  <c r="E32" i="62"/>
  <c r="E31" i="62"/>
  <c r="H31" i="62" s="1"/>
  <c r="E30" i="62"/>
  <c r="E27" i="62"/>
  <c r="H27" i="62" s="1"/>
  <c r="E26" i="62"/>
  <c r="H26" i="62" s="1"/>
  <c r="E25" i="62"/>
  <c r="E24" i="62"/>
  <c r="H24" i="62" s="1"/>
  <c r="E23" i="62"/>
  <c r="H23" i="62" s="1"/>
  <c r="E21" i="62"/>
  <c r="H21" i="62" s="1"/>
  <c r="E22" i="62"/>
  <c r="H22" i="62" s="1"/>
  <c r="E18" i="62"/>
  <c r="H18" i="62" s="1"/>
  <c r="E17" i="62"/>
  <c r="H17" i="62" s="1"/>
  <c r="E16" i="62"/>
  <c r="H16" i="62" s="1"/>
  <c r="E15" i="62"/>
  <c r="H15" i="62" s="1"/>
  <c r="E14" i="62"/>
  <c r="H14" i="62" s="1"/>
  <c r="E13" i="62"/>
  <c r="H13" i="62" s="1"/>
  <c r="E11" i="62"/>
  <c r="H11" i="62" s="1"/>
  <c r="E12" i="62"/>
  <c r="F11" i="55"/>
  <c r="D17" i="55"/>
  <c r="H25" i="62"/>
  <c r="H32" i="62"/>
  <c r="H35" i="62"/>
  <c r="H42" i="62"/>
  <c r="H48" i="62"/>
  <c r="H53" i="62"/>
  <c r="H58" i="62"/>
  <c r="C10" i="62"/>
  <c r="C20" i="62"/>
  <c r="C29" i="62"/>
  <c r="C40" i="62"/>
  <c r="C47" i="62"/>
  <c r="C57" i="62"/>
  <c r="C65" i="62"/>
  <c r="G10" i="62"/>
  <c r="G20" i="62"/>
  <c r="G29" i="62"/>
  <c r="G40" i="62"/>
  <c r="G47" i="62"/>
  <c r="G57" i="62"/>
  <c r="G65" i="62"/>
  <c r="G76" i="62"/>
  <c r="F10" i="62"/>
  <c r="F20" i="62"/>
  <c r="F29" i="62"/>
  <c r="F40" i="62"/>
  <c r="F47" i="62"/>
  <c r="F57" i="62"/>
  <c r="F65" i="62"/>
  <c r="F76" i="62"/>
  <c r="D10" i="62"/>
  <c r="D20" i="62"/>
  <c r="D29" i="62"/>
  <c r="D40" i="62"/>
  <c r="D47" i="62"/>
  <c r="D57" i="62"/>
  <c r="D65" i="62"/>
  <c r="D76" i="62"/>
  <c r="C9" i="61"/>
  <c r="C21" i="61"/>
  <c r="C31" i="38"/>
  <c r="B31" i="38"/>
  <c r="H31" i="38" s="1"/>
  <c r="F9" i="61"/>
  <c r="F21" i="61"/>
  <c r="F31" i="38"/>
  <c r="E21" i="61"/>
  <c r="B21" i="61"/>
  <c r="E9" i="61"/>
  <c r="B9" i="61"/>
  <c r="F10" i="55"/>
  <c r="H39" i="55"/>
  <c r="G39" i="55"/>
  <c r="E39" i="55"/>
  <c r="D39" i="55"/>
  <c r="E17" i="55"/>
  <c r="H17" i="55"/>
  <c r="G17" i="55"/>
  <c r="I36" i="55"/>
  <c r="I35" i="55"/>
  <c r="I34" i="55"/>
  <c r="I33" i="55"/>
  <c r="I32" i="55"/>
  <c r="I31" i="55"/>
  <c r="I29" i="55"/>
  <c r="I28" i="55"/>
  <c r="I27" i="55"/>
  <c r="I26" i="55"/>
  <c r="I25" i="55"/>
  <c r="I24" i="55"/>
  <c r="I23" i="55"/>
  <c r="I22" i="55"/>
  <c r="I21" i="55"/>
  <c r="I20" i="55"/>
  <c r="I19" i="55"/>
  <c r="I16" i="55"/>
  <c r="I15" i="55"/>
  <c r="I14" i="55"/>
  <c r="I13" i="55"/>
  <c r="I11" i="55"/>
  <c r="I10" i="55"/>
  <c r="F64" i="55"/>
  <c r="F63" i="55" s="1"/>
  <c r="F50" i="55"/>
  <c r="F51" i="55"/>
  <c r="F49" i="55" s="1"/>
  <c r="F52" i="55"/>
  <c r="F53" i="55"/>
  <c r="F54" i="55"/>
  <c r="F55" i="55"/>
  <c r="F56" i="55"/>
  <c r="F57" i="55"/>
  <c r="F58" i="55"/>
  <c r="F41" i="55"/>
  <c r="F40" i="55"/>
  <c r="F38" i="55"/>
  <c r="F37" i="55" s="1"/>
  <c r="F32" i="55"/>
  <c r="F33" i="55"/>
  <c r="F34" i="55"/>
  <c r="F35" i="55"/>
  <c r="F36" i="55"/>
  <c r="F13" i="55"/>
  <c r="F14" i="55"/>
  <c r="F15" i="55"/>
  <c r="F16" i="55"/>
  <c r="F19" i="55"/>
  <c r="F20" i="55"/>
  <c r="F21" i="55"/>
  <c r="F22" i="55"/>
  <c r="F23" i="55"/>
  <c r="F24" i="55"/>
  <c r="F25" i="55"/>
  <c r="F26" i="55"/>
  <c r="F27" i="55"/>
  <c r="F28" i="55"/>
  <c r="F29" i="55"/>
  <c r="F71" i="55"/>
  <c r="D79" i="55"/>
  <c r="E79" i="55"/>
  <c r="F78" i="55"/>
  <c r="F77" i="55"/>
  <c r="H79" i="55"/>
  <c r="H71" i="55"/>
  <c r="H49" i="55"/>
  <c r="H58" i="55"/>
  <c r="H63" i="55"/>
  <c r="H37" i="55"/>
  <c r="G79" i="55"/>
  <c r="G71" i="55"/>
  <c r="G63" i="55"/>
  <c r="G58" i="55"/>
  <c r="G49" i="55"/>
  <c r="G37" i="55"/>
  <c r="E71" i="55"/>
  <c r="E63" i="55"/>
  <c r="E58" i="55"/>
  <c r="E49" i="55"/>
  <c r="E37" i="55"/>
  <c r="D71" i="55"/>
  <c r="D37" i="55"/>
  <c r="D49" i="55"/>
  <c r="D58" i="55"/>
  <c r="D63" i="55"/>
  <c r="D8" i="38"/>
  <c r="G8" i="38" s="1"/>
  <c r="D9" i="38"/>
  <c r="G9" i="38" s="1"/>
  <c r="D10" i="38"/>
  <c r="G10" i="38" s="1"/>
  <c r="D11" i="38"/>
  <c r="G11" i="38" s="1"/>
  <c r="D12" i="38"/>
  <c r="G12" i="38" s="1"/>
  <c r="D13" i="38"/>
  <c r="G13" i="38" s="1"/>
  <c r="D14" i="38"/>
  <c r="G14" i="38" s="1"/>
  <c r="D15" i="38"/>
  <c r="G15" i="38" s="1"/>
  <c r="D16" i="38"/>
  <c r="G16" i="38" s="1"/>
  <c r="D17" i="38"/>
  <c r="D25" i="38"/>
  <c r="D26" i="38"/>
  <c r="D27" i="38"/>
  <c r="D28" i="38"/>
  <c r="D29" i="38"/>
  <c r="D30" i="38"/>
  <c r="D18" i="38"/>
  <c r="D19" i="38"/>
  <c r="D20" i="38"/>
  <c r="D21" i="38"/>
  <c r="D22" i="38"/>
  <c r="D23" i="38"/>
  <c r="D24" i="38"/>
  <c r="B3" i="19"/>
  <c r="A3" i="16"/>
  <c r="A4" i="45"/>
  <c r="A4" i="44"/>
  <c r="A4" i="38"/>
  <c r="A4" i="37"/>
  <c r="A3" i="24"/>
  <c r="A3" i="21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17" i="38"/>
  <c r="F22" i="45"/>
  <c r="H26" i="45" s="1"/>
  <c r="E22" i="45"/>
  <c r="H25" i="45" s="1"/>
  <c r="C22" i="45"/>
  <c r="H23" i="45" s="1"/>
  <c r="B22" i="45"/>
  <c r="H22" i="45" s="1"/>
  <c r="C8" i="24"/>
  <c r="C32" i="24"/>
  <c r="D34" i="24"/>
  <c r="D31" i="19"/>
  <c r="D19" i="19"/>
  <c r="C31" i="19"/>
  <c r="C19" i="19"/>
  <c r="E29" i="16"/>
  <c r="E28" i="16"/>
  <c r="E27" i="16"/>
  <c r="E26" i="16"/>
  <c r="E25" i="16"/>
  <c r="E24" i="16"/>
  <c r="E23" i="16"/>
  <c r="E22" i="16"/>
  <c r="E21" i="16"/>
  <c r="E20" i="16"/>
  <c r="E9" i="16"/>
  <c r="E10" i="16"/>
  <c r="E11" i="16"/>
  <c r="E12" i="16"/>
  <c r="E13" i="16"/>
  <c r="E14" i="16"/>
  <c r="E15" i="16"/>
  <c r="E16" i="16"/>
  <c r="E17" i="16"/>
  <c r="E8" i="16"/>
  <c r="D30" i="16"/>
  <c r="D18" i="16"/>
  <c r="C30" i="16"/>
  <c r="C18" i="16"/>
  <c r="G10" i="45"/>
  <c r="G12" i="45"/>
  <c r="G14" i="45"/>
  <c r="G16" i="45"/>
  <c r="G18" i="45"/>
  <c r="G20" i="45"/>
  <c r="D10" i="45"/>
  <c r="D11" i="45"/>
  <c r="G11" i="45" s="1"/>
  <c r="D12" i="45"/>
  <c r="D13" i="45"/>
  <c r="G13" i="45" s="1"/>
  <c r="D14" i="45"/>
  <c r="D15" i="45"/>
  <c r="G15" i="45" s="1"/>
  <c r="D16" i="45"/>
  <c r="D17" i="45"/>
  <c r="G17" i="45" s="1"/>
  <c r="D18" i="45"/>
  <c r="D19" i="45"/>
  <c r="G19" i="45" s="1"/>
  <c r="D20" i="45"/>
  <c r="D21" i="45"/>
  <c r="G21" i="45" s="1"/>
  <c r="D9" i="45"/>
  <c r="G9" i="45" s="1"/>
  <c r="F14" i="44"/>
  <c r="H18" i="44" s="1"/>
  <c r="E14" i="44"/>
  <c r="H17" i="44" s="1"/>
  <c r="C14" i="44"/>
  <c r="H15" i="44" s="1"/>
  <c r="B14" i="44"/>
  <c r="H14" i="44" s="1"/>
  <c r="D10" i="44"/>
  <c r="G10" i="44" s="1"/>
  <c r="D11" i="44"/>
  <c r="G11" i="44" s="1"/>
  <c r="D12" i="44"/>
  <c r="G12" i="44" s="1"/>
  <c r="D9" i="44"/>
  <c r="G9" i="44" s="1"/>
  <c r="E31" i="38"/>
  <c r="F14" i="37"/>
  <c r="E14" i="37"/>
  <c r="C14" i="37"/>
  <c r="B14" i="37"/>
  <c r="H14" i="37" s="1"/>
  <c r="D12" i="37"/>
  <c r="G12" i="37" s="1"/>
  <c r="D11" i="37"/>
  <c r="G11" i="37" s="1"/>
  <c r="D10" i="37"/>
  <c r="G10" i="37" s="1"/>
  <c r="D9" i="37"/>
  <c r="G9" i="37" s="1"/>
  <c r="D8" i="37"/>
  <c r="G8" i="37" s="1"/>
  <c r="D8" i="21"/>
  <c r="D17" i="21"/>
  <c r="E25" i="67" l="1"/>
  <c r="F79" i="55"/>
  <c r="H35" i="38"/>
  <c r="H34" i="38"/>
  <c r="H32" i="38"/>
  <c r="F69" i="55"/>
  <c r="E57" i="62"/>
  <c r="D46" i="62"/>
  <c r="C9" i="62"/>
  <c r="I49" i="55"/>
  <c r="E43" i="55"/>
  <c r="H28" i="37"/>
  <c r="H18" i="37"/>
  <c r="H25" i="37"/>
  <c r="H15" i="37"/>
  <c r="H27" i="37"/>
  <c r="H17" i="37"/>
  <c r="I157" i="71"/>
  <c r="I39" i="55"/>
  <c r="E69" i="55"/>
  <c r="F30" i="55"/>
  <c r="I17" i="55"/>
  <c r="I30" i="55"/>
  <c r="D9" i="62"/>
  <c r="H20" i="62"/>
  <c r="E47" i="62"/>
  <c r="F17" i="55"/>
  <c r="I63" i="55"/>
  <c r="C31" i="16"/>
  <c r="H57" i="62"/>
  <c r="F9" i="62"/>
  <c r="G46" i="62"/>
  <c r="G9" i="62"/>
  <c r="C46" i="62"/>
  <c r="C82" i="62" s="1"/>
  <c r="I82" i="62" s="1"/>
  <c r="H25" i="67"/>
  <c r="E19" i="67"/>
  <c r="H35" i="67"/>
  <c r="C41" i="24"/>
  <c r="E40" i="62"/>
  <c r="D22" i="45"/>
  <c r="H24" i="45" s="1"/>
  <c r="B32" i="61"/>
  <c r="H32" i="61" s="1"/>
  <c r="I58" i="55"/>
  <c r="E65" i="62"/>
  <c r="D31" i="16"/>
  <c r="D32" i="19"/>
  <c r="E20" i="62"/>
  <c r="G9" i="61"/>
  <c r="D5" i="21"/>
  <c r="D44" i="67"/>
  <c r="F44" i="67"/>
  <c r="G27" i="65"/>
  <c r="F39" i="55"/>
  <c r="D31" i="38"/>
  <c r="C32" i="61"/>
  <c r="H33" i="61" s="1"/>
  <c r="F46" i="62"/>
  <c r="G15" i="65"/>
  <c r="G8" i="65" s="1"/>
  <c r="D27" i="65"/>
  <c r="D20" i="65" s="1"/>
  <c r="C44" i="67"/>
  <c r="G44" i="67"/>
  <c r="H48" i="72"/>
  <c r="E10" i="62"/>
  <c r="D14" i="44"/>
  <c r="H16" i="44" s="1"/>
  <c r="D9" i="61"/>
  <c r="H40" i="62"/>
  <c r="H47" i="62"/>
  <c r="H76" i="62"/>
  <c r="A4" i="71"/>
  <c r="F31" i="65"/>
  <c r="G22" i="61"/>
  <c r="G21" i="61" s="1"/>
  <c r="D21" i="61"/>
  <c r="E76" i="62"/>
  <c r="E18" i="16"/>
  <c r="H30" i="62"/>
  <c r="H29" i="62" s="1"/>
  <c r="E29" i="62"/>
  <c r="E30" i="16"/>
  <c r="F32" i="61"/>
  <c r="H36" i="61" s="1"/>
  <c r="D69" i="55"/>
  <c r="G43" i="55"/>
  <c r="C32" i="19"/>
  <c r="G69" i="55"/>
  <c r="H69" i="55"/>
  <c r="H43" i="55"/>
  <c r="E32" i="61"/>
  <c r="D43" i="55"/>
  <c r="C31" i="65"/>
  <c r="B31" i="65"/>
  <c r="E31" i="65"/>
  <c r="E35" i="67"/>
  <c r="H65" i="62"/>
  <c r="D14" i="37"/>
  <c r="D15" i="65"/>
  <c r="D8" i="65" s="1"/>
  <c r="G22" i="65"/>
  <c r="H12" i="62"/>
  <c r="H10" i="62" s="1"/>
  <c r="H33" i="38" l="1"/>
  <c r="D82" i="62"/>
  <c r="I83" i="62" s="1"/>
  <c r="E74" i="55"/>
  <c r="J80" i="55" s="1"/>
  <c r="G22" i="45"/>
  <c r="H27" i="45" s="1"/>
  <c r="F43" i="55"/>
  <c r="F74" i="55" s="1"/>
  <c r="J81" i="55" s="1"/>
  <c r="G82" i="62"/>
  <c r="I86" i="62" s="1"/>
  <c r="I69" i="55"/>
  <c r="I43" i="55"/>
  <c r="F82" i="62"/>
  <c r="I85" i="62" s="1"/>
  <c r="H26" i="37"/>
  <c r="H16" i="37"/>
  <c r="H45" i="67"/>
  <c r="H20" i="67"/>
  <c r="H19" i="67"/>
  <c r="E5" i="21"/>
  <c r="D42" i="24"/>
  <c r="G32" i="61"/>
  <c r="D31" i="65"/>
  <c r="D22" i="21"/>
  <c r="H74" i="55"/>
  <c r="J83" i="55" s="1"/>
  <c r="H44" i="67"/>
  <c r="G20" i="65"/>
  <c r="G31" i="65" s="1"/>
  <c r="E46" i="62"/>
  <c r="D74" i="55"/>
  <c r="J79" i="55" s="1"/>
  <c r="E9" i="62"/>
  <c r="E44" i="67"/>
  <c r="G74" i="55"/>
  <c r="J82" i="55" s="1"/>
  <c r="G31" i="38"/>
  <c r="G14" i="44"/>
  <c r="H19" i="44" s="1"/>
  <c r="H9" i="62"/>
  <c r="I46" i="55"/>
  <c r="E31" i="16"/>
  <c r="H46" i="62"/>
  <c r="D32" i="61"/>
  <c r="G14" i="37"/>
  <c r="H29" i="37" s="1"/>
  <c r="E22" i="21" l="1"/>
  <c r="D24" i="21"/>
  <c r="H36" i="38"/>
  <c r="I74" i="55"/>
  <c r="J90" i="55" s="1"/>
  <c r="J86" i="55"/>
  <c r="J87" i="55"/>
  <c r="J89" i="55"/>
  <c r="E82" i="62"/>
  <c r="J84" i="55"/>
  <c r="H82" i="62"/>
  <c r="I87" i="62" s="1"/>
  <c r="J88" i="55"/>
  <c r="J85" i="55"/>
  <c r="H37" i="61"/>
  <c r="H34" i="61"/>
  <c r="H35" i="61"/>
  <c r="H21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G20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Evaluación:
</t>
        </r>
        <r>
          <rPr>
            <sz val="9"/>
            <color indexed="81"/>
            <rFont val="Tahoma"/>
            <family val="2"/>
          </rPr>
          <t xml:space="preserve">Total Ingreso Recaudado Anual - Total Ingreso Estimado Anual
</t>
        </r>
      </text>
    </comment>
    <comment ref="G45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Evaluación:
Total Ingreso Recaudado Anual - Total Ingreso Estimado Anual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D5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EVALUACIÓN:
VERIFICA QUE COINCIDAN LAS CANTIDADES  DE TOTAL DE INGRESOS CON LO REPORTADO EN EL FORMATO ETCA-II-01 EN EL TOTAL DE LA COLUMNA DE TOTAL DE INGRESOS DEVENGADO ANUAL (4)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EVALUACIÓN:
VERIFICA QUE COINCIDAN LAS CANTIDADES  DE TOTAL DE INGRESOS CON LO REPORTADO EN EL FORMATO ETCA-I-03 EN EL MISMO RUBRO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C5" authorId="0" shapeId="0" xr:uid="{00000000-0006-0000-1B00-000001000000}">
      <text>
        <r>
          <rPr>
            <b/>
            <sz val="9"/>
            <color indexed="81"/>
            <rFont val="Tahoma"/>
            <family val="2"/>
          </rPr>
          <t>EVALUACIÓN:
VERIFICA QUE COINCIDAN LAS CANTIDADES  DE TOTAL DE EGRESOS CON LO REPORTADO EN EL FORMATO ETCA-II-04 EN EL TOTAL DE LA COLUMNA DE EGRESOS DEVENGADO ANUAL.</t>
        </r>
      </text>
    </comment>
    <comment ref="C41" authorId="0" shapeId="0" xr:uid="{00000000-0006-0000-1B00-000002000000}">
      <text>
        <r>
          <rPr>
            <b/>
            <sz val="9"/>
            <color indexed="81"/>
            <rFont val="Tahoma"/>
            <family val="2"/>
          </rPr>
          <t>EVALUACIÓN:
VERIFICA QUE COINCIDAN LAS CANTIDADES  DEL TOTAL GASTO CONTABLE CON LO REPORTADO EN EL FORMATO ETCA-I-03 EN EL TOTAL DE GASTOS Y OTRAS PÉRDIDAS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<sst xmlns="http://schemas.openxmlformats.org/spreadsheetml/2006/main" count="1200" uniqueCount="791">
  <si>
    <t>Estado Analítico de Ingresos</t>
  </si>
  <si>
    <t>Conciliacion entre los Egresos Presupuestarios y los Gastos Contables</t>
  </si>
  <si>
    <t>Activos Intangibles</t>
  </si>
  <si>
    <t>Aportaciones</t>
  </si>
  <si>
    <t>"Bajo protesta de decir verdad declaramos que los Estados Financieros y sus Notas, son razonablemente correctos y son responsabilidad del emisor"</t>
  </si>
  <si>
    <t>(PESOS)</t>
  </si>
  <si>
    <t>Concepto (c)</t>
  </si>
  <si>
    <t>Impuestos</t>
  </si>
  <si>
    <t>Cuotas y Aportaciones de Seguridad Social</t>
  </si>
  <si>
    <t>Derechos</t>
  </si>
  <si>
    <t>Participaciones y Aportaciones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</si>
  <si>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</si>
  <si>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</si>
  <si>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</si>
  <si>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</si>
  <si>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</si>
  <si>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</si>
  <si>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</si>
  <si>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</si>
  <si>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</si>
  <si>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</si>
  <si>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</si>
  <si>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</si>
  <si>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</si>
  <si>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</si>
  <si>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</si>
  <si>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</si>
  <si>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</si>
  <si>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</si>
  <si>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</si>
  <si>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</si>
  <si>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</si>
  <si>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</si>
  <si>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</si>
  <si>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</si>
  <si>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</si>
  <si>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</si>
  <si>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</si>
  <si>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 </t>
  </si>
  <si>
    <t>Concepto</t>
  </si>
  <si>
    <t>Total</t>
  </si>
  <si>
    <t>Endeudamiento Neto</t>
  </si>
  <si>
    <t>Ampliaciones y Reducciones           (+ ó -)</t>
  </si>
  <si>
    <t>Diferencia</t>
  </si>
  <si>
    <t>(1)</t>
  </si>
  <si>
    <t>(2)</t>
  </si>
  <si>
    <t>(3= 1 +2)</t>
  </si>
  <si>
    <t>(4)</t>
  </si>
  <si>
    <t>(5)</t>
  </si>
  <si>
    <t>(6= 5 - 1 )</t>
  </si>
  <si>
    <t>Contribuciones de Mejoras</t>
  </si>
  <si>
    <t>Productos</t>
  </si>
  <si>
    <t>Aprovechamientos</t>
  </si>
  <si>
    <t>Ingresos Derivados de Financiamientos</t>
  </si>
  <si>
    <t xml:space="preserve">Impuestos </t>
  </si>
  <si>
    <t>Capital</t>
  </si>
  <si>
    <t>Transferencias, Asignaciones, Subsidios y Otras Ayudas</t>
  </si>
  <si>
    <t>Ingresos  derivados de Financiamiento</t>
  </si>
  <si>
    <t>Los Ingresos Excedentes  se presentan para efectos de cumplimiento de la Ley de Ingresos del Estado y Ley de Contabilidad Gubernamental.</t>
  </si>
  <si>
    <t>El importe reflejado siempre debe ser mayor a cero. Nunca en rojo.</t>
  </si>
  <si>
    <t>Estado Analítico de Ingresos Detallado – LDF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</si>
  <si>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</si>
  <si>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</si>
  <si>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</si>
  <si>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</si>
  <si>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</si>
  <si>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</si>
  <si>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</si>
  <si>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</si>
  <si>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</si>
  <si>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</si>
  <si>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</si>
  <si>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</si>
  <si>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</si>
  <si>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</si>
  <si>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</si>
  <si>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</si>
  <si>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</si>
  <si>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</si>
  <si>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</si>
  <si>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</si>
  <si>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</si>
  <si>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</si>
  <si>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</si>
  <si>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</si>
  <si>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</si>
  <si>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</si>
  <si>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</si>
  <si>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</si>
  <si>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</si>
  <si>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</si>
  <si>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</si>
  <si>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</si>
  <si>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</si>
  <si>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</si>
  <si>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</si>
  <si>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</si>
  <si>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</si>
  <si>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</si>
  <si>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</si>
  <si>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 xml:space="preserve">I. Total de Ingresos de Libre Disposición                                                 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</si>
  <si>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</si>
  <si>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</si>
  <si>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</si>
  <si>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</si>
  <si>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</si>
  <si>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</si>
  <si>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</si>
  <si>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</si>
  <si>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</si>
  <si>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</si>
  <si>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</si>
  <si>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</si>
  <si>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</si>
  <si>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</si>
  <si>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</si>
  <si>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</si>
  <si>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</si>
  <si>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</si>
  <si>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</si>
  <si>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</si>
  <si>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</si>
  <si>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</si>
  <si>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</si>
  <si>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</si>
  <si>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</si>
  <si>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</si>
  <si>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</si>
  <si>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</si>
  <si>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</si>
  <si>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Conciliacion entre los Ingresos Presupuestarios y Contables</t>
  </si>
  <si>
    <t>Estado Analítico del Ejercicio Presupuesto de Egresos</t>
  </si>
  <si>
    <t>Clasificación por Objeto del Gasto (Capítulo y Concepto)</t>
  </si>
  <si>
    <t>Ejercicio del Presupuesto por
Capítulo del Gasto</t>
  </si>
  <si>
    <t>Egresos Aprobado   Anual</t>
  </si>
  <si>
    <t>Egresos Modificado   Anual</t>
  </si>
  <si>
    <t>Egresos Devengado Acumulado</t>
  </si>
  <si>
    <t>Egresos Pagado     Acumulado</t>
  </si>
  <si>
    <t>Subejercicio</t>
  </si>
  <si>
    <t>(3=1+2)</t>
  </si>
  <si>
    <t>( 6 = 3 - 4 )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</si>
  <si>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</si>
  <si>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</si>
  <si>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</si>
  <si>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</si>
  <si>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</si>
  <si>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</si>
  <si>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</si>
  <si>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</si>
  <si>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</si>
  <si>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</si>
  <si>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</si>
  <si>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</si>
  <si>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</si>
  <si>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</si>
  <si>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</si>
  <si>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</si>
  <si>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</si>
  <si>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</si>
  <si>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</si>
  <si>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</si>
  <si>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</si>
  <si>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</si>
  <si>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</si>
  <si>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</si>
  <si>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</si>
  <si>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</si>
  <si>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</si>
  <si>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</si>
  <si>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</si>
  <si>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</si>
  <si>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</si>
  <si>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</si>
  <si>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</si>
  <si>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</si>
  <si>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</si>
  <si>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</si>
  <si>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</si>
  <si>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</si>
  <si>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</si>
  <si>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</si>
  <si>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</si>
  <si>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</si>
  <si>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</si>
  <si>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</si>
  <si>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</si>
  <si>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</si>
  <si>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</si>
  <si>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</si>
  <si>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</si>
  <si>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Total del Gasto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</si>
  <si>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</si>
  <si>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</si>
  <si>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</si>
  <si>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</si>
  <si>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</si>
  <si>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</si>
  <si>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</si>
  <si>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</si>
  <si>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</si>
  <si>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</si>
  <si>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</si>
  <si>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</si>
  <si>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</si>
  <si>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</si>
  <si>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</si>
  <si>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</si>
  <si>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</si>
  <si>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</si>
  <si>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</si>
  <si>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</si>
  <si>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</si>
  <si>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</si>
  <si>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</si>
  <si>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</si>
  <si>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</si>
  <si>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</si>
  <si>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</si>
  <si>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</si>
  <si>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</si>
  <si>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</si>
  <si>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</si>
  <si>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</si>
  <si>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</si>
  <si>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</si>
  <si>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</si>
  <si>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</si>
  <si>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</si>
  <si>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</si>
  <si>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</si>
  <si>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</si>
  <si>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</si>
  <si>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</si>
  <si>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</si>
  <si>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</si>
  <si>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</si>
  <si>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</si>
  <si>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</si>
  <si>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</si>
  <si>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</si>
  <si>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</si>
  <si>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</si>
  <si>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</si>
  <si>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</si>
  <si>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</si>
  <si>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</si>
  <si>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</si>
  <si>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</si>
  <si>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</si>
  <si>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</si>
  <si>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</si>
  <si>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</si>
  <si>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</si>
  <si>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</si>
  <si>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</si>
  <si>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</si>
  <si>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</si>
  <si>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</si>
  <si>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</si>
  <si>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</si>
  <si>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</si>
  <si>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</si>
  <si>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</si>
  <si>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</si>
  <si>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</si>
  <si>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</si>
  <si>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</si>
  <si>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</si>
  <si>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</si>
  <si>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</si>
  <si>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</si>
  <si>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</si>
  <si>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</si>
  <si>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</si>
  <si>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</si>
  <si>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Económica (por Tipo de Gasto)</t>
  </si>
  <si>
    <t>Gasto Corriente</t>
  </si>
  <si>
    <t>Gasto de Capital</t>
  </si>
  <si>
    <t>Amortización del la Deuda y Disminución de Pasivos</t>
  </si>
  <si>
    <t>A continuación se conceptualizan las siguientes categorías:</t>
  </si>
  <si>
    <t>1. Gasto Corriente</t>
  </si>
  <si>
    <t>Son los gastos de consumo y/o de operación, el arrendamiento de la propiedad y las transferencias otorgadas a los otros componentes institucionales del sistema económico para financiar gastos de esas características.</t>
  </si>
  <si>
    <t>2. Gasto de Capital</t>
  </si>
  <si>
    <t>Son los gastos destinados a la inversión de capital y las transferencias a los otros componentes institucionales del sistema económico que se efectúan para financiar gastos de éstos con tal propósito.</t>
  </si>
  <si>
    <t>3. Amortización de la deuda y disminución de pasivos</t>
  </si>
  <si>
    <t>Comprende la amortización de la deuda adquirida y disminución de pasivos con el sector privado, público y externo.</t>
  </si>
  <si>
    <t>4. Pensiones y Jubilaciones</t>
  </si>
  <si>
    <t>Son los gastos destinados para el pago a pensionistas y jubilados o a sus familiares, que cubren los gobiernos Federal, Estatal y Municipal, o bien el Instituto de Seguridad Social correspondiente.</t>
  </si>
  <si>
    <t>Punto Adicionado DOF 30-09-2015</t>
  </si>
  <si>
    <t xml:space="preserve">5. Participaciones </t>
  </si>
  <si>
    <t>Son los gastos destinados a cubrir las participaciones para las entidades federativas y/o los municipios.</t>
  </si>
  <si>
    <t>Clasificación Administrativa (Por Unidad Administrativa)</t>
  </si>
  <si>
    <t>Clasificación Administrativa</t>
  </si>
  <si>
    <t>Pagado</t>
  </si>
  <si>
    <t>I. Gasto No Etiquetado</t>
  </si>
  <si>
    <t>(I=A+B+C+D+E+F+G+H)</t>
  </si>
  <si>
    <t>II. Gasto Etiquetado</t>
  </si>
  <si>
    <t>(II=A+B+C+D+E+F+G+H)</t>
  </si>
  <si>
    <t>Clasificación Administrativa (Por Poderes)</t>
  </si>
  <si>
    <t>Poder Ejecutivo</t>
  </si>
  <si>
    <t>Poder Legislativo</t>
  </si>
  <si>
    <t>Poder Judicial</t>
  </si>
  <si>
    <t>Órganos Autónomos</t>
  </si>
  <si>
    <t>Clasificación Administrativa (Por Tipo de Organismos o Entidad Paraestatal)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</si>
  <si>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</si>
  <si>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</si>
  <si>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</si>
  <si>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</si>
  <si>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</si>
  <si>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</si>
  <si>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</si>
  <si>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Clasificación Funcional (Finalidad y Función)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</si>
  <si>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</si>
  <si>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</si>
  <si>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</si>
  <si>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</si>
  <si>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</si>
  <si>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</si>
  <si>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</si>
  <si>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Seguridad Interior</t>
  </si>
  <si>
    <t>Desarrollo Social</t>
  </si>
  <si>
    <t>Protección Ambiental</t>
  </si>
  <si>
    <t>Viviendas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</si>
  <si>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</si>
  <si>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</si>
  <si>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</si>
  <si>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</si>
  <si>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</si>
  <si>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</si>
  <si>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</si>
  <si>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</si>
  <si>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</si>
  <si>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</si>
  <si>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</si>
  <si>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</si>
  <si>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</si>
  <si>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Tencología e Innovación</t>
  </si>
  <si>
    <t>Otras Industrias y Otros Asuntos Económicos</t>
  </si>
  <si>
    <t>Otras No Clasificadas en funciones anteriores</t>
  </si>
  <si>
    <t>Transacdciones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</si>
  <si>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</si>
  <si>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</si>
  <si>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</si>
  <si>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</si>
  <si>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</si>
  <si>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</si>
  <si>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</si>
  <si>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</si>
  <si>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</si>
  <si>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</si>
  <si>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</si>
  <si>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</si>
  <si>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</si>
  <si>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</si>
  <si>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</si>
  <si>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</si>
  <si>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</si>
  <si>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</si>
  <si>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</si>
  <si>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</si>
  <si>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</si>
  <si>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</si>
  <si>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</si>
  <si>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</si>
  <si>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</si>
  <si>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</si>
  <si>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</si>
  <si>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</si>
  <si>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</si>
  <si>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</si>
  <si>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</si>
  <si>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</si>
  <si>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</si>
  <si>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</si>
  <si>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</si>
  <si>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</si>
  <si>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</si>
  <si>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Por Partida del Gasto</t>
  </si>
  <si>
    <t>Estado Analítico del Ejercicio de Presupuesto de Egresos- Detallado – LDF</t>
  </si>
  <si>
    <t>(Clasificación de Servicios Personales por Categoría)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</si>
  <si>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</si>
  <si>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</si>
  <si>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</si>
  <si>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</si>
  <si>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</si>
  <si>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</si>
  <si>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</si>
  <si>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</si>
  <si>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</si>
  <si>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</si>
  <si>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</si>
  <si>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</si>
  <si>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</si>
  <si>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</si>
  <si>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1. Total de Egresos Presupuestarios</t>
  </si>
  <si>
    <t>Otros Egresos Presupuestales No Contables</t>
  </si>
  <si>
    <t>Otros Gastos Contables No Presupuestales</t>
  </si>
  <si>
    <t>4. Total de Gasto Contable  (4=  1  -  2  +  3 )</t>
  </si>
  <si>
    <t xml:space="preserve">                                                  (pesos)</t>
  </si>
  <si>
    <t>Identificacion del crédito o Instrumento</t>
  </si>
  <si>
    <t>Contratacion / Colocación</t>
  </si>
  <si>
    <t>Amortización</t>
  </si>
  <si>
    <t>A</t>
  </si>
  <si>
    <t>B</t>
  </si>
  <si>
    <t>C=A-B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</si>
  <si>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</si>
  <si>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</si>
  <si>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</si>
  <si>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</si>
  <si>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</si>
  <si>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</si>
  <si>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Total de Interéses Créditos Bancarios</t>
  </si>
  <si>
    <t>Total Intereses Otros Instrumentos de Deuda</t>
  </si>
  <si>
    <t>Ingresos Finanacieros</t>
  </si>
  <si>
    <t xml:space="preserve">Aprovechamientos Patrimoniales </t>
  </si>
  <si>
    <t>1. Total de Ingresos Presupuestarios</t>
  </si>
  <si>
    <t>2.Mas Ingresos contables No Presupuestarios</t>
  </si>
  <si>
    <t>3.Menos Ingresos Presupuestarios No Contables</t>
  </si>
  <si>
    <t>4. Total de Ingresos Contables  (4=  1  +  2  -  3 )</t>
  </si>
  <si>
    <t xml:space="preserve">2. Menos Egresos Presupuestarios No Contables </t>
  </si>
  <si>
    <t xml:space="preserve">Materias Primas y Materiales de Producción y Comercializacíon </t>
  </si>
  <si>
    <t xml:space="preserve">Materiales y Suministros </t>
  </si>
  <si>
    <t>3. Más Gastos Contables No Presupuestarios</t>
  </si>
  <si>
    <t>Rubros de  Ingresos</t>
  </si>
  <si>
    <t>Estimado</t>
  </si>
  <si>
    <t xml:space="preserve">Recaudado </t>
  </si>
  <si>
    <t>Ingresos por Ventas de Bienes, Prestacion de Servicios y Otros Ingresos</t>
  </si>
  <si>
    <t xml:space="preserve">Participaciones, Aportaciones, Convenios, Incentivos Derivados de la Colaboracción Fiscal y Fondos Distintos de Aportaciones </t>
  </si>
  <si>
    <t xml:space="preserve">Ingresos Excedentes </t>
  </si>
  <si>
    <t>Estado Analitico de Ingresos Por Fuente de Financiamiento</t>
  </si>
  <si>
    <t xml:space="preserve">Ingresos del Poder Ejecutivo Federal o Estatal y de los Municipios </t>
  </si>
  <si>
    <t xml:space="preserve">Transferencias, Asignaciones, Subsidios y Subvenciones, y Pensiones y Jubilaciones </t>
  </si>
  <si>
    <t>Ingresos De los Entes Públicos de los Poderes Legislativo y Judicial, de los Órganos Autonomos y del Sector Paraestatal o Paramunicipal, asi como de las Empresas Productivas del Estado</t>
  </si>
  <si>
    <t>G. Ingresos por Ventas de Bienes y Prestación de Servicios</t>
  </si>
  <si>
    <t>J. Transferencias y Asignaciones</t>
  </si>
  <si>
    <r>
      <t>Productos</t>
    </r>
    <r>
      <rPr>
        <vertAlign val="superscript"/>
        <sz val="10"/>
        <color theme="1"/>
        <rFont val="Arial Narrow"/>
        <family val="2"/>
      </rPr>
      <t>1</t>
    </r>
  </si>
  <si>
    <r>
      <t>Aprovechamientos</t>
    </r>
    <r>
      <rPr>
        <vertAlign val="superscript"/>
        <sz val="10"/>
        <color theme="1"/>
        <rFont val="Arial Narrow"/>
        <family val="2"/>
      </rPr>
      <t>2</t>
    </r>
  </si>
  <si>
    <r>
      <t>Ingresos por ventas de Bienes, Prestación de Servicios y Otros Ingresos</t>
    </r>
    <r>
      <rPr>
        <vertAlign val="superscript"/>
        <sz val="10"/>
        <color theme="1"/>
        <rFont val="Arial Narrow"/>
        <family val="2"/>
      </rPr>
      <t>3</t>
    </r>
  </si>
  <si>
    <t>D. Transferencias, Asignaciones, Subsidios y Subvenciones, y Pensiones y Jubilaciones</t>
  </si>
  <si>
    <t>Otros Ingresos Contables No Presupuestarios</t>
  </si>
  <si>
    <t>Otros Ingresos Presupuestarios No Contables</t>
  </si>
  <si>
    <t>Arctivos Biológicos</t>
  </si>
  <si>
    <t>Armonización de la Deuda Pública</t>
  </si>
  <si>
    <t>Adeudos de Ejercicios Fiscales Anteriores (ADEFAS)</t>
  </si>
  <si>
    <r>
      <rPr>
        <b/>
        <vertAlign val="superscript"/>
        <sz val="9"/>
        <color theme="0" tint="-0.34998626667073579"/>
        <rFont val="Arial Narrow"/>
        <family val="2"/>
      </rPr>
      <t>1</t>
    </r>
    <r>
      <rPr>
        <b/>
        <sz val="9"/>
        <color theme="0" tint="-0.34998626667073579"/>
        <rFont val="Arial Narrow"/>
        <family val="2"/>
      </rPr>
      <t xml:space="preserve"> </t>
    </r>
    <r>
      <rPr>
        <sz val="9"/>
        <color theme="0" tint="-0.34998626667073579"/>
        <rFont val="Arial Narrow"/>
        <family val="2"/>
      </rPr>
      <t>Incluye interesesque generan las cuentas bancarias de los entes públicos en productos.</t>
    </r>
  </si>
  <si>
    <r>
      <rPr>
        <b/>
        <vertAlign val="superscript"/>
        <sz val="9"/>
        <color theme="0" tint="-0.34998626667073579"/>
        <rFont val="Arial Narrow"/>
        <family val="2"/>
      </rPr>
      <t>2</t>
    </r>
    <r>
      <rPr>
        <vertAlign val="superscript"/>
        <sz val="9"/>
        <color theme="0" tint="-0.34998626667073579"/>
        <rFont val="Arial Narrow"/>
        <family val="2"/>
      </rPr>
      <t xml:space="preserve"> </t>
    </r>
    <r>
      <rPr>
        <sz val="9"/>
        <color theme="0" tint="-0.34998626667073579"/>
        <rFont val="Arial Narrow"/>
        <family val="2"/>
      </rPr>
      <t>Incluye donativos en efectivo del Poder Ejecutivo, entre otros aprovechamientos.</t>
    </r>
  </si>
  <si>
    <r>
      <rPr>
        <b/>
        <vertAlign val="superscript"/>
        <sz val="9"/>
        <color theme="0" tint="-0.34998626667073579"/>
        <rFont val="Arial Narrow"/>
        <family val="2"/>
      </rPr>
      <t>3</t>
    </r>
    <r>
      <rPr>
        <sz val="9"/>
        <color theme="0" tint="-0.34998626667073579"/>
        <rFont val="Arial Narrow"/>
        <family val="2"/>
      </rPr>
      <t xml:space="preserve"> Se refiere a los ingresos propios obtenidos por los Poderes Legislativo y Judicial, los Organos Autónomos y las entidades de la administracion pública paraestataly paramunicipal, por sus actividades diversas no inherentes a su operación que general recursos y que no sean ingresos por venta de bienes o prestación de servicios, tales como donativos en efectivo, entre otros.</t>
    </r>
  </si>
  <si>
    <r>
      <rPr>
        <b/>
        <sz val="9"/>
        <color theme="0" tint="-0.34998626667073579"/>
        <rFont val="Arial Narrow"/>
        <family val="2"/>
      </rPr>
      <t>1</t>
    </r>
    <r>
      <rPr>
        <sz val="9"/>
        <color theme="0" tint="-0.34998626667073579"/>
        <rFont val="Arial Narrow"/>
        <family val="2"/>
      </rPr>
      <t>. Se deberán incluir los Ingresos Contables No Presupuestarios que no se regularizaron presupuestariamente durante el ejercicio</t>
    </r>
  </si>
  <si>
    <r>
      <rPr>
        <b/>
        <sz val="9"/>
        <color theme="0" tint="-0.34998626667073579"/>
        <rFont val="Arial Narrow"/>
        <family val="2"/>
      </rPr>
      <t>2</t>
    </r>
    <r>
      <rPr>
        <sz val="9"/>
        <color theme="0" tint="-0.34998626667073579"/>
        <rFont val="Arial Narrow"/>
        <family val="2"/>
      </rPr>
      <t>. Los Ingresos Financieros y otros ingresos se regularizarán presupuestariamente de acuerdo a la legislacion aplicable</t>
    </r>
  </si>
  <si>
    <t xml:space="preserve">                                                            </t>
  </si>
  <si>
    <t xml:space="preserve">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</si>
  <si>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</si>
  <si>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</si>
  <si>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</si>
  <si>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</t>
  </si>
  <si>
    <t xml:space="preserve">                                                                                          </t>
  </si>
  <si>
    <t>Inversion Pública no Capitalizable</t>
  </si>
  <si>
    <t>Comision Estatal del Agua</t>
  </si>
  <si>
    <t>BANCO BAJIO</t>
  </si>
  <si>
    <t>ESTATAL</t>
  </si>
  <si>
    <t>CVE. PARTIDA PRESUPUESTAL</t>
  </si>
  <si>
    <t>EJERCICIO DEL PRESUPUESTO POR                                    PARTIDA / DESCRIPCION</t>
  </si>
  <si>
    <t>EGRESOS APROBADOS ( 1 )</t>
  </si>
  <si>
    <t>AMPLIACIONES/REDUCCIONES     ( 2 )</t>
  </si>
  <si>
    <t>EGRESOS MODIFICADO ANUAL    ( 3 )</t>
  </si>
  <si>
    <t>EGRESOS DEVENGADO ACUMULADO                            ( 4 )</t>
  </si>
  <si>
    <t>EGRESOS PAGADO ACUMULADO             ( 5 )</t>
  </si>
  <si>
    <t>SUBEJERCIDO     (6=3-4)</t>
  </si>
  <si>
    <t>AVANCE ANUAL (7=4/3)</t>
  </si>
  <si>
    <t>SERVICIOS PERSONALES</t>
  </si>
  <si>
    <t>REMUNERACIONES AL PERSONAL DE CARÁCTER PERMANENTE</t>
  </si>
  <si>
    <t>SUELDOS BASE AL PERSONAL PERMANENTE</t>
  </si>
  <si>
    <t>SUELDOS</t>
  </si>
  <si>
    <t>SUELDO DIFERENCIAL POR ZONA</t>
  </si>
  <si>
    <t>REMUNERACIONES DIVERSAS</t>
  </si>
  <si>
    <t>REMUNERACIONES POR SUSTITUCION DE PERSONAL</t>
  </si>
  <si>
    <t>RIESGO LABORAL</t>
  </si>
  <si>
    <t>AYUDA PARA HABITACIÓN</t>
  </si>
  <si>
    <t>AYUDA PARA DESPENSA</t>
  </si>
  <si>
    <t>AYUDA PARA ENERGIA ELECTRICA</t>
  </si>
  <si>
    <t>REMUNERACIONES AL PERSONAL DE CARÁCTER TRANSITORIO</t>
  </si>
  <si>
    <t>HONORARIOS ASIMILABLES A SALARIOS</t>
  </si>
  <si>
    <t>HONORARIOS</t>
  </si>
  <si>
    <t>SUELDOS BASE AL PERSONAL EVENTUAL</t>
  </si>
  <si>
    <t>REMUNERACIONES ADICIONALES Y ESPECIALES</t>
  </si>
  <si>
    <t>PRIMAS POR AÑOS DE SERVICIOS EFECTIVOS PRESTADOS</t>
  </si>
  <si>
    <t>PRIMAS Y ACREDITACIONES POR AÑOS DE SERVICIOS
EFECTIVOS PRESTADOS</t>
  </si>
  <si>
    <t xml:space="preserve">PRIMAS DE VACACIONES, DOMINICAL Y GRATIFICACIÓN DE FIN DE AÑO
</t>
  </si>
  <si>
    <t>PRIMAS DE VACACIONES Y DOMINICAL</t>
  </si>
  <si>
    <t>AGUINALDO O GRATIFICACION DE FIN DE AÑO</t>
  </si>
  <si>
    <t>COMPENSACION POR AJUSTE DE CALENDARIO</t>
  </si>
  <si>
    <t>COMPENSACION POR BONO NAVIDEÑO</t>
  </si>
  <si>
    <t>HORAS EXTRAORDINARIAS</t>
  </si>
  <si>
    <t>REMUNERACIONES POR HORAS EXTRAORDINARIAS</t>
  </si>
  <si>
    <t>COMPENSACIONES</t>
  </si>
  <si>
    <t>ESTIMULOS AL PERSONAL DE CONFIANZA</t>
  </si>
  <si>
    <t>SEGURIDAD SOCIAL</t>
  </si>
  <si>
    <t>APORTACIONES DE SEGURIDAD SOCIAL</t>
  </si>
  <si>
    <t>OTRAS PRESTACIONES DE SEGURIDAD SOCIAL</t>
  </si>
  <si>
    <t>APORTACIONES POR SERVICIO MEDICO DEL
ISSSTESON</t>
  </si>
  <si>
    <t>APORTACIONES AL SISTEMA PARA EL RETIRO</t>
  </si>
  <si>
    <t>PAGAS POR DEFUNCION, PENSIONES Y JUBILACIONES</t>
  </si>
  <si>
    <t>APORTACIONES PARA SEGUROS</t>
  </si>
  <si>
    <t>SEGURO POR RETIRO ESTATAL</t>
  </si>
  <si>
    <t>OTRAS APORTACIONES DE SEGUROS COLECTIVOS</t>
  </si>
  <si>
    <t>SEGUROS POR DEFUNCION FAMILIAR</t>
  </si>
  <si>
    <t>OTRAS PRESTACIONES SOCIALES Y ECONÓMICAS</t>
  </si>
  <si>
    <t>CUOTAS PARA EL FONDO DE AHORRO Y FONDO DE TRABAJO</t>
  </si>
  <si>
    <t>APORTACIONES AL FONDO DE AHORRO DE LOS
TRABAJADORES</t>
  </si>
  <si>
    <t>INDEMNIZACIONES</t>
  </si>
  <si>
    <t>INDEMNIZACIONES AL PERSONAL</t>
  </si>
  <si>
    <t>PAGO DE LIQUIDACIONES</t>
  </si>
  <si>
    <t>SENTENCIAS LABORALES</t>
  </si>
  <si>
    <t>PRESTACIONES CONTRACTUALES</t>
  </si>
  <si>
    <t>DIAS ECONOMICOS Y DE DESCANSO OBLIGATORIOS
NO DISFRUTADOS</t>
  </si>
  <si>
    <t>BONO PARA DESPENSA</t>
  </si>
  <si>
    <t>AYUDA PARA GUARDERIA A MADRES TRABAJADORAS</t>
  </si>
  <si>
    <t>APOYO PARA ÚTILES ESCOLARES</t>
  </si>
  <si>
    <t>APOYO PARA DESARROLLO Y CAPACITACIÓN</t>
  </si>
  <si>
    <t>COMPENSACION ESPECIFICA A PERSONAL DE BASE</t>
  </si>
  <si>
    <t>AYUDA PARA SERVICIO DE TRANSPORTE</t>
  </si>
  <si>
    <t>COMPENSACIÓN EN APOYO A LA DISCAPACIDAD</t>
  </si>
  <si>
    <t>BONO DE DIA DE MADRES</t>
  </si>
  <si>
    <t>BONO POR ANIVERSARIO SINDICAL</t>
  </si>
  <si>
    <t>BONO DEL DÍA DEL PADRE</t>
  </si>
  <si>
    <t>APOYO PARA COMPRA DE MATERIAL DE
CONSTRUCCION</t>
  </si>
  <si>
    <t>APOYO PARA DESPENSA PARA LOS REPRESENTANTES
SINDICALES</t>
  </si>
  <si>
    <t>BONO DE PRODUCTIVIDAD AL PERSONAL DE BASE</t>
  </si>
  <si>
    <t>BONO AYUDA UNIFORMES</t>
  </si>
  <si>
    <t>OTRAS PRESTACIONES</t>
  </si>
  <si>
    <t>PREVISIONES</t>
  </si>
  <si>
    <t xml:space="preserve">PREVISIONES DE CARÁCTER LABORAL, ECONÓMICA Y DE SEGURIDAD SOCIAL
</t>
  </si>
  <si>
    <t>PREVISIÓN PARA INCREMENTO DE SUELDOS</t>
  </si>
  <si>
    <t>PAGOS DE ESTÍMULOS A SERVIDORES PÚBLICOS</t>
  </si>
  <si>
    <t>ESTÍMULOS</t>
  </si>
  <si>
    <t>ESTÍMULOS AL PERSONAL</t>
  </si>
  <si>
    <t>BONO POR PUNTUALIDAD</t>
  </si>
  <si>
    <t>COMPENSACIÓN POR TITULACIÓN A NIVEL
LICENCIATURA</t>
  </si>
  <si>
    <t>MATERIALES Y SUMINISTROS</t>
  </si>
  <si>
    <t xml:space="preserve">MATERIALES DE ADMINISTRACIÓN, EMISIÓN DE DOCUMENTOS Y ARTÍCULOS OFICIALES
</t>
  </si>
  <si>
    <t>MATERIALES, ÚTILES Y EQUIPOS MENORES DE OFICINA</t>
  </si>
  <si>
    <t>MATERIALES Y UTILES DE IMPRESIÓN Y REPRODUCCIÓN</t>
  </si>
  <si>
    <t xml:space="preserve">MATERIALES Y UTILES DE IMPRESIÓN Y REPRODUCCIÓN
</t>
  </si>
  <si>
    <t xml:space="preserve">MATERIALES, UTILES Y EQUIPOS MENORES DE TECNOLOGIAS DE LA INFORMACIÓN Y COMUNICACIONES
</t>
  </si>
  <si>
    <t>MATERIALES Y ÚTILES PARA EL PROCESAMIENTO DE
EQUIPOS Y BIENES INFORMATICOS</t>
  </si>
  <si>
    <t>MATERIAL IMPRESO E INFORMACIÓN DIGITAL</t>
  </si>
  <si>
    <t>MATERIAL PARA INFORMACIÓN</t>
  </si>
  <si>
    <t>FORMATOS IMPRESOS</t>
  </si>
  <si>
    <t>MATERIAL DE LIMPIEZA</t>
  </si>
  <si>
    <t>MATERIALES Y ÚTILES DE ENSEÑANZA</t>
  </si>
  <si>
    <t>MATERIALES EDUCATIVOS</t>
  </si>
  <si>
    <t xml:space="preserve">MATERIALES PARA EL REGISTRO E IDENTIFICACION DE BIENES Y PERSONAS
</t>
  </si>
  <si>
    <t xml:space="preserve">PLACAS, ENGOMADOS, CALCOMANIAS Y HOLOGRAMAS
</t>
  </si>
  <si>
    <t>EMISIÓN DE LICENCIAS DE CONDUCIR</t>
  </si>
  <si>
    <t>ALIMENTOS Y UTENSILIOS</t>
  </si>
  <si>
    <t>PRODUCTOS ALIMENTICIOS PARA PERSONAS</t>
  </si>
  <si>
    <t>PRODUCTOS ALIMENTICIOS PARA EL PERSONAL EN
LAS INSTALACIONES</t>
  </si>
  <si>
    <t>ADQUISICIÓN DE AGUA POTABLE</t>
  </si>
  <si>
    <t>UTENSILIOS PARA EL SERVICIO DE ALIMENTACIÓN</t>
  </si>
  <si>
    <t>MATERIAS PRIMAS Y MATERIALES DE PRODUCCIÓN Y COMERCIALIZACIÓN</t>
  </si>
  <si>
    <t>OTROS PRODUCTOS ADQUIRIDOS COMO MATERIA PRIMA</t>
  </si>
  <si>
    <t>OTROS PRODUCTOS ADQUIRIDOS COMO MATERIA
PRIMA</t>
  </si>
  <si>
    <t>MATERIALES Y ARTÍCULOS DE CONSTRUCCIÓN Y DE REPARACIÓN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</si>
  <si>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</si>
  <si>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</si>
  <si>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</si>
  <si>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</si>
  <si>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</si>
  <si>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MATERIALES COMPLEMENTARIOS</t>
  </si>
  <si>
    <t>OTROS MATERIALES Y ARTÍCULOS DE CONSTRUCCIÓN Y REPARACIÓN</t>
  </si>
  <si>
    <t>PRODUCTOS QUÍMICOS, FARMACEUTICOS Y DE LABORATORIO</t>
  </si>
  <si>
    <t>PRODUCTOS QUÍMICOS BASICOS</t>
  </si>
  <si>
    <t>FERTILIZANTES, PESTICIDAS Y OTROS AGROQUÍMICOS</t>
  </si>
  <si>
    <t>MEDICINAS Y PRODUCTOS FARMACEUTICOS</t>
  </si>
  <si>
    <t>MATERIALES, ACCESORIOS Y SUMINISTROS DE LABORATORIO</t>
  </si>
  <si>
    <t>OTROS PRODUCTOS QUÍMICOS</t>
  </si>
  <si>
    <t>COMBUSTIBLES, LUBRICANTES Y ADITIVOS</t>
  </si>
  <si>
    <t>COMBUSTIBLES</t>
  </si>
  <si>
    <t>LUBRICANTES Y ADITIVOS</t>
  </si>
  <si>
    <t>VESTUARIO, BLANCOS, PRENDAS DE PROTECCIÓN Y ARTÍCULOS DEPORTIVOS</t>
  </si>
  <si>
    <t>VESTUARIO Y UNIFORMES</t>
  </si>
  <si>
    <t>PRENDAS DE SEGURIDAD Y PROTECCIÓN PERSONAL</t>
  </si>
  <si>
    <t>MATERIALES Y SUMINISTROS PARA SEGURIDAD</t>
  </si>
  <si>
    <t>PRENDAS DE PROTECCION PARA SEGURIDAD PUBLICA Y NACIONAL</t>
  </si>
  <si>
    <t>HERRAMIENTAS, REFACCIONES Y ACCESORIOS MENORES</t>
  </si>
  <si>
    <t>HERRAMIENTAS MENORES</t>
  </si>
  <si>
    <t>REFACCIONES Y ACCESORIOS MENORES DE EDIFICIOS</t>
  </si>
  <si>
    <t xml:space="preserve">REFACCIONES Y ACCESORIOS MENORES DE MOBILIARIO Y EQUIPO DE ADMINISTRACIÓN, EDUCACIONAL Y RECREATIVO
</t>
  </si>
  <si>
    <t>REFACCIONES Y ACCESORIOS MENORES DE MOBILIARIO Y EQUIPO DE ADMINISTRACIÓN, EDUCACIONAL Y RECREATIVO</t>
  </si>
  <si>
    <t xml:space="preserve">REFACCIONES Y ACCESORIOS MENORES DE EQUIPO DE COMPUTO Y TECNOLOGÍAS DE LA INFORMACIÓN
</t>
  </si>
  <si>
    <t>REFACCIONES Y ACCESORIOS MENORES DE EQUIPO DE COMPUTO Y TECNOLOGÍAS DE LA INFORMACIÓN</t>
  </si>
  <si>
    <t xml:space="preserve">REFACCIONES Y ACCESORIOS MENORES DE EQUIPO E INSTRUMENTAL MÉDICO Y DE LABORATORIO
</t>
  </si>
  <si>
    <t>REFACCIONES Y ACCESORIOS MENORES DE EQUIPO E INSTRUMENTAL MÉDICO Y DE LABORATORIO</t>
  </si>
  <si>
    <t>REFACCIONES Y ACCESORIOS MENORES DE EQUIPO DE TRANSPORTE</t>
  </si>
  <si>
    <t xml:space="preserve">REFACCIONES Y ACCESORIOS MENORES DE MAQUINARIA Y OTROS EQUIPOS
</t>
  </si>
  <si>
    <t>SERVICIOS GENERALES</t>
  </si>
  <si>
    <t>SERVICIOS BÁSICOS</t>
  </si>
  <si>
    <t>ENERGÍA ELÉCTRICA</t>
  </si>
  <si>
    <t>GAS</t>
  </si>
  <si>
    <t>AGUA</t>
  </si>
  <si>
    <t>AGUA POTABLE</t>
  </si>
  <si>
    <t>TELEFONÍA TRADICIONAL</t>
  </si>
  <si>
    <t>TELEFONÍA CELULAR</t>
  </si>
  <si>
    <t>SERVICIOS DE TELECOMUNICACIONES Y SATÉLITES</t>
  </si>
  <si>
    <t xml:space="preserve">SERVICIOS DE ACCESO DE INTERNET, REDES Y PROCESAMIENTO DE INFORMACIÓN
</t>
  </si>
  <si>
    <t>SERVICIOS POSTALES Y TELEGRÁFICOS</t>
  </si>
  <si>
    <t>SERVICIO POSTAL</t>
  </si>
  <si>
    <t>SERVICIO DE ARRENDAMIENTO</t>
  </si>
  <si>
    <t>ARRENDAMIENTO DE TERRENOS</t>
  </si>
  <si>
    <t>ARRENDAMIENTO DE EDIFICIOS</t>
  </si>
  <si>
    <t xml:space="preserve">ARRENDAMIENTO DE MOBILIARIO Y EQUIPO DE ADMINISTRACIÓN,EDUCACIONAL Y RECREATIVO
</t>
  </si>
  <si>
    <t>ARRENDAMIENTO DE MUEBLES, MAQUINARIA Y
EQUIPO</t>
  </si>
  <si>
    <t xml:space="preserve">ARRENDAMIENTO DE EQUIPO Y BIENES INFORMATICOS
</t>
  </si>
  <si>
    <t>ARRENDAMIENTO DE EQUIPO DE TRANSPORTE</t>
  </si>
  <si>
    <t>ARRENDAMIENTO DE EQUIPO DE TRANSPORTE
TERRESTRE</t>
  </si>
  <si>
    <t xml:space="preserve">ARRENDAMIENTO DE MAQUINARIA, OTROS EQUIPOS Y HERRAMIENTAS
</t>
  </si>
  <si>
    <t>ARRENDAMIENTO DE MAQUINARIA, OTROS
EQUIPOS Y HERRAMIENTAS</t>
  </si>
  <si>
    <t>OTROS ARRENDAMIENTOS</t>
  </si>
  <si>
    <t>SERVICIOS PROFESIONALES, CIENTIFICOS, TÉCNICOS Y OTROS SERVICIOS</t>
  </si>
  <si>
    <t xml:space="preserve">SERVICIOS LEGALES, DE CONTABILIDAD, AUDITORIAS Y RELACIONADOS
</t>
  </si>
  <si>
    <t xml:space="preserve">SERVICIOS DE DISEÑO, ARQUITECTURA, INGENIERÍA Y ACTIVIDADES RELACIONADAS
</t>
  </si>
  <si>
    <t>SERVICIOS DE DISEÑO, ARQUITECTURA, INGENIERÍA
Y ACTIVIDADES RELACIONADAS</t>
  </si>
  <si>
    <t xml:space="preserve">SERVICIOS DE CONSULTORIA ADMINISTRATIVA, PROCESOS, TÉCNICA Y EN TECNOLOGIAS DE LA INFORMACIÓN
</t>
  </si>
  <si>
    <t>SERVICIOS DE INFORMÁTICA</t>
  </si>
  <si>
    <t>SERVICIOS DE CONSULTORIAS</t>
  </si>
  <si>
    <t>SERVICIOS DE CAPACITACIÓN</t>
  </si>
  <si>
    <t>SERVICIOS DE INVESTIGACION CIENTIFICA Y DESARROLLO</t>
  </si>
  <si>
    <t xml:space="preserve">SERVICIOS DE APOYO ADMINISTRATIVO, TRADUCCIÓN,FOTOCOPIADO E IMPRESIÓN
</t>
  </si>
  <si>
    <t>APOYOS A COMISARIOS PÚBLICOS</t>
  </si>
  <si>
    <t>IMPRESIONES Y PUBLICACIONES OFICIALES</t>
  </si>
  <si>
    <t>LICITACIONES, CONVENIOS Y CONVOCATORIAS</t>
  </si>
  <si>
    <t>SERVICIO DE FOTOCOPIADO EN LAS INSTALACIONES
DE LAS DEPENDENCIAS Y ENTIDADES</t>
  </si>
  <si>
    <t>SERVICIOS DE VIGILANCIA</t>
  </si>
  <si>
    <t>SERVICIOS PROFESIONALES, CIENTIFICOS Y TECNICOS INTEGRALES</t>
  </si>
  <si>
    <t xml:space="preserve">SERVICIOS INTEGRALES  </t>
  </si>
  <si>
    <t>SERVICIOS FINANCIEROS, BANCARIOS Y COMERCIALES</t>
  </si>
  <si>
    <t>SERVICIOS FINANCIEROS Y BANCARIOS</t>
  </si>
  <si>
    <t>SERVICIOS DE RECAUDACION, TRASLADO Y CUSTODIA DE VALORES</t>
  </si>
  <si>
    <t>SEGUROS DE RESPONSABILIDAD PATRIMONIAL Y FIANZAS</t>
  </si>
  <si>
    <t>FLETES Y MANIOBRAS</t>
  </si>
  <si>
    <t>SERVICIOS DE INSTALACIÓN, REPARACIÓN, MANTENIMIENTO Y CONSERVACIÓN</t>
  </si>
  <si>
    <t>CONSERVACION Y MANTENIMIENTO MENOR DE INMUEBLES</t>
  </si>
  <si>
    <t xml:space="preserve">INSTALACIÓN, REPARACIÓN Y MANTENIMIENTO DE MOBILIARIO Y EQUIPO DE ADMINISTRACIÓN, EDUCACIONAL Y RECREATIVO
</t>
  </si>
  <si>
    <t>MANTENIMIENTO Y CONSERVACION DE MOBILIARIO
Y EQUIPO</t>
  </si>
  <si>
    <t xml:space="preserve">INSTALACIÓN, REPARACIÓN Y MANTENIMIENTO DE EQUIPO DE COMPUTO Y TECNOLOGÍA DE LA INFORMACIÓN
</t>
  </si>
  <si>
    <t>INSTALACIONES</t>
  </si>
  <si>
    <t>MANTENIMIENTO Y CONSERVACION DE BIENES
INFORMÁTICOS</t>
  </si>
  <si>
    <t>REPARACIÓN Y MANTENIMIENTO DE EQUIPO DE TRANSPORTE</t>
  </si>
  <si>
    <t xml:space="preserve">INSTALACIÓN, REPARACIÍN Y MANTENIMIENTO DE MAQUINARIA,OTROS EQUIPOS Y HERRAMIENTA
</t>
  </si>
  <si>
    <t>MANTENIMIENTO Y CONSERVACIÓN DE
MAQUINARIA Y EQUIPO</t>
  </si>
  <si>
    <t>MANTENIMIENTO Y CONSERVACIÓN DE
HERRAMIENTAS, MAQUINAS HERRAMIENTAS,
INSTRUMENTOS, UTILES Y EQUIPO</t>
  </si>
  <si>
    <t>SERVICIOS DE LIMPIEZA Y MANEJO DE DESECHOS</t>
  </si>
  <si>
    <t>SERVICIOS DE JARDINERÍA Y FUMIGACIÓN</t>
  </si>
  <si>
    <t>SERVICIOS DE COMUNICACIÓN SOCIAL Y PUBLICIDAD</t>
  </si>
  <si>
    <t xml:space="preserve">DIFUSIÓN POR RADIO, TELEVISIÓN Y OTROS MEDIOS DE MENSAJES SOBRE PROGRAMAS Y ACTIVIDADES GUBERNAMENTALES
</t>
  </si>
  <si>
    <t>SERVICIOS DE REVELADO DE FOTOGRAFÍAS</t>
  </si>
  <si>
    <t>SERVICIOS DE LA INDUSTRIA FÍLMICA, DEL SONIDO Y DEL VIDEO</t>
  </si>
  <si>
    <t>OTROS SERVICIOS DE INFORMACIÓN</t>
  </si>
  <si>
    <t>SERVICIOS DE TRASLADO Y VIÁTICOS</t>
  </si>
  <si>
    <t>PASAJES AÉREOS</t>
  </si>
  <si>
    <t>PASAJES ÁEREOS INTERNACIONALES PARA
SERVIDORES PÚBLICOS EN EL DESEMPEÑO DE
COMISIONES Y FUNCIONES OFICIALES.</t>
  </si>
  <si>
    <t>PASAJES TERRESTRES</t>
  </si>
  <si>
    <t>VIÁTICOS EN EL PAÍS</t>
  </si>
  <si>
    <t>GASTOS DE CAMINO</t>
  </si>
  <si>
    <t>VIÁTICOS EN EL EXTRANJERO</t>
  </si>
  <si>
    <t>SERVICIOS INTEGRALES DE TRASLADO Y VIÁTICOS</t>
  </si>
  <si>
    <t>OTROS SERVICIOS DE TRASLADO Y HOSPEDAJE</t>
  </si>
  <si>
    <t>CUOTAS</t>
  </si>
  <si>
    <t>SERVICIOS OFICIALES</t>
  </si>
  <si>
    <t>GASTOS DE CEREMONIAL</t>
  </si>
  <si>
    <t>GASTOS DE ORDEN SOCIAL Y CULTURAL</t>
  </si>
  <si>
    <t>CONGRESOS Y CONVENCIONES</t>
  </si>
  <si>
    <t>GASTOS DE REPRESENTACION</t>
  </si>
  <si>
    <t>GASTOS DE ATENCION Y PROMOCIÓN</t>
  </si>
  <si>
    <t>OTROS SERVICIOS GENERALES</t>
  </si>
  <si>
    <t>IMPUESTOS Y DERECHOS</t>
  </si>
  <si>
    <t>PENAS, MULTAS, ACCESORIOS Y ACTUALIZACIONES</t>
  </si>
  <si>
    <t>OTROS GASTOS POR RESPONSABILIDADES</t>
  </si>
  <si>
    <t xml:space="preserve">IMPUESTOS SOBRE NÓMINAS Y OTROS QUE SE DERIVEN DE UNA RELACIÓN LABORAL
</t>
  </si>
  <si>
    <t>IMPUESTOS SOBRE NÓMINAS</t>
  </si>
  <si>
    <t>TRANSFERENCIAS, ASIGNACIONES, SUBSIDIOS Y OTRAS AYUDAS</t>
  </si>
  <si>
    <t>Transferecias internas yasignaciones al sector publico</t>
  </si>
  <si>
    <t>Asigacion presupuestria al poder ejecutivo</t>
  </si>
  <si>
    <t>Transferencias, asigaciones, subsidios y otras ayudas</t>
  </si>
  <si>
    <t>Transferencias internas otorgadasa entidades paraestatales no empresariales y no financieras</t>
  </si>
  <si>
    <t>Transferencias para gastos de operación</t>
  </si>
  <si>
    <t>TRANSFERENCIAS AL RESTO DEL SECTOR PÚBLICO</t>
  </si>
  <si>
    <t xml:space="preserve">TRANSFERENCIAS OTORGADAS A ENTIDADES FEDERATIVAS Y MUNICIPIOS
</t>
  </si>
  <si>
    <t>TRANSFERENCIAS OTORGADAS A ENTIDADES
FEDERATIVAS Y MUNICIPIOS</t>
  </si>
  <si>
    <t>Subsidios a la prestación de servicios públicos</t>
  </si>
  <si>
    <t>Ayudas sociales</t>
  </si>
  <si>
    <t>Becas y otras ayudas para prograas de capacitacion</t>
  </si>
  <si>
    <t>Fomento deportivo</t>
  </si>
  <si>
    <t xml:space="preserve">Donativos  </t>
  </si>
  <si>
    <t>Donativos a Instituciones sin fines de lucro</t>
  </si>
  <si>
    <t>BIENES MUEBLES, INMUEBLES E INTANGIBLES</t>
  </si>
  <si>
    <t>MOBILIARIO Y EQUIPO DE ADMINISTRACIÓN</t>
  </si>
  <si>
    <t>MUEBLES DE OFICINA Y ESTANTERÍA</t>
  </si>
  <si>
    <t>Muebles, Excepto de Oficina y Estantería</t>
  </si>
  <si>
    <t>Equipo de cómputo y de tecnologías de la información</t>
  </si>
  <si>
    <t>Bienes informáticos</t>
  </si>
  <si>
    <t>Otros mobiliarios y equipos de administracion</t>
  </si>
  <si>
    <t>Equipo de administracion</t>
  </si>
  <si>
    <t>MOBILIARIO Y EQUIPO EDUCACIONAL Y RECREATIVO</t>
  </si>
  <si>
    <t>EQUIPOS Y APARATOS AUDIOVISUALES</t>
  </si>
  <si>
    <t>CAMARAS FOTOGRÁFICAS Y DE VIDEO</t>
  </si>
  <si>
    <t>Equipo e instrumental medico y de laboratorio</t>
  </si>
  <si>
    <t>Instrumental medico y de laboratorio</t>
  </si>
  <si>
    <t>Vehiculos y equipo de transporte</t>
  </si>
  <si>
    <t>Automoviles y camiones</t>
  </si>
  <si>
    <t>Carrocerías y remolques</t>
  </si>
  <si>
    <t>Otros Equipos de Transporte</t>
  </si>
  <si>
    <t>EQUIPO DE DEFENSA Y SEGURIDAD</t>
  </si>
  <si>
    <t>SISTEMAS INTEGRALES DE SEGURIDAD PÚBLICA</t>
  </si>
  <si>
    <t xml:space="preserve">MAQUINARIA, OTROS EQUIPOS Y HERRAMIENTAS </t>
  </si>
  <si>
    <t>MAQUINARIA Y EQUIPO INDUSTRIAL</t>
  </si>
  <si>
    <t>Maquinaria y Equipo de Construcción</t>
  </si>
  <si>
    <t>Sistemas de aire acondicionado, calefaccion y de refrigeracion industrial y comercial</t>
  </si>
  <si>
    <t>Equipo de Comunicación y Telecomunicacion</t>
  </si>
  <si>
    <t>Equipo de Generacion Electrica, aparatos y accesoris electrios</t>
  </si>
  <si>
    <t>Maquinaria y equipo electrico y electronico</t>
  </si>
  <si>
    <t>Herramientas y máquinas-herramienta</t>
  </si>
  <si>
    <t>Herramientas</t>
  </si>
  <si>
    <t>Refacciones y Accesorios mayores</t>
  </si>
  <si>
    <t>OTROS EQUIPOS</t>
  </si>
  <si>
    <t>BIENES MUEBLES POR ARRENDAMIENTO
FINANCIERO</t>
  </si>
  <si>
    <t>OTROS BIENES MUEBLES POR ARRENDAMIENTO
FINANCIERO</t>
  </si>
  <si>
    <t>Terrenos</t>
  </si>
  <si>
    <t>Activos intangibles</t>
  </si>
  <si>
    <t>Software</t>
  </si>
  <si>
    <t>INVERSIÓN PÚBLICA</t>
  </si>
  <si>
    <t>OBRA PÚBLICA EN BIENES DE DOMINIO PÚBLICO</t>
  </si>
  <si>
    <t>CONSTRUCCIÓN DE OBRAS PARA EL ABASTECIMIENTO DE AGUA,
PETROLEO, GAS, ELECTRICIDAD Y TELECOMUNICACIÓN</t>
  </si>
  <si>
    <t>CONSTRUCCIÓN DE SISTEMAS DE ABASTECIMIENTO DE AGUA POTABLE</t>
  </si>
  <si>
    <t>FORTALECIMIENTO A ORGANISMOS OPERADORES
DE SISTEMAS DE AGUA POTABLE</t>
  </si>
  <si>
    <t>REHABILITACION DE SISTEMAS DE ABASTECIMIENTO
DE AGUA PARA USO AGRICOLA</t>
  </si>
  <si>
    <t>ESTUDIOS Y PROYECTOS PARA SISTEMAS DE
ABASTECIMIENTO DE AGUA POTABLE</t>
  </si>
  <si>
    <t>APOYO Y FORTALECIMIENTO A LOS SISTEMAS DE
OPERACIÓN DE DISTRITOS DE RIEGO</t>
  </si>
  <si>
    <t>FISCALIZACIÓN Y SEGUIMIENTO</t>
  </si>
  <si>
    <t xml:space="preserve">DIVISIÓN DE TERRENOS Y CONSTRUCCION DE OBRAS DE URBANIZACIÓN
</t>
  </si>
  <si>
    <t>CONSERVACIÓN Y MANTENIMIENTO</t>
  </si>
  <si>
    <t>ESTUDIOS Y PROYECTOS</t>
  </si>
  <si>
    <t>INFRAESTRUCTURA Y EQUIPAMIENTO EN MATERIA
DE AGUA POTABLE</t>
  </si>
  <si>
    <t>INFRAESTRUCTURA Y EQUIPAMIENTO EN MATERIA
DE ALCANTARILLADO</t>
  </si>
  <si>
    <t>INFRAESTRUCTURA BÁSICA Y EQUIPAMIENTO SOCIAL</t>
  </si>
  <si>
    <t>INDIRECTOS PARA OBRAS EN DIVISIÓN DE TERRENOS
Y CONSTRUCCIÓN DE OBRAS DE URBANIZACIÓN</t>
  </si>
  <si>
    <t>SUPERVISIÓN Y CONTROL DE CALIDAD</t>
  </si>
  <si>
    <t>OBRA PÚBLICA EN BIENES PROPIOS</t>
  </si>
  <si>
    <t xml:space="preserve">DIVISIÓN DE TERRENOS Y CONSTRUCCIÓN DE OBRAS DE URBANIZACIÓN
</t>
  </si>
  <si>
    <t>INFRAESTRUCTURA Y EQUIPAMIENTO EN MATERIA DE ALCANTARILLADO</t>
  </si>
  <si>
    <t>FEDERAL</t>
  </si>
  <si>
    <t>REHABILITACIÓN DE SISTEMAS DE ABASTECIMIENTO
DE AGUA PARA USO AGRÍCOLA</t>
  </si>
  <si>
    <t>(PAIH) AMPLIAC. SIST ABAST DE A P/USO AGRICOLA (F)</t>
  </si>
  <si>
    <t>(PAIH) CONST  SIST ABAST A P/USO AGUA AGRICOLA (F)</t>
  </si>
  <si>
    <t>ESTUD Y PROYEC. P/SIST. DE ABASTEC. DE A/POTA (F)</t>
  </si>
  <si>
    <t>INDIRECTOS PARA OBRAS DE CONSTRUCCIÓN PARA
EL ABASTECIMIENTO DE AGUA, PETROLEO, GAS,
ELECTRICIDAD Y TELECOMUNICACIONES</t>
  </si>
  <si>
    <t>OBRA PUBLICA EN BIENES PROPIOS</t>
  </si>
  <si>
    <t>DIVISION DE TERRENOS Y CONSTRUCCION DE OBRAS DE URBANIZACIÓN</t>
  </si>
  <si>
    <t>INVERSIONES FINANCIERAS Y OTRAS PROVISIONES</t>
  </si>
  <si>
    <t>PROVISIONES PARA CONTINGENCIAS Y OTRAS EROGACIONES ESPECIALES</t>
  </si>
  <si>
    <t>OTRAS EROGACIONES ESPECIALES</t>
  </si>
  <si>
    <t>DEUDA PUBLICA</t>
  </si>
  <si>
    <t>AMORTIZACIÓN DE LA DEUDA PÚBLICA</t>
  </si>
  <si>
    <t xml:space="preserve">AMORTIZACIÓN DE LA DEUDA INTERNA CON INSTITUCIONES DE CRÉDITO
</t>
  </si>
  <si>
    <t>AMORTIZACIÓN DE CAPITAL LARGO PLAZO</t>
  </si>
  <si>
    <t>AMORTIZACIÓN DE CAPITAL CORTO PLAZO</t>
  </si>
  <si>
    <t>INTERESES DE LA DEUDA PÚBLICA</t>
  </si>
  <si>
    <t>INTERESES DE LA DEUDA INTERNA CON INSTITUCIONES DE CRÉDITO</t>
  </si>
  <si>
    <t>PAGO DE INTERESES LARGO PLAZO</t>
  </si>
  <si>
    <t>PAGO DE INTERESES DE CORTO PLAZO</t>
  </si>
  <si>
    <t>ADEUDOS DE EJERCICIOS FISCALES ANTERIORES (ADEFAS)</t>
  </si>
  <si>
    <t>ADEFAS</t>
  </si>
  <si>
    <t>ADEFAS OPERACIÓN</t>
  </si>
  <si>
    <t>ADEFAS INVERCIÓN ESTATAL</t>
  </si>
  <si>
    <t>ADEFAS INVERCIÓN ESTATAL (COTAS Y GERENCIAS)</t>
  </si>
  <si>
    <t>VOCALIA EJECUTIVA</t>
  </si>
  <si>
    <t>DIRECCION GENERAL DE ADMINISTRACION Y FINANZAS</t>
  </si>
  <si>
    <t>ORGANO INTERNO DE CONTROL</t>
  </si>
  <si>
    <t>DIRECCION GENERAL DE DESARROLLO Y FORTALECIMIENTO INSTITUCIONAL</t>
  </si>
  <si>
    <t>DIRECCION GENERAL DE INFRAESTRUCTURA HIDRAULICA URBANA</t>
  </si>
  <si>
    <t>DIRECCION GENERAL DE INFRAESTRUCTURA HIDROAGRICOLA</t>
  </si>
  <si>
    <t>COSTOS, CONCURSOS Y CONTRATOS</t>
  </si>
  <si>
    <t>UNIDAD DE ASUNTOS JURIDICOS</t>
  </si>
  <si>
    <t>ORGANISMOS OPERADORES</t>
  </si>
  <si>
    <t>Sistema Estatal de Evaluacion</t>
  </si>
  <si>
    <t>INFRAESTRUCTURA Y EQ. EN MATERIA DE AGUA POTABLE</t>
  </si>
  <si>
    <t>Equipo medico y de laboratorio</t>
  </si>
  <si>
    <t>Equipos medico y de laboratorio</t>
  </si>
  <si>
    <t>Licencias informaticas e intelectuales</t>
  </si>
  <si>
    <t>licencias informaticas e intelectuales</t>
  </si>
  <si>
    <t>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</si>
</sst>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€&quot;* #,##0.00_-;\-&quot;€&quot;* #,##0.00_-;_-&quot;€&quot;* &quot;-&quot;??_-;_-@_-"/>
    <numFmt numFmtId="166" formatCode="0.00_ ;\-0.00\ "/>
    <numFmt numFmtId="167" formatCode="_-* #,##0_-;\-* #,##0_-;_-* &quot;-&quot;??_-;_-@_-"/>
    <numFmt numFmtId="168" formatCode="_(* #,##0_);_(* \(#,##0\);_(* &quot;-&quot;??_);_(@_)"/>
  </numFmts>
  <fonts count="6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b/>
      <i/>
      <sz val="10"/>
      <color theme="1"/>
      <name val="Arial Narrow"/>
      <family val="2"/>
    </font>
    <font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2"/>
      <color theme="1"/>
      <name val="Arial Narrow"/>
      <family val="2"/>
    </font>
    <font>
      <b/>
      <sz val="11"/>
      <color rgb="FF000000"/>
      <name val="Arial Narrow"/>
      <family val="2"/>
    </font>
    <font>
      <sz val="9"/>
      <color theme="1"/>
      <name val="Arial Narrow"/>
      <family val="2"/>
    </font>
    <font>
      <sz val="6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000000"/>
      <name val="Arial Narrow"/>
      <family val="2"/>
    </font>
    <font>
      <b/>
      <i/>
      <sz val="9"/>
      <color theme="1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i/>
      <sz val="9"/>
      <color theme="3" tint="0.39997558519241921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7.5"/>
      <color theme="1"/>
      <name val="Arial Narrow"/>
      <family val="2"/>
    </font>
    <font>
      <sz val="7.5"/>
      <color theme="1"/>
      <name val="Arial Narrow"/>
      <family val="2"/>
    </font>
    <font>
      <sz val="6"/>
      <color theme="1"/>
      <name val="Arial"/>
      <family val="2"/>
    </font>
    <font>
      <b/>
      <sz val="6"/>
      <color theme="1"/>
      <name val="Arial Narrow"/>
      <family val="2"/>
    </font>
    <font>
      <b/>
      <sz val="6.5"/>
      <color theme="1"/>
      <name val="Arial Narrow"/>
      <family val="2"/>
    </font>
    <font>
      <sz val="6.5"/>
      <color theme="1"/>
      <name val="Arial Narrow"/>
      <family val="2"/>
    </font>
    <font>
      <sz val="8"/>
      <color theme="1"/>
      <name val="Arial"/>
      <family val="2"/>
    </font>
    <font>
      <vertAlign val="superscript"/>
      <sz val="10"/>
      <color theme="1"/>
      <name val="Arial Narrow"/>
      <family val="2"/>
    </font>
    <font>
      <b/>
      <sz val="10"/>
      <color theme="0" tint="-0.34998626667073579"/>
      <name val="Arial Narrow"/>
      <family val="2"/>
    </font>
    <font>
      <sz val="9"/>
      <color theme="0" tint="-0.34998626667073579"/>
      <name val="Arial Narrow"/>
      <family val="2"/>
    </font>
    <font>
      <b/>
      <vertAlign val="superscript"/>
      <sz val="9"/>
      <color theme="0" tint="-0.34998626667073579"/>
      <name val="Arial Narrow"/>
      <family val="2"/>
    </font>
    <font>
      <b/>
      <sz val="9"/>
      <color theme="0" tint="-0.34998626667073579"/>
      <name val="Arial Narrow"/>
      <family val="2"/>
    </font>
    <font>
      <sz val="11"/>
      <color theme="0" tint="-0.34998626667073579"/>
      <name val="Arial Narrow"/>
      <family val="2"/>
    </font>
    <font>
      <vertAlign val="superscript"/>
      <sz val="9"/>
      <color theme="0" tint="-0.34998626667073579"/>
      <name val="Arial Narrow"/>
      <family val="2"/>
    </font>
    <font>
      <b/>
      <sz val="8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</font>
    <font>
      <b/>
      <sz val="8"/>
      <name val="Arial"/>
      <family val="2"/>
    </font>
    <font>
      <sz val="8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</patternFill>
    </fill>
    <fill>
      <patternFill patternType="solid">
        <fgColor rgb="FFD9D9D9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0" fontId="12" fillId="5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43" fontId="4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</cellStyleXfs>
  <cellXfs count="624">
    <xf numFmtId="0" fontId="0" fillId="0" borderId="0" xfId="0"/>
    <xf numFmtId="0" fontId="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5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18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7" fillId="3" borderId="5" xfId="0" applyFont="1" applyFill="1" applyBorder="1" applyAlignment="1" applyProtection="1">
      <alignment horizontal="justify" vertical="center"/>
      <protection locked="0"/>
    </xf>
    <xf numFmtId="0" fontId="14" fillId="3" borderId="5" xfId="0" applyFont="1" applyFill="1" applyBorder="1" applyAlignment="1" applyProtection="1">
      <alignment horizontal="justify" vertical="center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justify" vertical="center" wrapText="1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justify" vertical="center" wrapText="1"/>
      <protection locked="0"/>
    </xf>
    <xf numFmtId="0" fontId="1" fillId="0" borderId="7" xfId="0" applyFont="1" applyBorder="1" applyAlignment="1" applyProtection="1">
      <alignment horizontal="justify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justify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center" indent="1"/>
      <protection locked="0"/>
    </xf>
    <xf numFmtId="0" fontId="1" fillId="0" borderId="6" xfId="0" applyFont="1" applyBorder="1" applyAlignment="1" applyProtection="1">
      <alignment horizontal="left" vertical="center" indent="1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justify"/>
      <protection locked="0"/>
    </xf>
    <xf numFmtId="0" fontId="1" fillId="0" borderId="6" xfId="0" applyFont="1" applyBorder="1" applyAlignment="1" applyProtection="1">
      <alignment horizontal="justify" vertical="center" wrapText="1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4" fontId="19" fillId="0" borderId="2" xfId="0" applyNumberFormat="1" applyFont="1" applyBorder="1" applyAlignment="1" applyProtection="1">
      <alignment horizontal="right" vertical="center" wrapText="1"/>
      <protection locked="0"/>
    </xf>
    <xf numFmtId="4" fontId="9" fillId="0" borderId="3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vertical="center" wrapText="1"/>
      <protection locked="0"/>
    </xf>
    <xf numFmtId="0" fontId="6" fillId="4" borderId="8" xfId="0" applyFont="1" applyFill="1" applyBorder="1" applyAlignment="1" applyProtection="1">
      <alignment horizontal="left" vertical="center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14" fillId="3" borderId="7" xfId="0" applyFont="1" applyFill="1" applyBorder="1" applyAlignment="1" applyProtection="1">
      <alignment vertical="center"/>
      <protection locked="0"/>
    </xf>
    <xf numFmtId="4" fontId="14" fillId="3" borderId="9" xfId="0" applyNumberFormat="1" applyFont="1" applyFill="1" applyBorder="1" applyAlignment="1" applyProtection="1">
      <alignment horizontal="right" vertical="center"/>
      <protection locked="0"/>
    </xf>
    <xf numFmtId="0" fontId="14" fillId="3" borderId="5" xfId="0" applyFont="1" applyFill="1" applyBorder="1" applyAlignment="1" applyProtection="1">
      <alignment vertical="center"/>
      <protection locked="0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4" fontId="6" fillId="2" borderId="35" xfId="0" applyNumberFormat="1" applyFont="1" applyFill="1" applyBorder="1" applyAlignment="1">
      <alignment horizontal="right" vertical="center" wrapText="1"/>
    </xf>
    <xf numFmtId="0" fontId="17" fillId="3" borderId="34" xfId="0" applyFont="1" applyFill="1" applyBorder="1" applyAlignment="1" applyProtection="1">
      <alignment vertical="center"/>
      <protection locked="0"/>
    </xf>
    <xf numFmtId="0" fontId="17" fillId="3" borderId="21" xfId="0" applyFont="1" applyFill="1" applyBorder="1" applyAlignment="1" applyProtection="1">
      <alignment vertical="center"/>
      <protection locked="0"/>
    </xf>
    <xf numFmtId="0" fontId="14" fillId="3" borderId="21" xfId="0" applyFont="1" applyFill="1" applyBorder="1" applyAlignment="1" applyProtection="1">
      <alignment horizontal="justify" vertical="center"/>
      <protection locked="0"/>
    </xf>
    <xf numFmtId="4" fontId="6" fillId="0" borderId="35" xfId="0" applyNumberFormat="1" applyFont="1" applyBorder="1" applyAlignment="1">
      <alignment horizontal="right" vertical="center" wrapText="1"/>
    </xf>
    <xf numFmtId="43" fontId="6" fillId="0" borderId="17" xfId="0" applyNumberFormat="1" applyFont="1" applyBorder="1" applyAlignment="1" applyProtection="1">
      <alignment horizontal="right" vertical="center" wrapText="1"/>
      <protection locked="0"/>
    </xf>
    <xf numFmtId="43" fontId="6" fillId="0" borderId="16" xfId="0" applyNumberFormat="1" applyFont="1" applyBorder="1" applyAlignment="1" applyProtection="1">
      <alignment horizontal="right" vertical="center" wrapText="1"/>
      <protection locked="0"/>
    </xf>
    <xf numFmtId="0" fontId="6" fillId="0" borderId="17" xfId="0" applyFont="1" applyBorder="1" applyAlignment="1" applyProtection="1">
      <alignment horizontal="right" vertical="center" wrapText="1"/>
      <protection locked="0"/>
    </xf>
    <xf numFmtId="0" fontId="14" fillId="3" borderId="17" xfId="0" applyFont="1" applyFill="1" applyBorder="1" applyAlignment="1" applyProtection="1">
      <alignment horizontal="right" vertical="center"/>
      <protection locked="0"/>
    </xf>
    <xf numFmtId="0" fontId="17" fillId="2" borderId="34" xfId="0" applyFont="1" applyFill="1" applyBorder="1" applyAlignment="1" applyProtection="1">
      <alignment vertical="center"/>
      <protection locked="0"/>
    </xf>
    <xf numFmtId="0" fontId="17" fillId="2" borderId="21" xfId="0" applyFont="1" applyFill="1" applyBorder="1" applyAlignment="1" applyProtection="1">
      <alignment vertical="center"/>
      <protection locked="0"/>
    </xf>
    <xf numFmtId="0" fontId="14" fillId="2" borderId="21" xfId="0" applyFont="1" applyFill="1" applyBorder="1" applyAlignment="1" applyProtection="1">
      <alignment horizontal="justify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4" borderId="7" xfId="0" applyFont="1" applyFill="1" applyBorder="1" applyAlignment="1" applyProtection="1">
      <alignment horizontal="left" vertical="center"/>
      <protection locked="0"/>
    </xf>
    <xf numFmtId="4" fontId="6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6" fillId="4" borderId="9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2" xfId="0" applyFont="1" applyFill="1" applyBorder="1" applyAlignment="1" applyProtection="1">
      <alignment horizontal="justify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4" fontId="14" fillId="3" borderId="3" xfId="0" applyNumberFormat="1" applyFont="1" applyFill="1" applyBorder="1" applyAlignment="1" applyProtection="1">
      <alignment horizontal="right" vertical="center"/>
      <protection locked="0"/>
    </xf>
    <xf numFmtId="0" fontId="21" fillId="3" borderId="8" xfId="0" applyFont="1" applyFill="1" applyBorder="1" applyAlignment="1" applyProtection="1">
      <alignment horizontal="justify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2" fillId="3" borderId="26" xfId="0" applyFont="1" applyFill="1" applyBorder="1" applyAlignment="1" applyProtection="1">
      <alignment horizontal="justify" vertical="center"/>
      <protection locked="0"/>
    </xf>
    <xf numFmtId="0" fontId="2" fillId="3" borderId="14" xfId="0" applyFont="1" applyFill="1" applyBorder="1" applyAlignment="1" applyProtection="1">
      <alignment horizontal="justify" vertical="center"/>
      <protection locked="0"/>
    </xf>
    <xf numFmtId="0" fontId="15" fillId="3" borderId="14" xfId="0" applyFont="1" applyFill="1" applyBorder="1" applyAlignment="1" applyProtection="1">
      <alignment horizontal="justify" vertical="center"/>
      <protection locked="0"/>
    </xf>
    <xf numFmtId="0" fontId="2" fillId="3" borderId="27" xfId="0" applyFont="1" applyFill="1" applyBorder="1" applyAlignment="1" applyProtection="1">
      <alignment horizontal="justify" vertical="center"/>
      <protection locked="0"/>
    </xf>
    <xf numFmtId="0" fontId="15" fillId="3" borderId="27" xfId="0" applyFont="1" applyFill="1" applyBorder="1" applyAlignment="1" applyProtection="1">
      <alignment horizontal="justify" vertical="center"/>
      <protection locked="0"/>
    </xf>
    <xf numFmtId="0" fontId="14" fillId="3" borderId="1" xfId="0" applyFont="1" applyFill="1" applyBorder="1" applyAlignment="1" applyProtection="1">
      <alignment horizontal="justify" vertical="center"/>
      <protection locked="0"/>
    </xf>
    <xf numFmtId="0" fontId="17" fillId="3" borderId="7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horizontal="justify"/>
      <protection locked="0"/>
    </xf>
    <xf numFmtId="0" fontId="34" fillId="0" borderId="0" xfId="0" applyFont="1" applyAlignment="1" applyProtection="1">
      <alignment horizontal="right"/>
      <protection locked="0"/>
    </xf>
    <xf numFmtId="0" fontId="1" fillId="0" borderId="38" xfId="0" applyFont="1" applyBorder="1" applyAlignment="1" applyProtection="1">
      <alignment horizontal="left" vertical="center" wrapText="1" indent="2"/>
      <protection locked="0"/>
    </xf>
    <xf numFmtId="0" fontId="1" fillId="0" borderId="39" xfId="0" applyFont="1" applyBorder="1" applyAlignment="1" applyProtection="1">
      <alignment horizontal="justify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9" fontId="20" fillId="0" borderId="16" xfId="0" applyNumberFormat="1" applyFont="1" applyBorder="1" applyAlignment="1" applyProtection="1">
      <alignment horizontal="center" vertical="center" wrapText="1"/>
      <protection locked="0"/>
    </xf>
    <xf numFmtId="49" fontId="20" fillId="0" borderId="18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0" fontId="18" fillId="0" borderId="38" xfId="0" applyFont="1" applyBorder="1" applyAlignment="1" applyProtection="1">
      <alignment horizontal="justify" vertical="center" wrapText="1"/>
      <protection locked="0"/>
    </xf>
    <xf numFmtId="0" fontId="3" fillId="0" borderId="34" xfId="0" applyFont="1" applyBorder="1" applyAlignment="1" applyProtection="1">
      <alignment horizontal="justify" vertical="center" wrapTex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" fillId="0" borderId="38" xfId="0" applyFont="1" applyBorder="1" applyAlignment="1" applyProtection="1">
      <alignment horizontal="justify" vertical="center" wrapText="1"/>
      <protection locked="0"/>
    </xf>
    <xf numFmtId="4" fontId="1" fillId="0" borderId="17" xfId="0" applyNumberFormat="1" applyFont="1" applyBorder="1" applyAlignment="1">
      <alignment horizontal="justify" vertical="center" wrapText="1"/>
    </xf>
    <xf numFmtId="4" fontId="1" fillId="0" borderId="37" xfId="0" applyNumberFormat="1" applyFont="1" applyBorder="1" applyAlignment="1">
      <alignment horizontal="justify" vertical="center" wrapText="1"/>
    </xf>
    <xf numFmtId="4" fontId="1" fillId="0" borderId="17" xfId="0" applyNumberFormat="1" applyFont="1" applyBorder="1" applyAlignment="1" applyProtection="1">
      <alignment horizontal="right" vertical="center" wrapText="1"/>
      <protection locked="0"/>
    </xf>
    <xf numFmtId="4" fontId="1" fillId="0" borderId="17" xfId="0" applyNumberFormat="1" applyFont="1" applyBorder="1" applyAlignment="1">
      <alignment horizontal="right" vertical="center" wrapText="1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4" fontId="1" fillId="0" borderId="37" xfId="0" applyNumberFormat="1" applyFont="1" applyBorder="1" applyAlignment="1">
      <alignment horizontal="right" vertical="center" wrapText="1"/>
    </xf>
    <xf numFmtId="0" fontId="1" fillId="0" borderId="38" xfId="0" applyFont="1" applyBorder="1" applyAlignment="1" applyProtection="1">
      <alignment horizontal="left" vertical="center" wrapText="1" indent="1"/>
      <protection locked="0"/>
    </xf>
    <xf numFmtId="4" fontId="6" fillId="0" borderId="0" xfId="0" applyNumberFormat="1" applyFont="1" applyAlignment="1" applyProtection="1">
      <alignment horizontal="right" vertical="top"/>
      <protection locked="0"/>
    </xf>
    <xf numFmtId="4" fontId="10" fillId="0" borderId="15" xfId="0" applyNumberFormat="1" applyFont="1" applyBorder="1" applyAlignment="1" applyProtection="1">
      <alignment horizontal="center" vertical="center" wrapText="1"/>
      <protection locked="0"/>
    </xf>
    <xf numFmtId="4" fontId="10" fillId="0" borderId="22" xfId="0" applyNumberFormat="1" applyFont="1" applyBorder="1" applyAlignment="1" applyProtection="1">
      <alignment horizontal="center" vertical="center" wrapText="1"/>
      <protection locked="0"/>
    </xf>
    <xf numFmtId="4" fontId="10" fillId="0" borderId="16" xfId="0" applyNumberFormat="1" applyFont="1" applyBorder="1" applyAlignment="1" applyProtection="1">
      <alignment horizontal="center" vertical="center" wrapText="1"/>
      <protection locked="0"/>
    </xf>
    <xf numFmtId="4" fontId="10" fillId="0" borderId="18" xfId="0" applyNumberFormat="1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justify" vertical="center" wrapText="1"/>
      <protection locked="0"/>
    </xf>
    <xf numFmtId="4" fontId="5" fillId="0" borderId="17" xfId="0" applyNumberFormat="1" applyFont="1" applyBorder="1" applyAlignment="1" applyProtection="1">
      <alignment horizontal="justify" vertical="center" wrapText="1"/>
      <protection locked="0"/>
    </xf>
    <xf numFmtId="4" fontId="5" fillId="0" borderId="37" xfId="0" applyNumberFormat="1" applyFont="1" applyBorder="1" applyAlignment="1" applyProtection="1">
      <alignment horizontal="justify" vertical="center" wrapText="1"/>
      <protection locked="0"/>
    </xf>
    <xf numFmtId="0" fontId="9" fillId="4" borderId="0" xfId="0" applyFont="1" applyFill="1" applyAlignment="1" applyProtection="1">
      <alignment horizontal="right"/>
      <protection locked="0"/>
    </xf>
    <xf numFmtId="0" fontId="23" fillId="0" borderId="0" xfId="0" applyFont="1" applyProtection="1">
      <protection locked="0"/>
    </xf>
    <xf numFmtId="0" fontId="24" fillId="0" borderId="25" xfId="0" applyFont="1" applyBorder="1" applyAlignment="1" applyProtection="1">
      <alignment horizontal="center" vertical="center" wrapText="1"/>
      <protection locked="0"/>
    </xf>
    <xf numFmtId="0" fontId="24" fillId="0" borderId="15" xfId="0" applyFont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0" fontId="24" fillId="0" borderId="24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4" fontId="24" fillId="0" borderId="17" xfId="0" applyNumberFormat="1" applyFont="1" applyBorder="1" applyAlignment="1" applyProtection="1">
      <alignment horizontal="right" vertical="center"/>
      <protection locked="0"/>
    </xf>
    <xf numFmtId="4" fontId="24" fillId="0" borderId="14" xfId="0" applyNumberFormat="1" applyFont="1" applyBorder="1" applyAlignment="1" applyProtection="1">
      <alignment horizontal="right" vertical="center"/>
      <protection locked="0"/>
    </xf>
    <xf numFmtId="0" fontId="24" fillId="0" borderId="14" xfId="0" applyFont="1" applyBorder="1" applyAlignment="1" applyProtection="1">
      <alignment horizontal="left" vertical="center"/>
      <protection locked="0"/>
    </xf>
    <xf numFmtId="0" fontId="24" fillId="0" borderId="14" xfId="0" applyFont="1" applyBorder="1" applyAlignment="1" applyProtection="1">
      <alignment horizontal="left" vertical="center" wrapText="1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4" fontId="24" fillId="0" borderId="17" xfId="0" applyNumberFormat="1" applyFont="1" applyBorder="1" applyAlignment="1">
      <alignment horizontal="right" vertical="center"/>
    </xf>
    <xf numFmtId="4" fontId="24" fillId="0" borderId="14" xfId="0" applyNumberFormat="1" applyFont="1" applyBorder="1" applyAlignment="1">
      <alignment horizontal="right" vertical="center"/>
    </xf>
    <xf numFmtId="4" fontId="24" fillId="0" borderId="6" xfId="0" applyNumberFormat="1" applyFont="1" applyBorder="1" applyAlignment="1">
      <alignment horizontal="right" vertical="center"/>
    </xf>
    <xf numFmtId="4" fontId="24" fillId="0" borderId="21" xfId="0" applyNumberFormat="1" applyFont="1" applyBorder="1" applyAlignment="1">
      <alignment horizontal="right" vertical="center"/>
    </xf>
    <xf numFmtId="4" fontId="24" fillId="0" borderId="35" xfId="0" applyNumberFormat="1" applyFont="1" applyBorder="1" applyAlignment="1">
      <alignment horizontal="right" vertical="center"/>
    </xf>
    <xf numFmtId="0" fontId="16" fillId="0" borderId="0" xfId="0" applyFont="1" applyProtection="1"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4" fontId="24" fillId="0" borderId="12" xfId="0" applyNumberFormat="1" applyFont="1" applyBorder="1" applyAlignment="1">
      <alignment horizontal="right" vertical="center"/>
    </xf>
    <xf numFmtId="0" fontId="10" fillId="0" borderId="0" xfId="0" applyFont="1" applyAlignment="1" applyProtection="1">
      <alignment vertical="center"/>
      <protection locked="0"/>
    </xf>
    <xf numFmtId="4" fontId="6" fillId="0" borderId="8" xfId="0" applyNumberFormat="1" applyFont="1" applyBorder="1" applyAlignment="1" applyProtection="1">
      <alignment horizontal="left" vertical="top"/>
      <protection locked="0"/>
    </xf>
    <xf numFmtId="0" fontId="6" fillId="0" borderId="34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17" fillId="0" borderId="36" xfId="0" applyFont="1" applyBorder="1" applyAlignment="1" applyProtection="1">
      <alignment vertical="center"/>
      <protection locked="0"/>
    </xf>
    <xf numFmtId="0" fontId="2" fillId="0" borderId="38" xfId="0" applyFont="1" applyBorder="1" applyAlignment="1" applyProtection="1">
      <alignment horizontal="left" vertical="center" indent="3"/>
      <protection locked="0"/>
    </xf>
    <xf numFmtId="0" fontId="2" fillId="0" borderId="2" xfId="0" applyFont="1" applyBorder="1" applyAlignment="1" applyProtection="1">
      <alignment horizontal="justify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justify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>
      <alignment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6" fillId="2" borderId="22" xfId="0" applyNumberFormat="1" applyFont="1" applyFill="1" applyBorder="1" applyAlignment="1">
      <alignment horizontal="right" vertical="center" wrapText="1"/>
    </xf>
    <xf numFmtId="4" fontId="14" fillId="0" borderId="37" xfId="0" applyNumberFormat="1" applyFont="1" applyBorder="1" applyAlignment="1">
      <alignment horizontal="right" vertical="center"/>
    </xf>
    <xf numFmtId="4" fontId="14" fillId="0" borderId="18" xfId="0" applyNumberFormat="1" applyFont="1" applyBorder="1" applyAlignment="1">
      <alignment horizontal="right" vertical="center"/>
    </xf>
    <xf numFmtId="4" fontId="14" fillId="0" borderId="2" xfId="0" applyNumberFormat="1" applyFont="1" applyBorder="1" applyAlignment="1">
      <alignment horizontal="right" vertical="center"/>
    </xf>
    <xf numFmtId="4" fontId="14" fillId="0" borderId="8" xfId="0" applyNumberFormat="1" applyFont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" fontId="14" fillId="3" borderId="37" xfId="0" applyNumberFormat="1" applyFont="1" applyFill="1" applyBorder="1" applyAlignment="1">
      <alignment horizontal="right" vertical="center"/>
    </xf>
    <xf numFmtId="4" fontId="14" fillId="3" borderId="18" xfId="0" applyNumberFormat="1" applyFont="1" applyFill="1" applyBorder="1" applyAlignment="1">
      <alignment horizontal="right" vertical="center"/>
    </xf>
    <xf numFmtId="0" fontId="36" fillId="0" borderId="0" xfId="0" applyFont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4" fontId="0" fillId="0" borderId="8" xfId="0" applyNumberFormat="1" applyBorder="1" applyAlignment="1" applyProtection="1">
      <alignment horizontal="center"/>
      <protection locked="0"/>
    </xf>
    <xf numFmtId="0" fontId="32" fillId="0" borderId="0" xfId="0" applyFont="1" applyAlignment="1">
      <alignment horizontal="left"/>
    </xf>
    <xf numFmtId="3" fontId="18" fillId="0" borderId="17" xfId="0" applyNumberFormat="1" applyFont="1" applyBorder="1" applyAlignment="1" applyProtection="1">
      <alignment horizontal="right" vertical="center" wrapText="1"/>
      <protection locked="0"/>
    </xf>
    <xf numFmtId="3" fontId="18" fillId="0" borderId="17" xfId="0" applyNumberFormat="1" applyFont="1" applyBorder="1" applyAlignment="1">
      <alignment horizontal="right" vertical="center" wrapText="1"/>
    </xf>
    <xf numFmtId="3" fontId="3" fillId="0" borderId="21" xfId="0" applyNumberFormat="1" applyFont="1" applyBorder="1" applyAlignment="1">
      <alignment horizontal="right" vertical="center" wrapText="1"/>
    </xf>
    <xf numFmtId="0" fontId="3" fillId="0" borderId="38" xfId="0" applyFont="1" applyBorder="1" applyAlignment="1" applyProtection="1">
      <alignment vertical="center" wrapText="1"/>
      <protection locked="0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37" xfId="0" applyNumberFormat="1" applyFont="1" applyBorder="1" applyAlignment="1">
      <alignment horizontal="right" vertical="center" wrapText="1"/>
    </xf>
    <xf numFmtId="3" fontId="1" fillId="0" borderId="17" xfId="0" applyNumberFormat="1" applyFont="1" applyBorder="1" applyAlignment="1" applyProtection="1">
      <alignment horizontal="right" vertical="center" wrapText="1"/>
      <protection locked="0"/>
    </xf>
    <xf numFmtId="3" fontId="1" fillId="0" borderId="17" xfId="0" applyNumberFormat="1" applyFont="1" applyBorder="1" applyAlignment="1">
      <alignment horizontal="right" vertical="center" wrapText="1"/>
    </xf>
    <xf numFmtId="3" fontId="1" fillId="0" borderId="37" xfId="0" applyNumberFormat="1" applyFont="1" applyBorder="1" applyAlignment="1">
      <alignment horizontal="right" vertical="center" wrapText="1"/>
    </xf>
    <xf numFmtId="0" fontId="1" fillId="0" borderId="38" xfId="0" applyFont="1" applyBorder="1" applyAlignment="1" applyProtection="1">
      <alignment horizontal="left" vertical="top" wrapText="1" indent="2"/>
      <protection locked="0"/>
    </xf>
    <xf numFmtId="3" fontId="1" fillId="0" borderId="21" xfId="0" applyNumberFormat="1" applyFont="1" applyBorder="1" applyAlignment="1">
      <alignment horizontal="right" vertical="center" wrapText="1"/>
    </xf>
    <xf numFmtId="3" fontId="1" fillId="0" borderId="35" xfId="0" applyNumberFormat="1" applyFont="1" applyBorder="1" applyAlignment="1">
      <alignment horizontal="right" vertical="center" wrapText="1"/>
    </xf>
    <xf numFmtId="3" fontId="3" fillId="0" borderId="35" xfId="0" applyNumberFormat="1" applyFont="1" applyBorder="1" applyAlignment="1">
      <alignment horizontal="right" vertical="center" wrapText="1"/>
    </xf>
    <xf numFmtId="3" fontId="1" fillId="0" borderId="16" xfId="0" applyNumberFormat="1" applyFont="1" applyBorder="1" applyAlignment="1">
      <alignment horizontal="right" vertical="center" wrapText="1"/>
    </xf>
    <xf numFmtId="3" fontId="1" fillId="0" borderId="18" xfId="0" applyNumberFormat="1" applyFont="1" applyBorder="1" applyAlignment="1">
      <alignment horizontal="right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3" fontId="3" fillId="0" borderId="18" xfId="0" applyNumberFormat="1" applyFont="1" applyBorder="1" applyAlignment="1">
      <alignment horizontal="right" vertical="center" wrapText="1"/>
    </xf>
    <xf numFmtId="3" fontId="18" fillId="0" borderId="37" xfId="0" applyNumberFormat="1" applyFont="1" applyBorder="1" applyAlignment="1">
      <alignment horizontal="right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38" xfId="0" applyFont="1" applyBorder="1" applyAlignment="1">
      <alignment horizontal="left" vertical="center" wrapText="1" indent="3"/>
    </xf>
    <xf numFmtId="0" fontId="1" fillId="0" borderId="38" xfId="0" applyFont="1" applyBorder="1" applyAlignment="1">
      <alignment vertical="center" wrapText="1"/>
    </xf>
    <xf numFmtId="0" fontId="1" fillId="0" borderId="39" xfId="0" applyFont="1" applyBorder="1" applyAlignment="1">
      <alignment horizontal="left" vertical="center" wrapText="1" indent="3"/>
    </xf>
    <xf numFmtId="0" fontId="3" fillId="0" borderId="34" xfId="0" applyFont="1" applyBorder="1" applyAlignment="1">
      <alignment vertical="center" wrapText="1"/>
    </xf>
    <xf numFmtId="3" fontId="1" fillId="0" borderId="16" xfId="0" applyNumberFormat="1" applyFont="1" applyBorder="1" applyAlignment="1" applyProtection="1">
      <alignment horizontal="right" vertical="center" wrapText="1"/>
      <protection locked="0"/>
    </xf>
    <xf numFmtId="3" fontId="13" fillId="0" borderId="6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 applyProtection="1">
      <alignment horizontal="right" vertical="center"/>
      <protection locked="0"/>
    </xf>
    <xf numFmtId="3" fontId="1" fillId="0" borderId="6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 applyProtection="1">
      <alignment horizontal="right" vertical="center" wrapText="1"/>
      <protection locked="0"/>
    </xf>
    <xf numFmtId="3" fontId="1" fillId="0" borderId="9" xfId="0" applyNumberFormat="1" applyFont="1" applyBorder="1" applyAlignment="1" applyProtection="1">
      <alignment horizontal="right" vertical="center"/>
      <protection locked="0"/>
    </xf>
    <xf numFmtId="3" fontId="1" fillId="0" borderId="9" xfId="0" applyNumberFormat="1" applyFont="1" applyBorder="1" applyAlignment="1">
      <alignment horizontal="right" vertical="center"/>
    </xf>
    <xf numFmtId="3" fontId="1" fillId="0" borderId="13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 applyProtection="1">
      <alignment horizontal="justify" vertical="center" wrapText="1"/>
      <protection locked="0"/>
    </xf>
    <xf numFmtId="0" fontId="1" fillId="0" borderId="0" xfId="0" applyFont="1" applyAlignment="1" applyProtection="1">
      <alignment horizontal="left" vertical="center" wrapText="1" indent="2"/>
      <protection locked="0"/>
    </xf>
    <xf numFmtId="3" fontId="1" fillId="0" borderId="0" xfId="0" applyNumberFormat="1" applyFont="1" applyAlignment="1" applyProtection="1">
      <alignment horizontal="right" vertical="center" wrapText="1"/>
      <protection locked="0"/>
    </xf>
    <xf numFmtId="3" fontId="1" fillId="0" borderId="0" xfId="0" applyNumberFormat="1" applyFont="1" applyAlignment="1">
      <alignment horizontal="right" vertical="center" wrapText="1"/>
    </xf>
    <xf numFmtId="0" fontId="2" fillId="0" borderId="0" xfId="0" applyFont="1" applyAlignment="1" applyProtection="1">
      <alignment horizontal="justify" vertical="center"/>
      <protection locked="0"/>
    </xf>
    <xf numFmtId="0" fontId="14" fillId="0" borderId="0" xfId="0" applyFont="1" applyAlignment="1" applyProtection="1">
      <alignment horizontal="justify" vertical="center"/>
      <protection locked="0"/>
    </xf>
    <xf numFmtId="4" fontId="14" fillId="0" borderId="0" xfId="0" applyNumberFormat="1" applyFont="1" applyAlignment="1">
      <alignment horizontal="right" vertical="center"/>
    </xf>
    <xf numFmtId="0" fontId="17" fillId="0" borderId="0" xfId="0" applyFont="1" applyAlignment="1" applyProtection="1">
      <alignment vertical="center"/>
      <protection locked="0"/>
    </xf>
    <xf numFmtId="0" fontId="17" fillId="0" borderId="34" xfId="0" applyFont="1" applyBorder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center"/>
      <protection locked="0"/>
    </xf>
    <xf numFmtId="4" fontId="24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3" fontId="18" fillId="0" borderId="37" xfId="0" applyNumberFormat="1" applyFont="1" applyBorder="1" applyAlignment="1" applyProtection="1">
      <alignment horizontal="right" vertical="center" wrapText="1"/>
      <protection locked="0"/>
    </xf>
    <xf numFmtId="0" fontId="1" fillId="0" borderId="38" xfId="0" applyFont="1" applyBorder="1" applyAlignment="1">
      <alignment horizontal="justify" vertical="center" wrapText="1"/>
    </xf>
    <xf numFmtId="0" fontId="37" fillId="0" borderId="0" xfId="0" applyFont="1"/>
    <xf numFmtId="3" fontId="18" fillId="0" borderId="16" xfId="0" applyNumberFormat="1" applyFont="1" applyBorder="1" applyAlignment="1" applyProtection="1">
      <alignment horizontal="right" vertical="center" wrapText="1"/>
      <protection locked="0"/>
    </xf>
    <xf numFmtId="3" fontId="18" fillId="0" borderId="16" xfId="0" applyNumberFormat="1" applyFont="1" applyBorder="1" applyAlignment="1">
      <alignment horizontal="right" vertical="center" wrapText="1"/>
    </xf>
    <xf numFmtId="3" fontId="18" fillId="0" borderId="18" xfId="0" applyNumberFormat="1" applyFont="1" applyBorder="1" applyAlignment="1">
      <alignment horizontal="right" vertical="center" wrapText="1"/>
    </xf>
    <xf numFmtId="3" fontId="10" fillId="0" borderId="16" xfId="0" applyNumberFormat="1" applyFont="1" applyBorder="1" applyAlignment="1">
      <alignment horizontal="right" vertical="center" wrapText="1"/>
    </xf>
    <xf numFmtId="3" fontId="22" fillId="0" borderId="16" xfId="0" applyNumberFormat="1" applyFont="1" applyBorder="1" applyAlignment="1">
      <alignment horizontal="right" vertical="center" wrapText="1"/>
    </xf>
    <xf numFmtId="3" fontId="10" fillId="0" borderId="18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 applyProtection="1">
      <alignment horizontal="right" vertical="top"/>
      <protection locked="0"/>
    </xf>
    <xf numFmtId="0" fontId="3" fillId="0" borderId="2" xfId="0" applyFont="1" applyBorder="1" applyAlignment="1" applyProtection="1">
      <alignment horizontal="justify" vertical="center" wrapText="1"/>
      <protection locked="0"/>
    </xf>
    <xf numFmtId="3" fontId="3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 applyProtection="1">
      <alignment horizontal="justify"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4" fontId="19" fillId="0" borderId="0" xfId="0" applyNumberFormat="1" applyFont="1" applyAlignment="1" applyProtection="1">
      <alignment horizontal="right" vertical="center" wrapText="1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3" fontId="10" fillId="0" borderId="0" xfId="0" applyNumberFormat="1" applyFont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0" fillId="0" borderId="4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39" fillId="6" borderId="9" xfId="0" applyFont="1" applyFill="1" applyBorder="1" applyAlignment="1">
      <alignment horizontal="center" vertical="center" wrapText="1"/>
    </xf>
    <xf numFmtId="0" fontId="41" fillId="0" borderId="7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39" fillId="0" borderId="0" xfId="0" applyFont="1" applyAlignment="1">
      <alignment vertical="center"/>
    </xf>
    <xf numFmtId="0" fontId="39" fillId="0" borderId="5" xfId="0" applyFont="1" applyBorder="1" applyAlignment="1">
      <alignment horizontal="left" vertical="center" wrapText="1"/>
    </xf>
    <xf numFmtId="0" fontId="40" fillId="0" borderId="5" xfId="0" applyFont="1" applyBorder="1" applyAlignment="1">
      <alignment horizontal="left" vertical="center" wrapText="1"/>
    </xf>
    <xf numFmtId="0" fontId="40" fillId="0" borderId="5" xfId="0" applyFont="1" applyBorder="1" applyAlignment="1">
      <alignment horizontal="left" vertical="center" wrapText="1" indent="1"/>
    </xf>
    <xf numFmtId="0" fontId="39" fillId="0" borderId="7" xfId="0" applyFont="1" applyBorder="1" applyAlignment="1">
      <alignment horizontal="left" vertical="center" wrapText="1"/>
    </xf>
    <xf numFmtId="0" fontId="39" fillId="0" borderId="13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26" fillId="4" borderId="0" xfId="0" applyFont="1" applyFill="1" applyAlignment="1">
      <alignment vertical="center" wrapText="1"/>
    </xf>
    <xf numFmtId="0" fontId="38" fillId="4" borderId="0" xfId="0" applyFont="1" applyFill="1" applyAlignment="1">
      <alignment vertical="center" wrapText="1"/>
    </xf>
    <xf numFmtId="0" fontId="40" fillId="0" borderId="6" xfId="0" applyFont="1" applyBorder="1" applyAlignment="1">
      <alignment horizontal="right" vertical="center"/>
    </xf>
    <xf numFmtId="0" fontId="39" fillId="0" borderId="41" xfId="0" applyFont="1" applyBorder="1" applyAlignment="1">
      <alignment vertical="center"/>
    </xf>
    <xf numFmtId="43" fontId="40" fillId="0" borderId="6" xfId="0" applyNumberFormat="1" applyFont="1" applyBorder="1" applyAlignment="1">
      <alignment horizontal="right" vertical="center"/>
    </xf>
    <xf numFmtId="43" fontId="40" fillId="0" borderId="9" xfId="0" applyNumberFormat="1" applyFont="1" applyBorder="1" applyAlignment="1">
      <alignment horizontal="right" vertical="center"/>
    </xf>
    <xf numFmtId="43" fontId="39" fillId="0" borderId="6" xfId="0" applyNumberFormat="1" applyFont="1" applyBorder="1" applyAlignment="1">
      <alignment horizontal="right" vertical="center"/>
    </xf>
    <xf numFmtId="43" fontId="40" fillId="0" borderId="6" xfId="0" applyNumberFormat="1" applyFont="1" applyBorder="1" applyAlignment="1" applyProtection="1">
      <alignment horizontal="right" vertical="center"/>
      <protection locked="0"/>
    </xf>
    <xf numFmtId="43" fontId="40" fillId="0" borderId="9" xfId="0" applyNumberFormat="1" applyFont="1" applyBorder="1" applyAlignment="1" applyProtection="1">
      <alignment horizontal="right" vertical="center"/>
      <protection locked="0"/>
    </xf>
    <xf numFmtId="43" fontId="40" fillId="6" borderId="6" xfId="0" applyNumberFormat="1" applyFont="1" applyFill="1" applyBorder="1" applyAlignment="1">
      <alignment horizontal="right" vertical="center"/>
    </xf>
    <xf numFmtId="0" fontId="44" fillId="0" borderId="8" xfId="0" applyFont="1" applyBorder="1" applyAlignment="1">
      <alignment horizontal="left" vertical="center"/>
    </xf>
    <xf numFmtId="0" fontId="44" fillId="0" borderId="13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19" fillId="0" borderId="13" xfId="0" applyFont="1" applyBorder="1" applyAlignment="1">
      <alignment horizontal="justify" vertical="center" wrapText="1"/>
    </xf>
    <xf numFmtId="43" fontId="19" fillId="0" borderId="9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justify" vertical="center" wrapText="1"/>
    </xf>
    <xf numFmtId="43" fontId="11" fillId="0" borderId="6" xfId="0" applyNumberFormat="1" applyFont="1" applyBorder="1" applyAlignment="1">
      <alignment horizontal="right" vertical="center" wrapText="1"/>
    </xf>
    <xf numFmtId="43" fontId="43" fillId="0" borderId="4" xfId="0" applyNumberFormat="1" applyFont="1" applyBorder="1" applyAlignment="1">
      <alignment vertical="center"/>
    </xf>
    <xf numFmtId="43" fontId="44" fillId="0" borderId="4" xfId="0" applyNumberFormat="1" applyFont="1" applyBorder="1" applyAlignment="1">
      <alignment vertical="center"/>
    </xf>
    <xf numFmtId="43" fontId="44" fillId="0" borderId="6" xfId="0" applyNumberFormat="1" applyFont="1" applyBorder="1" applyAlignment="1">
      <alignment vertical="center"/>
    </xf>
    <xf numFmtId="43" fontId="44" fillId="0" borderId="4" xfId="0" applyNumberFormat="1" applyFont="1" applyBorder="1" applyAlignment="1" applyProtection="1">
      <alignment vertical="center"/>
      <protection locked="0"/>
    </xf>
    <xf numFmtId="0" fontId="43" fillId="0" borderId="9" xfId="0" applyFont="1" applyBorder="1" applyAlignment="1">
      <alignment horizontal="center" vertical="center" wrapText="1"/>
    </xf>
    <xf numFmtId="43" fontId="39" fillId="0" borderId="4" xfId="0" applyNumberFormat="1" applyFont="1" applyBorder="1" applyAlignment="1">
      <alignment horizontal="right" wrapText="1"/>
    </xf>
    <xf numFmtId="43" fontId="39" fillId="0" borderId="6" xfId="0" applyNumberFormat="1" applyFont="1" applyBorder="1" applyAlignment="1">
      <alignment horizontal="right" wrapText="1"/>
    </xf>
    <xf numFmtId="43" fontId="39" fillId="0" borderId="4" xfId="0" applyNumberFormat="1" applyFont="1" applyBorder="1" applyAlignment="1" applyProtection="1">
      <alignment horizontal="right" wrapText="1"/>
      <protection locked="0"/>
    </xf>
    <xf numFmtId="43" fontId="39" fillId="0" borderId="6" xfId="0" applyNumberFormat="1" applyFont="1" applyBorder="1" applyAlignment="1" applyProtection="1">
      <alignment horizontal="right" wrapText="1"/>
      <protection locked="0"/>
    </xf>
    <xf numFmtId="0" fontId="40" fillId="0" borderId="8" xfId="0" applyFont="1" applyBorder="1" applyAlignment="1">
      <alignment horizontal="left" vertical="center"/>
    </xf>
    <xf numFmtId="0" fontId="40" fillId="0" borderId="42" xfId="0" applyFont="1" applyBorder="1" applyAlignment="1">
      <alignment horizontal="left" vertical="justify"/>
    </xf>
    <xf numFmtId="43" fontId="44" fillId="0" borderId="13" xfId="0" applyNumberFormat="1" applyFont="1" applyBorder="1" applyAlignment="1" applyProtection="1">
      <alignment vertical="center"/>
      <protection locked="0"/>
    </xf>
    <xf numFmtId="43" fontId="44" fillId="0" borderId="13" xfId="0" applyNumberFormat="1" applyFont="1" applyBorder="1" applyAlignment="1">
      <alignment vertical="center"/>
    </xf>
    <xf numFmtId="43" fontId="44" fillId="0" borderId="9" xfId="0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43" fontId="11" fillId="0" borderId="6" xfId="0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43" fontId="11" fillId="0" borderId="6" xfId="0" applyNumberFormat="1" applyFont="1" applyBorder="1" applyAlignment="1" applyProtection="1">
      <alignment vertical="center"/>
      <protection locked="0"/>
    </xf>
    <xf numFmtId="0" fontId="20" fillId="0" borderId="5" xfId="0" applyFont="1" applyBorder="1" applyAlignment="1">
      <alignment horizontal="justify" vertical="center"/>
    </xf>
    <xf numFmtId="0" fontId="20" fillId="0" borderId="6" xfId="0" applyFont="1" applyBorder="1" applyAlignment="1">
      <alignment horizontal="justify" vertical="center"/>
    </xf>
    <xf numFmtId="43" fontId="20" fillId="0" borderId="6" xfId="0" applyNumberFormat="1" applyFont="1" applyBorder="1" applyAlignment="1">
      <alignment vertical="center"/>
    </xf>
    <xf numFmtId="43" fontId="20" fillId="0" borderId="6" xfId="0" applyNumberFormat="1" applyFont="1" applyBorder="1" applyAlignment="1" applyProtection="1">
      <alignment vertical="center"/>
      <protection locked="0"/>
    </xf>
    <xf numFmtId="0" fontId="11" fillId="0" borderId="7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43" fontId="11" fillId="0" borderId="9" xfId="0" applyNumberFormat="1" applyFont="1" applyBorder="1" applyAlignment="1" applyProtection="1">
      <alignment vertical="center"/>
      <protection locked="0"/>
    </xf>
    <xf numFmtId="43" fontId="11" fillId="0" borderId="9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43" fontId="11" fillId="0" borderId="0" xfId="0" applyNumberFormat="1" applyFont="1" applyAlignment="1" applyProtection="1">
      <alignment vertical="center"/>
      <protection locked="0"/>
    </xf>
    <xf numFmtId="43" fontId="11" fillId="0" borderId="0" xfId="0" applyNumberFormat="1" applyFont="1" applyAlignment="1">
      <alignment vertical="center"/>
    </xf>
    <xf numFmtId="0" fontId="44" fillId="0" borderId="7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3" fillId="0" borderId="6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43" fontId="40" fillId="0" borderId="4" xfId="0" applyNumberFormat="1" applyFont="1" applyBorder="1" applyAlignment="1" applyProtection="1">
      <alignment horizontal="right" vertical="center"/>
      <protection locked="0"/>
    </xf>
    <xf numFmtId="43" fontId="40" fillId="0" borderId="4" xfId="0" applyNumberFormat="1" applyFont="1" applyBorder="1" applyAlignment="1">
      <alignment horizontal="right" vertical="center"/>
    </xf>
    <xf numFmtId="0" fontId="40" fillId="0" borderId="42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center" vertical="top"/>
      <protection locked="0"/>
    </xf>
    <xf numFmtId="0" fontId="40" fillId="0" borderId="0" xfId="0" applyFont="1" applyAlignment="1">
      <alignment horizontal="left" vertical="center"/>
    </xf>
    <xf numFmtId="0" fontId="40" fillId="0" borderId="41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41" xfId="0" applyFont="1" applyBorder="1" applyAlignment="1">
      <alignment vertical="center"/>
    </xf>
    <xf numFmtId="0" fontId="40" fillId="0" borderId="41" xfId="0" applyFont="1" applyBorder="1" applyAlignment="1">
      <alignment horizontal="left" vertical="justify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center"/>
      <protection locked="0"/>
    </xf>
    <xf numFmtId="0" fontId="39" fillId="0" borderId="5" xfId="0" applyFont="1" applyBorder="1" applyAlignment="1">
      <alignment vertical="center"/>
    </xf>
    <xf numFmtId="0" fontId="40" fillId="0" borderId="5" xfId="0" applyFont="1" applyBorder="1" applyAlignment="1">
      <alignment vertical="center"/>
    </xf>
    <xf numFmtId="0" fontId="14" fillId="0" borderId="15" xfId="0" applyFont="1" applyBorder="1" applyAlignment="1" applyProtection="1">
      <alignment vertical="center"/>
      <protection locked="0"/>
    </xf>
    <xf numFmtId="3" fontId="3" fillId="0" borderId="9" xfId="0" applyNumberFormat="1" applyFont="1" applyBorder="1" applyAlignment="1">
      <alignment horizontal="right" vertical="center" wrapText="1"/>
    </xf>
    <xf numFmtId="0" fontId="10" fillId="0" borderId="10" xfId="0" applyFont="1" applyBorder="1" applyAlignment="1" applyProtection="1">
      <alignment vertical="center" wrapText="1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4" fontId="10" fillId="0" borderId="10" xfId="0" applyNumberFormat="1" applyFont="1" applyBorder="1" applyAlignment="1" applyProtection="1">
      <alignment vertical="center"/>
      <protection locked="0"/>
    </xf>
    <xf numFmtId="4" fontId="10" fillId="0" borderId="12" xfId="0" applyNumberFormat="1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horizontal="justify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49" fontId="3" fillId="4" borderId="1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4" xfId="0" applyNumberFormat="1" applyFont="1" applyBorder="1" applyAlignment="1" applyProtection="1">
      <alignment horizontal="right" vertical="center" wrapText="1"/>
      <protection locked="0"/>
    </xf>
    <xf numFmtId="4" fontId="3" fillId="0" borderId="4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 applyProtection="1">
      <alignment horizontal="right" vertical="center" wrapText="1"/>
      <protection locked="0"/>
    </xf>
    <xf numFmtId="3" fontId="1" fillId="0" borderId="4" xfId="0" applyNumberFormat="1" applyFont="1" applyBorder="1" applyAlignment="1">
      <alignment horizontal="right" vertical="center" wrapText="1"/>
    </xf>
    <xf numFmtId="3" fontId="1" fillId="0" borderId="13" xfId="0" applyNumberFormat="1" applyFont="1" applyBorder="1" applyAlignment="1" applyProtection="1">
      <alignment horizontal="right" vertical="center" wrapText="1"/>
      <protection locked="0"/>
    </xf>
    <xf numFmtId="3" fontId="1" fillId="0" borderId="13" xfId="0" applyNumberFormat="1" applyFont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 vertical="center" wrapText="1"/>
    </xf>
    <xf numFmtId="0" fontId="44" fillId="0" borderId="5" xfId="0" applyFont="1" applyBorder="1" applyAlignment="1">
      <alignment horizontal="left" vertical="center"/>
    </xf>
    <xf numFmtId="0" fontId="43" fillId="0" borderId="9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43" fontId="5" fillId="0" borderId="17" xfId="11" applyFont="1" applyFill="1" applyBorder="1" applyAlignment="1" applyProtection="1">
      <alignment horizontal="right" vertical="center"/>
      <protection locked="0"/>
    </xf>
    <xf numFmtId="43" fontId="5" fillId="0" borderId="16" xfId="11" applyFont="1" applyFill="1" applyBorder="1" applyAlignment="1" applyProtection="1">
      <alignment horizontal="right" vertical="center"/>
      <protection locked="0"/>
    </xf>
    <xf numFmtId="43" fontId="14" fillId="0" borderId="15" xfId="11" applyFont="1" applyFill="1" applyBorder="1" applyAlignment="1" applyProtection="1">
      <alignment horizontal="justify" vertical="center"/>
      <protection locked="0"/>
    </xf>
    <xf numFmtId="43" fontId="14" fillId="0" borderId="16" xfId="11" applyFont="1" applyFill="1" applyBorder="1" applyAlignment="1" applyProtection="1">
      <alignment horizontal="justify" vertical="center"/>
      <protection locked="0"/>
    </xf>
    <xf numFmtId="43" fontId="14" fillId="0" borderId="21" xfId="11" applyFont="1" applyFill="1" applyBorder="1" applyAlignment="1" applyProtection="1">
      <alignment horizontal="justify" vertical="center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3" fillId="4" borderId="48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vertical="center"/>
    </xf>
    <xf numFmtId="0" fontId="47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left" vertical="center"/>
      <protection locked="0"/>
    </xf>
    <xf numFmtId="4" fontId="48" fillId="0" borderId="0" xfId="0" applyNumberFormat="1" applyFont="1" applyAlignment="1" applyProtection="1">
      <alignment horizontal="right" vertical="center" wrapText="1"/>
      <protection locked="0"/>
    </xf>
    <xf numFmtId="4" fontId="48" fillId="0" borderId="0" xfId="0" applyNumberFormat="1" applyFont="1" applyAlignment="1" applyProtection="1">
      <alignment vertical="center"/>
      <protection locked="0"/>
    </xf>
    <xf numFmtId="0" fontId="51" fillId="0" borderId="0" xfId="0" applyFont="1" applyAlignment="1" applyProtection="1">
      <alignment vertical="center"/>
      <protection locked="0"/>
    </xf>
    <xf numFmtId="0" fontId="48" fillId="0" borderId="0" xfId="0" applyFont="1" applyAlignment="1" applyProtection="1">
      <alignment vertical="center"/>
      <protection locked="0"/>
    </xf>
    <xf numFmtId="43" fontId="18" fillId="0" borderId="2" xfId="11" applyFont="1" applyBorder="1" applyAlignment="1" applyProtection="1">
      <alignment horizontal="right" vertical="center" wrapText="1"/>
      <protection locked="0"/>
    </xf>
    <xf numFmtId="0" fontId="24" fillId="0" borderId="17" xfId="0" applyFont="1" applyBorder="1" applyAlignment="1" applyProtection="1">
      <alignment horizontal="right" vertical="center"/>
      <protection locked="0"/>
    </xf>
    <xf numFmtId="0" fontId="24" fillId="0" borderId="6" xfId="0" applyFont="1" applyBorder="1" applyAlignment="1" applyProtection="1">
      <alignment horizontal="right" vertical="center"/>
      <protection locked="0"/>
    </xf>
    <xf numFmtId="3" fontId="19" fillId="0" borderId="2" xfId="0" applyNumberFormat="1" applyFont="1" applyBorder="1" applyAlignment="1" applyProtection="1">
      <alignment horizontal="justify" vertical="center" wrapText="1"/>
      <protection locked="0"/>
    </xf>
    <xf numFmtId="0" fontId="0" fillId="4" borderId="0" xfId="0" applyFill="1"/>
    <xf numFmtId="167" fontId="0" fillId="4" borderId="0" xfId="0" applyNumberFormat="1" applyFill="1"/>
    <xf numFmtId="0" fontId="59" fillId="4" borderId="19" xfId="0" applyFont="1" applyFill="1" applyBorder="1" applyAlignment="1">
      <alignment horizontal="left" vertical="center" wrapText="1"/>
    </xf>
    <xf numFmtId="4" fontId="59" fillId="4" borderId="19" xfId="0" applyNumberFormat="1" applyFont="1" applyFill="1" applyBorder="1" applyAlignment="1">
      <alignment horizontal="left" vertical="center" wrapText="1"/>
    </xf>
    <xf numFmtId="43" fontId="11" fillId="4" borderId="19" xfId="0" applyNumberFormat="1" applyFont="1" applyFill="1" applyBorder="1" applyAlignment="1">
      <alignment vertical="center"/>
    </xf>
    <xf numFmtId="0" fontId="59" fillId="4" borderId="19" xfId="0" applyFont="1" applyFill="1" applyBorder="1" applyAlignment="1">
      <alignment horizontal="left" vertical="center" wrapText="1" indent="2"/>
    </xf>
    <xf numFmtId="0" fontId="59" fillId="4" borderId="19" xfId="0" applyFont="1" applyFill="1" applyBorder="1" applyAlignment="1">
      <alignment horizontal="left" vertical="center" wrapText="1" indent="4"/>
    </xf>
    <xf numFmtId="0" fontId="57" fillId="4" borderId="19" xfId="0" applyFont="1" applyFill="1" applyBorder="1" applyAlignment="1">
      <alignment vertical="center" wrapText="1"/>
    </xf>
    <xf numFmtId="4" fontId="57" fillId="4" borderId="19" xfId="0" applyNumberFormat="1" applyFont="1" applyFill="1" applyBorder="1" applyAlignment="1">
      <alignment horizontal="left" vertical="center" wrapText="1"/>
    </xf>
    <xf numFmtId="0" fontId="59" fillId="4" borderId="19" xfId="0" applyFont="1" applyFill="1" applyBorder="1" applyAlignment="1">
      <alignment horizontal="center" vertical="center" wrapText="1"/>
    </xf>
    <xf numFmtId="0" fontId="45" fillId="4" borderId="19" xfId="0" applyFont="1" applyFill="1" applyBorder="1"/>
    <xf numFmtId="0" fontId="59" fillId="0" borderId="19" xfId="0" applyFont="1" applyBorder="1" applyAlignment="1">
      <alignment horizontal="center" vertical="center" wrapText="1"/>
    </xf>
    <xf numFmtId="0" fontId="57" fillId="0" borderId="19" xfId="0" applyFont="1" applyBorder="1" applyAlignment="1">
      <alignment vertical="center" wrapText="1"/>
    </xf>
    <xf numFmtId="4" fontId="38" fillId="4" borderId="19" xfId="0" applyNumberFormat="1" applyFont="1" applyFill="1" applyBorder="1" applyAlignment="1">
      <alignment horizontal="left" vertical="center" wrapText="1"/>
    </xf>
    <xf numFmtId="0" fontId="45" fillId="4" borderId="19" xfId="0" applyFont="1" applyFill="1" applyBorder="1" applyAlignment="1">
      <alignment vertical="center" wrapText="1"/>
    </xf>
    <xf numFmtId="4" fontId="45" fillId="4" borderId="19" xfId="0" applyNumberFormat="1" applyFont="1" applyFill="1" applyBorder="1" applyAlignment="1">
      <alignment horizontal="left" vertical="center" wrapText="1"/>
    </xf>
    <xf numFmtId="0" fontId="59" fillId="4" borderId="19" xfId="0" applyFont="1" applyFill="1" applyBorder="1" applyAlignment="1">
      <alignment horizontal="left" vertical="center"/>
    </xf>
    <xf numFmtId="0" fontId="59" fillId="4" borderId="19" xfId="0" applyFont="1" applyFill="1" applyBorder="1" applyAlignment="1">
      <alignment horizontal="center" vertical="center"/>
    </xf>
    <xf numFmtId="0" fontId="57" fillId="4" borderId="19" xfId="0" applyFont="1" applyFill="1" applyBorder="1" applyAlignment="1">
      <alignment horizontal="right" vertical="center"/>
    </xf>
    <xf numFmtId="0" fontId="57" fillId="4" borderId="19" xfId="0" applyFont="1" applyFill="1" applyBorder="1" applyAlignment="1">
      <alignment horizontal="left" vertical="center" wrapText="1"/>
    </xf>
    <xf numFmtId="0" fontId="45" fillId="4" borderId="19" xfId="0" applyFont="1" applyFill="1" applyBorder="1" applyAlignment="1">
      <alignment horizontal="right" vertical="center"/>
    </xf>
    <xf numFmtId="0" fontId="45" fillId="4" borderId="19" xfId="0" applyFont="1" applyFill="1" applyBorder="1" applyAlignment="1">
      <alignment horizontal="left" vertical="center" wrapText="1"/>
    </xf>
    <xf numFmtId="0" fontId="38" fillId="4" borderId="19" xfId="0" applyFont="1" applyFill="1" applyBorder="1" applyAlignment="1">
      <alignment horizontal="left" vertical="center"/>
    </xf>
    <xf numFmtId="0" fontId="38" fillId="4" borderId="19" xfId="0" applyFont="1" applyFill="1" applyBorder="1" applyAlignment="1">
      <alignment horizontal="left" vertical="center" wrapText="1"/>
    </xf>
    <xf numFmtId="0" fontId="38" fillId="4" borderId="19" xfId="0" applyFont="1" applyFill="1" applyBorder="1" applyAlignment="1">
      <alignment horizontal="center" vertical="center"/>
    </xf>
    <xf numFmtId="0" fontId="59" fillId="0" borderId="57" xfId="0" applyFont="1" applyBorder="1" applyAlignment="1">
      <alignment horizontal="left" vertical="center"/>
    </xf>
    <xf numFmtId="0" fontId="59" fillId="0" borderId="19" xfId="0" applyFont="1" applyBorder="1" applyAlignment="1">
      <alignment horizontal="center" vertical="center"/>
    </xf>
    <xf numFmtId="0" fontId="59" fillId="0" borderId="17" xfId="0" applyFont="1" applyBorder="1" applyAlignment="1">
      <alignment horizontal="left" vertical="center" wrapText="1"/>
    </xf>
    <xf numFmtId="0" fontId="57" fillId="0" borderId="19" xfId="0" applyFont="1" applyBorder="1" applyAlignment="1">
      <alignment horizontal="right" vertical="center"/>
    </xf>
    <xf numFmtId="0" fontId="59" fillId="4" borderId="19" xfId="0" applyFont="1" applyFill="1" applyBorder="1" applyAlignment="1">
      <alignment horizontal="right" vertical="center"/>
    </xf>
    <xf numFmtId="0" fontId="37" fillId="4" borderId="19" xfId="0" applyFont="1" applyFill="1" applyBorder="1"/>
    <xf numFmtId="167" fontId="38" fillId="4" borderId="19" xfId="0" applyNumberFormat="1" applyFont="1" applyFill="1" applyBorder="1"/>
    <xf numFmtId="43" fontId="38" fillId="4" borderId="19" xfId="0" applyNumberFormat="1" applyFont="1" applyFill="1" applyBorder="1"/>
    <xf numFmtId="43" fontId="0" fillId="4" borderId="0" xfId="0" applyNumberFormat="1" applyFill="1"/>
    <xf numFmtId="2" fontId="0" fillId="4" borderId="0" xfId="0" applyNumberFormat="1" applyFill="1"/>
    <xf numFmtId="167" fontId="53" fillId="4" borderId="0" xfId="0" applyNumberFormat="1" applyFont="1" applyFill="1"/>
    <xf numFmtId="0" fontId="45" fillId="4" borderId="0" xfId="0" applyFont="1" applyFill="1"/>
    <xf numFmtId="0" fontId="5" fillId="4" borderId="0" xfId="0" applyFont="1" applyFill="1" applyAlignment="1">
      <alignment vertical="center"/>
    </xf>
    <xf numFmtId="167" fontId="5" fillId="4" borderId="0" xfId="0" applyNumberFormat="1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27" fillId="4" borderId="0" xfId="0" applyFont="1" applyFill="1" applyAlignment="1">
      <alignment vertical="center"/>
    </xf>
    <xf numFmtId="9" fontId="0" fillId="4" borderId="0" xfId="6" applyFont="1" applyFill="1"/>
    <xf numFmtId="43" fontId="3" fillId="0" borderId="0" xfId="11" applyFont="1" applyAlignment="1" applyProtection="1">
      <alignment vertical="center" wrapText="1"/>
      <protection locked="0"/>
    </xf>
    <xf numFmtId="3" fontId="10" fillId="0" borderId="0" xfId="0" applyNumberFormat="1" applyFont="1" applyAlignment="1" applyProtection="1">
      <alignment horizontal="right" vertical="center" wrapText="1"/>
      <protection locked="0"/>
    </xf>
    <xf numFmtId="3" fontId="10" fillId="0" borderId="0" xfId="0" applyNumberFormat="1" applyFont="1" applyAlignment="1" applyProtection="1">
      <alignment vertical="center"/>
      <protection locked="0"/>
    </xf>
    <xf numFmtId="3" fontId="11" fillId="0" borderId="0" xfId="0" applyNumberFormat="1" applyFont="1" applyAlignment="1" applyProtection="1">
      <alignment horizontal="right" vertical="center" wrapText="1"/>
      <protection locked="0"/>
    </xf>
    <xf numFmtId="3" fontId="18" fillId="0" borderId="0" xfId="0" applyNumberFormat="1" applyFont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43" fontId="10" fillId="0" borderId="0" xfId="11" applyFont="1" applyAlignment="1" applyProtection="1">
      <alignment vertical="center" wrapText="1"/>
      <protection locked="0"/>
    </xf>
    <xf numFmtId="43" fontId="5" fillId="0" borderId="0" xfId="0" applyNumberFormat="1" applyFont="1" applyAlignment="1" applyProtection="1">
      <alignment horizontal="center" vertical="center"/>
      <protection locked="0"/>
    </xf>
    <xf numFmtId="167" fontId="3" fillId="0" borderId="0" xfId="11" applyNumberFormat="1" applyFont="1" applyAlignment="1" applyProtection="1">
      <alignment vertical="center" wrapText="1"/>
      <protection locked="0"/>
    </xf>
    <xf numFmtId="4" fontId="3" fillId="0" borderId="13" xfId="0" applyNumberFormat="1" applyFont="1" applyBorder="1" applyAlignment="1">
      <alignment horizontal="right" vertical="center" wrapText="1"/>
    </xf>
    <xf numFmtId="43" fontId="1" fillId="0" borderId="0" xfId="11" applyFont="1" applyProtection="1">
      <protection locked="0"/>
    </xf>
    <xf numFmtId="4" fontId="5" fillId="0" borderId="0" xfId="0" applyNumberFormat="1" applyFont="1" applyAlignment="1" applyProtection="1">
      <alignment vertical="center"/>
      <protection locked="0"/>
    </xf>
    <xf numFmtId="4" fontId="11" fillId="0" borderId="0" xfId="0" applyNumberFormat="1" applyFont="1" applyAlignment="1" applyProtection="1">
      <alignment horizontal="right" vertical="center" wrapText="1"/>
      <protection locked="0"/>
    </xf>
    <xf numFmtId="0" fontId="59" fillId="0" borderId="19" xfId="0" applyFont="1" applyBorder="1" applyAlignment="1">
      <alignment horizontal="left" vertical="center" wrapText="1" indent="4"/>
    </xf>
    <xf numFmtId="168" fontId="59" fillId="4" borderId="19" xfId="24" applyNumberFormat="1" applyFont="1" applyFill="1" applyBorder="1" applyAlignment="1">
      <alignment horizontal="right" vertical="center" indent="1"/>
    </xf>
    <xf numFmtId="168" fontId="57" fillId="4" borderId="19" xfId="24" applyNumberFormat="1" applyFont="1" applyFill="1" applyBorder="1" applyAlignment="1">
      <alignment horizontal="right" vertical="center" indent="1"/>
    </xf>
    <xf numFmtId="43" fontId="59" fillId="4" borderId="19" xfId="24" applyFont="1" applyFill="1" applyBorder="1" applyAlignment="1">
      <alignment horizontal="right" vertical="center" indent="1"/>
    </xf>
    <xf numFmtId="168" fontId="38" fillId="4" borderId="19" xfId="24" applyNumberFormat="1" applyFont="1" applyFill="1" applyBorder="1" applyAlignment="1">
      <alignment horizontal="right" vertical="center" indent="1"/>
    </xf>
    <xf numFmtId="168" fontId="60" fillId="4" borderId="19" xfId="24" applyNumberFormat="1" applyFont="1" applyFill="1" applyBorder="1" applyAlignment="1">
      <alignment horizontal="right" vertical="center" indent="1"/>
    </xf>
    <xf numFmtId="167" fontId="38" fillId="4" borderId="50" xfId="24" applyNumberFormat="1" applyFont="1" applyFill="1" applyBorder="1"/>
    <xf numFmtId="43" fontId="11" fillId="0" borderId="0" xfId="11" applyFont="1" applyAlignment="1" applyProtection="1">
      <alignment vertical="center"/>
      <protection locked="0"/>
    </xf>
    <xf numFmtId="3" fontId="11" fillId="0" borderId="0" xfId="0" applyNumberFormat="1" applyFont="1" applyAlignment="1" applyProtection="1">
      <alignment vertical="center"/>
      <protection locked="0"/>
    </xf>
    <xf numFmtId="3" fontId="18" fillId="4" borderId="17" xfId="0" applyNumberFormat="1" applyFont="1" applyFill="1" applyBorder="1" applyAlignment="1" applyProtection="1">
      <alignment horizontal="right" vertical="center" wrapText="1"/>
      <protection locked="0"/>
    </xf>
    <xf numFmtId="43" fontId="18" fillId="0" borderId="0" xfId="11" applyFont="1" applyAlignment="1" applyProtection="1">
      <alignment vertical="center"/>
      <protection locked="0"/>
    </xf>
    <xf numFmtId="43" fontId="10" fillId="0" borderId="0" xfId="11" applyFont="1" applyAlignment="1" applyProtection="1">
      <alignment horizontal="center" vertical="center" wrapText="1"/>
      <protection locked="0"/>
    </xf>
    <xf numFmtId="43" fontId="5" fillId="0" borderId="0" xfId="0" applyNumberFormat="1" applyFont="1" applyAlignment="1" applyProtection="1">
      <alignment vertical="center"/>
      <protection locked="0"/>
    </xf>
    <xf numFmtId="168" fontId="57" fillId="4" borderId="19" xfId="11" applyNumberFormat="1" applyFont="1" applyFill="1" applyBorder="1" applyAlignment="1">
      <alignment horizontal="right" vertical="center" indent="1"/>
    </xf>
    <xf numFmtId="168" fontId="59" fillId="4" borderId="19" xfId="11" applyNumberFormat="1" applyFont="1" applyFill="1" applyBorder="1" applyAlignment="1">
      <alignment horizontal="right" vertical="center" indent="1"/>
    </xf>
    <xf numFmtId="4" fontId="59" fillId="4" borderId="19" xfId="0" applyNumberFormat="1" applyFont="1" applyFill="1" applyBorder="1" applyAlignment="1">
      <alignment horizontal="left" vertical="top" wrapText="1"/>
    </xf>
    <xf numFmtId="0" fontId="59" fillId="4" borderId="19" xfId="0" applyFont="1" applyFill="1" applyBorder="1" applyAlignment="1">
      <alignment horizontal="left" vertical="top" wrapText="1"/>
    </xf>
    <xf numFmtId="3" fontId="18" fillId="4" borderId="17" xfId="0" applyNumberFormat="1" applyFont="1" applyFill="1" applyBorder="1" applyAlignment="1">
      <alignment horizontal="right" vertical="center" wrapText="1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0" fillId="0" borderId="8" xfId="0" applyFont="1" applyBorder="1" applyAlignment="1" applyProtection="1">
      <alignment horizontal="center" vertical="center"/>
      <protection locked="0"/>
    </xf>
    <xf numFmtId="0" fontId="38" fillId="4" borderId="8" xfId="0" applyFont="1" applyFill="1" applyBorder="1" applyAlignment="1">
      <alignment horizontal="center" vertical="center" wrapText="1"/>
    </xf>
    <xf numFmtId="0" fontId="48" fillId="0" borderId="0" xfId="0" applyFont="1" applyAlignment="1" applyProtection="1">
      <alignment horizontal="left" vertical="center" wrapText="1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left" vertical="center" wrapText="1" indent="1"/>
      <protection locked="0"/>
    </xf>
    <xf numFmtId="0" fontId="1" fillId="0" borderId="6" xfId="0" applyFont="1" applyBorder="1" applyAlignment="1" applyProtection="1">
      <alignment horizontal="left" vertical="center" wrapText="1" indent="1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41" fillId="0" borderId="8" xfId="0" applyFont="1" applyBorder="1" applyAlignment="1">
      <alignment horizontal="left" vertical="center"/>
    </xf>
    <xf numFmtId="0" fontId="41" fillId="0" borderId="42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4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41" xfId="0" applyFont="1" applyBorder="1" applyAlignment="1">
      <alignment horizontal="left" vertical="center"/>
    </xf>
    <xf numFmtId="0" fontId="40" fillId="0" borderId="0" xfId="0" applyFont="1" applyAlignment="1">
      <alignment horizontal="left" vertical="justify"/>
    </xf>
    <xf numFmtId="0" fontId="40" fillId="0" borderId="41" xfId="0" applyFont="1" applyBorder="1" applyAlignment="1">
      <alignment horizontal="left" vertical="justify"/>
    </xf>
    <xf numFmtId="0" fontId="42" fillId="0" borderId="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1" xfId="0" applyFont="1" applyBorder="1" applyAlignment="1">
      <alignment horizontal="left" vertical="center"/>
    </xf>
    <xf numFmtId="43" fontId="39" fillId="0" borderId="43" xfId="0" applyNumberFormat="1" applyFont="1" applyBorder="1" applyAlignment="1">
      <alignment horizontal="right" vertical="center"/>
    </xf>
    <xf numFmtId="43" fontId="40" fillId="0" borderId="43" xfId="0" applyNumberFormat="1" applyFont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40" fillId="0" borderId="41" xfId="0" applyFont="1" applyBorder="1" applyAlignment="1">
      <alignment vertical="center"/>
    </xf>
    <xf numFmtId="0" fontId="40" fillId="0" borderId="1" xfId="0" applyFont="1" applyBorder="1" applyAlignment="1">
      <alignment horizontal="justify" vertical="center"/>
    </xf>
    <xf numFmtId="0" fontId="40" fillId="0" borderId="2" xfId="0" applyFont="1" applyBorder="1" applyAlignment="1">
      <alignment horizontal="justify" vertical="center"/>
    </xf>
    <xf numFmtId="0" fontId="40" fillId="0" borderId="3" xfId="0" applyFont="1" applyBorder="1" applyAlignment="1">
      <alignment horizontal="justify" vertical="center"/>
    </xf>
    <xf numFmtId="0" fontId="40" fillId="0" borderId="5" xfId="0" applyFont="1" applyBorder="1" applyAlignment="1">
      <alignment horizontal="left" vertical="center"/>
    </xf>
    <xf numFmtId="0" fontId="39" fillId="0" borderId="6" xfId="0" applyFont="1" applyBorder="1" applyAlignment="1">
      <alignment horizontal="left" vertical="center"/>
    </xf>
    <xf numFmtId="0" fontId="26" fillId="4" borderId="0" xfId="0" applyFont="1" applyFill="1" applyAlignment="1" applyProtection="1">
      <alignment horizontal="center" vertical="center" wrapText="1"/>
      <protection locked="0"/>
    </xf>
    <xf numFmtId="0" fontId="39" fillId="4" borderId="1" xfId="0" applyFont="1" applyFill="1" applyBorder="1" applyAlignment="1">
      <alignment horizontal="center" vertical="center"/>
    </xf>
    <xf numFmtId="0" fontId="39" fillId="4" borderId="2" xfId="0" applyFont="1" applyFill="1" applyBorder="1" applyAlignment="1">
      <alignment horizontal="center" vertical="center"/>
    </xf>
    <xf numFmtId="0" fontId="39" fillId="4" borderId="3" xfId="0" applyFont="1" applyFill="1" applyBorder="1" applyAlignment="1">
      <alignment horizontal="center" vertical="center"/>
    </xf>
    <xf numFmtId="0" fontId="39" fillId="4" borderId="10" xfId="0" applyFont="1" applyFill="1" applyBorder="1" applyAlignment="1">
      <alignment horizontal="center" vertical="center"/>
    </xf>
    <xf numFmtId="0" fontId="39" fillId="4" borderId="11" xfId="0" applyFont="1" applyFill="1" applyBorder="1" applyAlignment="1">
      <alignment horizontal="center" vertical="center"/>
    </xf>
    <xf numFmtId="0" fontId="39" fillId="4" borderId="12" xfId="0" applyFont="1" applyFill="1" applyBorder="1" applyAlignment="1">
      <alignment horizontal="center" vertical="center"/>
    </xf>
    <xf numFmtId="0" fontId="39" fillId="4" borderId="40" xfId="0" applyFont="1" applyFill="1" applyBorder="1" applyAlignment="1">
      <alignment horizontal="center" vertical="center"/>
    </xf>
    <xf numFmtId="0" fontId="39" fillId="4" borderId="4" xfId="0" applyFont="1" applyFill="1" applyBorder="1" applyAlignment="1">
      <alignment horizontal="center" vertical="center"/>
    </xf>
    <xf numFmtId="0" fontId="39" fillId="4" borderId="13" xfId="0" applyFont="1" applyFill="1" applyBorder="1" applyAlignment="1">
      <alignment horizontal="center" vertical="center"/>
    </xf>
    <xf numFmtId="0" fontId="39" fillId="4" borderId="5" xfId="0" applyFont="1" applyFill="1" applyBorder="1" applyAlignment="1">
      <alignment horizontal="center" vertical="center"/>
    </xf>
    <xf numFmtId="0" fontId="39" fillId="4" borderId="0" xfId="0" applyFont="1" applyFill="1" applyAlignment="1">
      <alignment horizontal="center" vertical="center"/>
    </xf>
    <xf numFmtId="0" fontId="39" fillId="4" borderId="6" xfId="0" applyFont="1" applyFill="1" applyBorder="1" applyAlignment="1">
      <alignment horizontal="center" vertical="center"/>
    </xf>
    <xf numFmtId="0" fontId="39" fillId="4" borderId="7" xfId="0" applyFont="1" applyFill="1" applyBorder="1" applyAlignment="1">
      <alignment horizontal="center" vertical="center"/>
    </xf>
    <xf numFmtId="0" fontId="39" fillId="4" borderId="8" xfId="0" applyFont="1" applyFill="1" applyBorder="1" applyAlignment="1">
      <alignment horizontal="center" vertical="center"/>
    </xf>
    <xf numFmtId="0" fontId="39" fillId="4" borderId="9" xfId="0" applyFont="1" applyFill="1" applyBorder="1" applyAlignment="1">
      <alignment horizontal="center" vertical="center"/>
    </xf>
    <xf numFmtId="0" fontId="39" fillId="4" borderId="40" xfId="0" applyFont="1" applyFill="1" applyBorder="1" applyAlignment="1">
      <alignment horizontal="center" vertical="justify"/>
    </xf>
    <xf numFmtId="0" fontId="39" fillId="4" borderId="13" xfId="0" applyFont="1" applyFill="1" applyBorder="1" applyAlignment="1">
      <alignment horizontal="center" vertical="justify"/>
    </xf>
    <xf numFmtId="0" fontId="6" fillId="2" borderId="34" xfId="0" applyFont="1" applyFill="1" applyBorder="1" applyAlignment="1" applyProtection="1">
      <alignment horizontal="left" vertical="center"/>
      <protection locked="0"/>
    </xf>
    <xf numFmtId="0" fontId="6" fillId="2" borderId="21" xfId="0" applyFont="1" applyFill="1" applyBorder="1" applyAlignment="1" applyProtection="1">
      <alignment horizontal="left" vertical="center"/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0" fillId="0" borderId="8" xfId="0" applyFont="1" applyBorder="1" applyAlignment="1" applyProtection="1">
      <alignment horizontal="left" vertical="center"/>
      <protection locked="0"/>
    </xf>
    <xf numFmtId="0" fontId="43" fillId="0" borderId="7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43" fillId="0" borderId="4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0" fontId="44" fillId="0" borderId="5" xfId="0" applyFont="1" applyBorder="1" applyAlignment="1">
      <alignment horizontal="left" vertical="center"/>
    </xf>
    <xf numFmtId="0" fontId="44" fillId="0" borderId="6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9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0" borderId="5" xfId="0" applyFont="1" applyBorder="1" applyAlignment="1">
      <alignment horizontal="left" vertical="center"/>
    </xf>
    <xf numFmtId="0" fontId="43" fillId="0" borderId="6" xfId="0" applyFont="1" applyBorder="1" applyAlignment="1">
      <alignment horizontal="left" vertical="center"/>
    </xf>
    <xf numFmtId="0" fontId="33" fillId="0" borderId="0" xfId="0" applyFont="1" applyAlignment="1" applyProtection="1">
      <alignment horizontal="left" vertical="justify" indent="3"/>
      <protection locked="0"/>
    </xf>
    <xf numFmtId="0" fontId="35" fillId="0" borderId="0" xfId="0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20" fillId="0" borderId="4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4" fontId="10" fillId="0" borderId="8" xfId="0" applyNumberFormat="1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1" xfId="0" applyFont="1" applyBorder="1" applyAlignment="1">
      <alignment horizontal="justify" vertical="center" wrapText="1"/>
    </xf>
    <xf numFmtId="0" fontId="20" fillId="0" borderId="44" xfId="0" applyFont="1" applyBorder="1" applyAlignment="1">
      <alignment horizontal="justify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167" fontId="56" fillId="4" borderId="53" xfId="0" applyNumberFormat="1" applyFont="1" applyFill="1" applyBorder="1" applyAlignment="1">
      <alignment horizontal="center" vertical="center" wrapText="1"/>
    </xf>
    <xf numFmtId="167" fontId="56" fillId="4" borderId="49" xfId="0" applyNumberFormat="1" applyFont="1" applyFill="1" applyBorder="1" applyAlignment="1">
      <alignment horizontal="center" vertical="center" wrapText="1"/>
    </xf>
    <xf numFmtId="43" fontId="56" fillId="4" borderId="53" xfId="0" applyNumberFormat="1" applyFont="1" applyFill="1" applyBorder="1" applyAlignment="1">
      <alignment horizontal="center" vertical="center" wrapText="1"/>
    </xf>
    <xf numFmtId="43" fontId="56" fillId="4" borderId="49" xfId="0" applyNumberFormat="1" applyFont="1" applyFill="1" applyBorder="1" applyAlignment="1">
      <alignment horizontal="center" vertical="center" wrapText="1"/>
    </xf>
    <xf numFmtId="9" fontId="56" fillId="4" borderId="54" xfId="6" applyFont="1" applyFill="1" applyBorder="1" applyAlignment="1">
      <alignment horizontal="center" vertical="center" wrapText="1"/>
    </xf>
    <xf numFmtId="9" fontId="56" fillId="4" borderId="56" xfId="6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56" fillId="4" borderId="52" xfId="0" applyFont="1" applyFill="1" applyBorder="1" applyAlignment="1">
      <alignment horizontal="center" vertical="center" wrapText="1"/>
    </xf>
    <xf numFmtId="0" fontId="56" fillId="4" borderId="55" xfId="0" applyFont="1" applyFill="1" applyBorder="1" applyAlignment="1">
      <alignment horizontal="center" vertical="center"/>
    </xf>
    <xf numFmtId="0" fontId="56" fillId="4" borderId="53" xfId="0" applyFont="1" applyFill="1" applyBorder="1" applyAlignment="1">
      <alignment horizontal="center" vertical="center" wrapText="1"/>
    </xf>
    <xf numFmtId="0" fontId="56" fillId="4" borderId="49" xfId="0" applyFont="1" applyFill="1" applyBorder="1" applyAlignment="1">
      <alignment horizontal="center" vertical="center" wrapText="1"/>
    </xf>
    <xf numFmtId="167" fontId="56" fillId="4" borderId="53" xfId="24" applyNumberFormat="1" applyFont="1" applyFill="1" applyBorder="1" applyAlignment="1">
      <alignment horizontal="center" vertical="center" wrapText="1"/>
    </xf>
    <xf numFmtId="167" fontId="56" fillId="4" borderId="49" xfId="24" applyNumberFormat="1" applyFont="1" applyFill="1" applyBorder="1" applyAlignment="1">
      <alignment horizontal="center" vertical="center"/>
    </xf>
    <xf numFmtId="167" fontId="56" fillId="4" borderId="49" xfId="0" applyNumberFormat="1" applyFont="1" applyFill="1" applyBorder="1" applyAlignment="1">
      <alignment horizontal="center" vertical="center"/>
    </xf>
    <xf numFmtId="167" fontId="0" fillId="4" borderId="51" xfId="0" applyNumberFormat="1" applyFill="1" applyBorder="1" applyAlignment="1">
      <alignment horizontal="center"/>
    </xf>
    <xf numFmtId="0" fontId="6" fillId="4" borderId="51" xfId="0" applyFont="1" applyFill="1" applyBorder="1" applyAlignment="1">
      <alignment horizontal="center" vertical="top"/>
    </xf>
    <xf numFmtId="166" fontId="54" fillId="4" borderId="0" xfId="0" applyNumberFormat="1" applyFont="1" applyFill="1" applyAlignment="1">
      <alignment horizontal="center"/>
    </xf>
    <xf numFmtId="166" fontId="55" fillId="4" borderId="0" xfId="0" applyNumberFormat="1" applyFont="1" applyFill="1" applyAlignment="1">
      <alignment horizontal="center"/>
    </xf>
    <xf numFmtId="0" fontId="39" fillId="6" borderId="40" xfId="0" applyFont="1" applyFill="1" applyBorder="1" applyAlignment="1">
      <alignment horizontal="center" vertical="center"/>
    </xf>
    <xf numFmtId="0" fontId="39" fillId="6" borderId="13" xfId="0" applyFont="1" applyFill="1" applyBorder="1" applyAlignment="1">
      <alignment horizontal="center" vertical="center"/>
    </xf>
    <xf numFmtId="0" fontId="39" fillId="6" borderId="10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39" fillId="6" borderId="12" xfId="0" applyFont="1" applyFill="1" applyBorder="1" applyAlignment="1">
      <alignment horizontal="center" vertical="center" wrapText="1"/>
    </xf>
    <xf numFmtId="0" fontId="39" fillId="6" borderId="40" xfId="0" applyFont="1" applyFill="1" applyBorder="1" applyAlignment="1">
      <alignment horizontal="center" vertical="center" wrapText="1"/>
    </xf>
    <xf numFmtId="0" fontId="39" fillId="6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4" fillId="2" borderId="31" xfId="0" applyFont="1" applyFill="1" applyBorder="1" applyAlignment="1" applyProtection="1">
      <alignment horizontal="center" vertical="center"/>
      <protection locked="0"/>
    </xf>
    <xf numFmtId="0" fontId="24" fillId="2" borderId="32" xfId="0" applyFont="1" applyFill="1" applyBorder="1" applyAlignment="1" applyProtection="1">
      <alignment horizontal="center" vertical="center"/>
      <protection locked="0"/>
    </xf>
    <xf numFmtId="0" fontId="24" fillId="2" borderId="33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center" vertical="center"/>
      <protection locked="0"/>
    </xf>
    <xf numFmtId="0" fontId="24" fillId="0" borderId="27" xfId="0" applyFont="1" applyBorder="1" applyAlignment="1" applyProtection="1">
      <alignment horizontal="center" vertical="center"/>
      <protection locked="0"/>
    </xf>
    <xf numFmtId="0" fontId="24" fillId="2" borderId="28" xfId="0" applyFont="1" applyFill="1" applyBorder="1" applyAlignment="1" applyProtection="1">
      <alignment horizontal="center" vertical="center"/>
      <protection locked="0"/>
    </xf>
    <xf numFmtId="0" fontId="24" fillId="2" borderId="29" xfId="0" applyFont="1" applyFill="1" applyBorder="1" applyAlignment="1" applyProtection="1">
      <alignment horizontal="center" vertical="center"/>
      <protection locked="0"/>
    </xf>
    <xf numFmtId="0" fontId="24" fillId="2" borderId="30" xfId="0" applyFont="1" applyFill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/>
      <protection locked="0"/>
    </xf>
  </cellXfs>
  <cellStyles count="25">
    <cellStyle name="20% - Accent6" xfId="9" xr:uid="{00000000-0005-0000-0000-000000000000}"/>
    <cellStyle name="Euro" xfId="2" xr:uid="{00000000-0005-0000-0000-000001000000}"/>
    <cellStyle name="Euro 2" xfId="3" xr:uid="{00000000-0005-0000-0000-000002000000}"/>
    <cellStyle name="Euro 3" xfId="4" xr:uid="{00000000-0005-0000-0000-000003000000}"/>
    <cellStyle name="Hipervínculo 2" xfId="13" xr:uid="{00000000-0005-0000-0000-000004000000}"/>
    <cellStyle name="Millares" xfId="11" builtinId="3"/>
    <cellStyle name="Millares 2 4" xfId="16" xr:uid="{3C0330CA-704C-4BA4-A28E-2D748190B3BC}"/>
    <cellStyle name="Millares 2 4 2" xfId="24" xr:uid="{63921451-3917-4249-B700-C2F29F3FD8F2}"/>
    <cellStyle name="Millares 3" xfId="8" xr:uid="{00000000-0005-0000-0000-000006000000}"/>
    <cellStyle name="Millares 3 3" xfId="21" xr:uid="{D61BC37F-12F7-49AD-9ED2-65FF07AC4DF0}"/>
    <cellStyle name="Moneda 3 2" xfId="22" xr:uid="{550134AA-C1F5-468B-8959-4268B521DB5E}"/>
    <cellStyle name="Normal" xfId="0" builtinId="0"/>
    <cellStyle name="Normal 2" xfId="1" xr:uid="{00000000-0005-0000-0000-000009000000}"/>
    <cellStyle name="Normal 2 2" xfId="18" xr:uid="{1BF9EDFF-5278-4B07-B1B8-44F05630ADB5}"/>
    <cellStyle name="Normal 2 2 2" xfId="19" xr:uid="{5E328C4A-34B0-43F7-BCE7-61AB0A99AA4A}"/>
    <cellStyle name="Normal 2 4 3" xfId="14" xr:uid="{65AB16D8-6E4C-411D-A4B4-17BC31B53C7F}"/>
    <cellStyle name="Normal 3" xfId="7" xr:uid="{00000000-0005-0000-0000-00000A000000}"/>
    <cellStyle name="Normal 3 2" xfId="12" xr:uid="{00000000-0005-0000-0000-00000B000000}"/>
    <cellStyle name="Normal 3 2 2" xfId="20" xr:uid="{CCA4E516-E4AB-4071-95AF-53BF05829ACA}"/>
    <cellStyle name="Normal 3 2 3" xfId="17" xr:uid="{56ACA9D1-2B7A-4304-9B5F-81E44F83052E}"/>
    <cellStyle name="Normal 4 2" xfId="23" xr:uid="{2EF46E10-05F4-447A-8557-10B1E2B5D575}"/>
    <cellStyle name="Normal 4 8" xfId="10" xr:uid="{00000000-0005-0000-0000-00000C000000}"/>
    <cellStyle name="Normal 6" xfId="15" xr:uid="{72D3BC8A-477B-4C8B-9F5C-7BFBBF3ADB30}"/>
    <cellStyle name="Porcentaje" xfId="6" builtinId="5"/>
    <cellStyle name="Porcentual 2" xfId="5" xr:uid="{00000000-0005-0000-0000-00000E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0" y="75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2</xdr:row>
      <xdr:rowOff>142875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0" y="75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76200" y="75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76200" y="75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</xdr:row>
      <xdr:rowOff>142875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6905625" y="75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3</xdr:col>
      <xdr:colOff>243568</xdr:colOff>
      <xdr:row>44</xdr:row>
      <xdr:rowOff>28575</xdr:rowOff>
    </xdr:from>
    <xdr:to>
      <xdr:col>6</xdr:col>
      <xdr:colOff>341548</xdr:colOff>
      <xdr:row>48</xdr:row>
      <xdr:rowOff>106136</xdr:rowOff>
    </xdr:to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B1A33605-C987-457F-BB1B-AD67CF13FC1A}"/>
            </a:ext>
          </a:extLst>
        </xdr:cNvPr>
        <xdr:cNvSpPr txBox="1"/>
      </xdr:nvSpPr>
      <xdr:spPr>
        <a:xfrm>
          <a:off x="3386818" y="12363450"/>
          <a:ext cx="2869755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0</xdr:colOff>
      <xdr:row>44</xdr:row>
      <xdr:rowOff>122463</xdr:rowOff>
    </xdr:from>
    <xdr:ext cx="2823483" cy="877661"/>
    <xdr:sp macro="" textlink="">
      <xdr:nvSpPr>
        <xdr:cNvPr id="11" name="CuadroTexto 5">
          <a:extLst>
            <a:ext uri="{FF2B5EF4-FFF2-40B4-BE49-F238E27FC236}">
              <a16:creationId xmlns:a16="http://schemas.microsoft.com/office/drawing/2014/main" id="{AB7B0152-7285-408C-B4C3-32ABF513340E}"/>
            </a:ext>
          </a:extLst>
        </xdr:cNvPr>
        <xdr:cNvSpPr txBox="1"/>
      </xdr:nvSpPr>
      <xdr:spPr>
        <a:xfrm>
          <a:off x="0" y="12457338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171825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/>
      </xdr:nvSpPr>
      <xdr:spPr>
        <a:xfrm>
          <a:off x="3171825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 txBox="1"/>
      </xdr:nvSpPr>
      <xdr:spPr>
        <a:xfrm>
          <a:off x="31718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 txBox="1"/>
      </xdr:nvSpPr>
      <xdr:spPr>
        <a:xfrm>
          <a:off x="3171825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 txBox="1"/>
      </xdr:nvSpPr>
      <xdr:spPr>
        <a:xfrm>
          <a:off x="3171825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SpPr txBox="1"/>
      </xdr:nvSpPr>
      <xdr:spPr>
        <a:xfrm>
          <a:off x="3171825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9" name="4 CuadroTexto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SpPr txBox="1"/>
      </xdr:nvSpPr>
      <xdr:spPr>
        <a:xfrm>
          <a:off x="7743825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 txBox="1"/>
      </xdr:nvSpPr>
      <xdr:spPr>
        <a:xfrm>
          <a:off x="3171825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SpPr txBox="1"/>
      </xdr:nvSpPr>
      <xdr:spPr>
        <a:xfrm>
          <a:off x="3171825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SpPr txBox="1"/>
      </xdr:nvSpPr>
      <xdr:spPr>
        <a:xfrm>
          <a:off x="3171825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SpPr txBox="1"/>
      </xdr:nvSpPr>
      <xdr:spPr>
        <a:xfrm>
          <a:off x="3171825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15" name="4 CuadroTexto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SpPr txBox="1"/>
      </xdr:nvSpPr>
      <xdr:spPr>
        <a:xfrm>
          <a:off x="7743825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1600-000010000000}"/>
            </a:ext>
          </a:extLst>
        </xdr:cNvPr>
        <xdr:cNvSpPr txBox="1"/>
      </xdr:nvSpPr>
      <xdr:spPr>
        <a:xfrm>
          <a:off x="31718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00000000-0008-0000-1600-000011000000}"/>
            </a:ext>
          </a:extLst>
        </xdr:cNvPr>
        <xdr:cNvSpPr txBox="1"/>
      </xdr:nvSpPr>
      <xdr:spPr>
        <a:xfrm>
          <a:off x="31718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1600-000012000000}"/>
            </a:ext>
          </a:extLst>
        </xdr:cNvPr>
        <xdr:cNvSpPr txBox="1"/>
      </xdr:nvSpPr>
      <xdr:spPr>
        <a:xfrm>
          <a:off x="31718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1600-000013000000}"/>
            </a:ext>
          </a:extLst>
        </xdr:cNvPr>
        <xdr:cNvSpPr txBox="1"/>
      </xdr:nvSpPr>
      <xdr:spPr>
        <a:xfrm>
          <a:off x="31718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3</xdr:col>
      <xdr:colOff>367393</xdr:colOff>
      <xdr:row>22</xdr:row>
      <xdr:rowOff>209550</xdr:rowOff>
    </xdr:from>
    <xdr:to>
      <xdr:col>6</xdr:col>
      <xdr:colOff>484423</xdr:colOff>
      <xdr:row>25</xdr:row>
      <xdr:rowOff>258536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9ED8D70E-29DC-4736-A829-81989FB60EC0}"/>
            </a:ext>
          </a:extLst>
        </xdr:cNvPr>
        <xdr:cNvSpPr txBox="1"/>
      </xdr:nvSpPr>
      <xdr:spPr>
        <a:xfrm>
          <a:off x="4853668" y="5295900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57150</xdr:colOff>
      <xdr:row>22</xdr:row>
      <xdr:rowOff>284388</xdr:rowOff>
    </xdr:from>
    <xdr:ext cx="2823483" cy="877661"/>
    <xdr:sp macro="" textlink="">
      <xdr:nvSpPr>
        <xdr:cNvPr id="10" name="CuadroTexto 5">
          <a:extLst>
            <a:ext uri="{FF2B5EF4-FFF2-40B4-BE49-F238E27FC236}">
              <a16:creationId xmlns:a16="http://schemas.microsoft.com/office/drawing/2014/main" id="{EA8803DA-F0AF-49BC-8E90-389C39363F3B}"/>
            </a:ext>
          </a:extLst>
        </xdr:cNvPr>
        <xdr:cNvSpPr txBox="1"/>
      </xdr:nvSpPr>
      <xdr:spPr>
        <a:xfrm>
          <a:off x="57150" y="5370738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733425</xdr:colOff>
      <xdr:row>3</xdr:row>
      <xdr:rowOff>142875</xdr:rowOff>
    </xdr:from>
    <xdr:ext cx="838200" cy="264560"/>
    <xdr:sp macro="" textlink="">
      <xdr:nvSpPr>
        <xdr:cNvPr id="12" name="5 CuadroTexto">
          <a:extLst>
            <a:ext uri="{FF2B5EF4-FFF2-40B4-BE49-F238E27FC236}">
              <a16:creationId xmlns:a16="http://schemas.microsoft.com/office/drawing/2014/main" id="{00000000-0008-0000-1700-00000C000000}"/>
            </a:ext>
          </a:extLst>
        </xdr:cNvPr>
        <xdr:cNvSpPr txBox="1"/>
      </xdr:nvSpPr>
      <xdr:spPr>
        <a:xfrm>
          <a:off x="3181350" y="971550"/>
          <a:ext cx="8382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1700-00000D000000}"/>
            </a:ext>
          </a:extLst>
        </xdr:cNvPr>
        <xdr:cNvSpPr txBox="1"/>
      </xdr:nvSpPr>
      <xdr:spPr>
        <a:xfrm>
          <a:off x="2447925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0000000-0008-0000-1700-00000E000000}"/>
            </a:ext>
          </a:extLst>
        </xdr:cNvPr>
        <xdr:cNvSpPr txBox="1"/>
      </xdr:nvSpPr>
      <xdr:spPr>
        <a:xfrm>
          <a:off x="2447925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1700-00000F000000}"/>
            </a:ext>
          </a:extLst>
        </xdr:cNvPr>
        <xdr:cNvSpPr txBox="1"/>
      </xdr:nvSpPr>
      <xdr:spPr>
        <a:xfrm>
          <a:off x="2447925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1700-000010000000}"/>
            </a:ext>
          </a:extLst>
        </xdr:cNvPr>
        <xdr:cNvSpPr txBox="1"/>
      </xdr:nvSpPr>
      <xdr:spPr>
        <a:xfrm>
          <a:off x="2447925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3</xdr:row>
      <xdr:rowOff>142875</xdr:rowOff>
    </xdr:from>
    <xdr:ext cx="184731" cy="264560"/>
    <xdr:sp macro="" textlink="">
      <xdr:nvSpPr>
        <xdr:cNvPr id="17" name="4 CuadroTexto">
          <a:extLst>
            <a:ext uri="{FF2B5EF4-FFF2-40B4-BE49-F238E27FC236}">
              <a16:creationId xmlns:a16="http://schemas.microsoft.com/office/drawing/2014/main" id="{00000000-0008-0000-1700-000011000000}"/>
            </a:ext>
          </a:extLst>
        </xdr:cNvPr>
        <xdr:cNvSpPr txBox="1"/>
      </xdr:nvSpPr>
      <xdr:spPr>
        <a:xfrm>
          <a:off x="5457825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514501</xdr:colOff>
      <xdr:row>42</xdr:row>
      <xdr:rowOff>158749</xdr:rowOff>
    </xdr:from>
    <xdr:to>
      <xdr:col>5</xdr:col>
      <xdr:colOff>369064</xdr:colOff>
      <xdr:row>48</xdr:row>
      <xdr:rowOff>60627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67751EE9-872D-4F9D-8487-537688FFBF67}"/>
            </a:ext>
          </a:extLst>
        </xdr:cNvPr>
        <xdr:cNvSpPr txBox="1"/>
      </xdr:nvSpPr>
      <xdr:spPr>
        <a:xfrm>
          <a:off x="3668334" y="8911166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0</xdr:colOff>
      <xdr:row>43</xdr:row>
      <xdr:rowOff>42030</xdr:rowOff>
    </xdr:from>
    <xdr:ext cx="2823483" cy="877661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35FEBE78-4D26-4EE8-B286-0CF473F3E3E4}"/>
            </a:ext>
          </a:extLst>
        </xdr:cNvPr>
        <xdr:cNvSpPr txBox="1"/>
      </xdr:nvSpPr>
      <xdr:spPr>
        <a:xfrm>
          <a:off x="0" y="8995530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588585</xdr:colOff>
      <xdr:row>81</xdr:row>
      <xdr:rowOff>0</xdr:rowOff>
    </xdr:from>
    <xdr:to>
      <xdr:col>7</xdr:col>
      <xdr:colOff>284399</xdr:colOff>
      <xdr:row>86</xdr:row>
      <xdr:rowOff>28878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456CDA77-D389-4EB7-86DD-8B9A79820BE0}"/>
            </a:ext>
          </a:extLst>
        </xdr:cNvPr>
        <xdr:cNvSpPr txBox="1"/>
      </xdr:nvSpPr>
      <xdr:spPr>
        <a:xfrm>
          <a:off x="5689752" y="15525750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0</xdr:colOff>
      <xdr:row>81</xdr:row>
      <xdr:rowOff>94946</xdr:rowOff>
    </xdr:from>
    <xdr:ext cx="2823483" cy="877661"/>
    <xdr:sp macro="" textlink="">
      <xdr:nvSpPr>
        <xdr:cNvPr id="7" name="CuadroTexto 5">
          <a:extLst>
            <a:ext uri="{FF2B5EF4-FFF2-40B4-BE49-F238E27FC236}">
              <a16:creationId xmlns:a16="http://schemas.microsoft.com/office/drawing/2014/main" id="{5FA4E521-4514-4AB6-BF6E-95F0C93DF6EB}"/>
            </a:ext>
          </a:extLst>
        </xdr:cNvPr>
        <xdr:cNvSpPr txBox="1"/>
      </xdr:nvSpPr>
      <xdr:spPr>
        <a:xfrm>
          <a:off x="0" y="15620696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4789452C-0C5D-44BF-8F7C-B2AEF990D4C6}"/>
            </a:ext>
          </a:extLst>
        </xdr:cNvPr>
        <xdr:cNvSpPr txBox="1"/>
      </xdr:nvSpPr>
      <xdr:spPr>
        <a:xfrm>
          <a:off x="920115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1018118</xdr:colOff>
      <xdr:row>427</xdr:row>
      <xdr:rowOff>84667</xdr:rowOff>
    </xdr:from>
    <xdr:ext cx="4000500" cy="666751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05A280C1-6A89-49F4-B4E5-2719FE76D263}"/>
            </a:ext>
          </a:extLst>
        </xdr:cNvPr>
        <xdr:cNvSpPr txBox="1"/>
      </xdr:nvSpPr>
      <xdr:spPr>
        <a:xfrm>
          <a:off x="6761693" y="94391692"/>
          <a:ext cx="4000500" cy="6667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DIRECTORA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793751</xdr:colOff>
      <xdr:row>427</xdr:row>
      <xdr:rowOff>73026</xdr:rowOff>
    </xdr:from>
    <xdr:ext cx="4000500" cy="666751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6C15897F-1797-4E0B-872F-EADDFF373780}"/>
            </a:ext>
          </a:extLst>
        </xdr:cNvPr>
        <xdr:cNvSpPr txBox="1"/>
      </xdr:nvSpPr>
      <xdr:spPr>
        <a:xfrm>
          <a:off x="793751" y="94380051"/>
          <a:ext cx="4000500" cy="66675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214993</xdr:colOff>
      <xdr:row>33</xdr:row>
      <xdr:rowOff>9525</xdr:rowOff>
    </xdr:from>
    <xdr:to>
      <xdr:col>7</xdr:col>
      <xdr:colOff>27223</xdr:colOff>
      <xdr:row>38</xdr:row>
      <xdr:rowOff>48986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763A21CD-A26A-43BC-A86F-BFF85DB15B38}"/>
            </a:ext>
          </a:extLst>
        </xdr:cNvPr>
        <xdr:cNvSpPr txBox="1"/>
      </xdr:nvSpPr>
      <xdr:spPr>
        <a:xfrm>
          <a:off x="3986893" y="7077075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0</xdr:colOff>
      <xdr:row>33</xdr:row>
      <xdr:rowOff>112938</xdr:rowOff>
    </xdr:from>
    <xdr:ext cx="2823483" cy="877661"/>
    <xdr:sp macro="" textlink="">
      <xdr:nvSpPr>
        <xdr:cNvPr id="7" name="CuadroTexto 5">
          <a:extLst>
            <a:ext uri="{FF2B5EF4-FFF2-40B4-BE49-F238E27FC236}">
              <a16:creationId xmlns:a16="http://schemas.microsoft.com/office/drawing/2014/main" id="{9497BB7E-083C-41EF-800A-B1A4B527F8AD}"/>
            </a:ext>
          </a:extLst>
        </xdr:cNvPr>
        <xdr:cNvSpPr txBox="1"/>
      </xdr:nvSpPr>
      <xdr:spPr>
        <a:xfrm>
          <a:off x="0" y="7180488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9525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 txBox="1"/>
      </xdr:nvSpPr>
      <xdr:spPr>
        <a:xfrm>
          <a:off x="47339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3426892</xdr:colOff>
      <xdr:row>2</xdr:row>
      <xdr:rowOff>195723</xdr:rowOff>
    </xdr:from>
    <xdr:ext cx="647870" cy="239809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SpPr txBox="1"/>
      </xdr:nvSpPr>
      <xdr:spPr>
        <a:xfrm>
          <a:off x="3426892" y="809556"/>
          <a:ext cx="647870" cy="23980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000" b="1">
              <a:latin typeface="Arial" pitchFamily="34" charset="0"/>
              <a:cs typeface="Arial" pitchFamily="34" charset="0"/>
            </a:rPr>
            <a:t>(Pesos)</a:t>
          </a:r>
        </a:p>
      </xdr:txBody>
    </xdr:sp>
    <xdr:clientData/>
  </xdr:oneCellAnchor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SpPr txBox="1"/>
      </xdr:nvSpPr>
      <xdr:spPr>
        <a:xfrm>
          <a:off x="4222750" y="9789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290328</xdr:colOff>
      <xdr:row>42</xdr:row>
      <xdr:rowOff>34637</xdr:rowOff>
    </xdr:from>
    <xdr:to>
      <xdr:col>2</xdr:col>
      <xdr:colOff>1436058</xdr:colOff>
      <xdr:row>46</xdr:row>
      <xdr:rowOff>22143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C0A9F297-327E-43DF-B019-3537A8613C5B}"/>
            </a:ext>
          </a:extLst>
        </xdr:cNvPr>
        <xdr:cNvSpPr txBox="1"/>
      </xdr:nvSpPr>
      <xdr:spPr>
        <a:xfrm>
          <a:off x="4593896" y="10165773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121227</xdr:colOff>
      <xdr:row>42</xdr:row>
      <xdr:rowOff>127659</xdr:rowOff>
    </xdr:from>
    <xdr:ext cx="2823483" cy="877661"/>
    <xdr:sp macro="" textlink="">
      <xdr:nvSpPr>
        <xdr:cNvPr id="10" name="CuadroTexto 5">
          <a:extLst>
            <a:ext uri="{FF2B5EF4-FFF2-40B4-BE49-F238E27FC236}">
              <a16:creationId xmlns:a16="http://schemas.microsoft.com/office/drawing/2014/main" id="{992A2271-CC40-4FB6-A075-C1D5983BACCC}"/>
            </a:ext>
          </a:extLst>
        </xdr:cNvPr>
        <xdr:cNvSpPr txBox="1"/>
      </xdr:nvSpPr>
      <xdr:spPr>
        <a:xfrm>
          <a:off x="121227" y="10258795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142875</xdr:rowOff>
    </xdr:from>
    <xdr:ext cx="184731" cy="264560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SpPr txBox="1"/>
      </xdr:nvSpPr>
      <xdr:spPr>
        <a:xfrm>
          <a:off x="7743825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2</xdr:col>
      <xdr:colOff>110218</xdr:colOff>
      <xdr:row>31</xdr:row>
      <xdr:rowOff>19050</xdr:rowOff>
    </xdr:from>
    <xdr:to>
      <xdr:col>4</xdr:col>
      <xdr:colOff>741598</xdr:colOff>
      <xdr:row>35</xdr:row>
      <xdr:rowOff>172811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A9446BD8-F83A-451D-B129-CE3F77065CDB}"/>
            </a:ext>
          </a:extLst>
        </xdr:cNvPr>
        <xdr:cNvSpPr txBox="1"/>
      </xdr:nvSpPr>
      <xdr:spPr>
        <a:xfrm>
          <a:off x="3177268" y="8448675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47625</xdr:colOff>
      <xdr:row>31</xdr:row>
      <xdr:rowOff>103413</xdr:rowOff>
    </xdr:from>
    <xdr:ext cx="2823483" cy="877661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F284032F-6413-4A3C-8E96-B4700CFF53AF}"/>
            </a:ext>
          </a:extLst>
        </xdr:cNvPr>
        <xdr:cNvSpPr txBox="1"/>
      </xdr:nvSpPr>
      <xdr:spPr>
        <a:xfrm>
          <a:off x="47625" y="8533038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142875</xdr:rowOff>
    </xdr:from>
    <xdr:ext cx="184731" cy="264560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SpPr txBox="1"/>
      </xdr:nvSpPr>
      <xdr:spPr>
        <a:xfrm>
          <a:off x="479107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2</xdr:col>
      <xdr:colOff>302834</xdr:colOff>
      <xdr:row>32</xdr:row>
      <xdr:rowOff>95250</xdr:rowOff>
    </xdr:from>
    <xdr:to>
      <xdr:col>3</xdr:col>
      <xdr:colOff>1448564</xdr:colOff>
      <xdr:row>36</xdr:row>
      <xdr:rowOff>177044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A433EDC2-BA47-49A9-BBA2-FDB253B36E6D}"/>
            </a:ext>
          </a:extLst>
        </xdr:cNvPr>
        <xdr:cNvSpPr txBox="1"/>
      </xdr:nvSpPr>
      <xdr:spPr>
        <a:xfrm>
          <a:off x="3361417" y="7429500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0</xdr:colOff>
      <xdr:row>32</xdr:row>
      <xdr:rowOff>169029</xdr:rowOff>
    </xdr:from>
    <xdr:ext cx="2823483" cy="877661"/>
    <xdr:sp macro="" textlink="">
      <xdr:nvSpPr>
        <xdr:cNvPr id="7" name="CuadroTexto 5">
          <a:extLst>
            <a:ext uri="{FF2B5EF4-FFF2-40B4-BE49-F238E27FC236}">
              <a16:creationId xmlns:a16="http://schemas.microsoft.com/office/drawing/2014/main" id="{2066924F-E2A0-4FC2-9752-65201A1E9EB9}"/>
            </a:ext>
          </a:extLst>
        </xdr:cNvPr>
        <xdr:cNvSpPr txBox="1"/>
      </xdr:nvSpPr>
      <xdr:spPr>
        <a:xfrm>
          <a:off x="0" y="7503279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149784</xdr:colOff>
      <xdr:row>80</xdr:row>
      <xdr:rowOff>183174</xdr:rowOff>
    </xdr:from>
    <xdr:to>
      <xdr:col>8</xdr:col>
      <xdr:colOff>650744</xdr:colOff>
      <xdr:row>86</xdr:row>
      <xdr:rowOff>32135</xdr:rowOff>
    </xdr:to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BEA3BF03-5522-403A-BE87-F810B10B4F5E}"/>
            </a:ext>
          </a:extLst>
        </xdr:cNvPr>
        <xdr:cNvSpPr txBox="1"/>
      </xdr:nvSpPr>
      <xdr:spPr>
        <a:xfrm>
          <a:off x="5168726" y="15269309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2</xdr:col>
      <xdr:colOff>0</xdr:colOff>
      <xdr:row>81</xdr:row>
      <xdr:rowOff>84363</xdr:rowOff>
    </xdr:from>
    <xdr:ext cx="2823483" cy="877661"/>
    <xdr:sp macro="" textlink="">
      <xdr:nvSpPr>
        <xdr:cNvPr id="8" name="CuadroTexto 5">
          <a:extLst>
            <a:ext uri="{FF2B5EF4-FFF2-40B4-BE49-F238E27FC236}">
              <a16:creationId xmlns:a16="http://schemas.microsoft.com/office/drawing/2014/main" id="{0747A7BA-4FF0-4C72-86E6-850C033CF48D}"/>
            </a:ext>
          </a:extLst>
        </xdr:cNvPr>
        <xdr:cNvSpPr txBox="1"/>
      </xdr:nvSpPr>
      <xdr:spPr>
        <a:xfrm>
          <a:off x="183173" y="15360998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9525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0</xdr:colOff>
      <xdr:row>2</xdr:row>
      <xdr:rowOff>142875</xdr:rowOff>
    </xdr:from>
    <xdr:ext cx="184731" cy="264560"/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/>
      </xdr:nvSpPr>
      <xdr:spPr>
        <a:xfrm>
          <a:off x="69532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2</xdr:col>
      <xdr:colOff>368981</xdr:colOff>
      <xdr:row>28</xdr:row>
      <xdr:rowOff>0</xdr:rowOff>
    </xdr:from>
    <xdr:to>
      <xdr:col>3</xdr:col>
      <xdr:colOff>1514711</xdr:colOff>
      <xdr:row>32</xdr:row>
      <xdr:rowOff>166461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CBC9DA64-A744-4B91-B9BD-F52EB29D1E6D}"/>
            </a:ext>
          </a:extLst>
        </xdr:cNvPr>
        <xdr:cNvSpPr txBox="1"/>
      </xdr:nvSpPr>
      <xdr:spPr>
        <a:xfrm>
          <a:off x="3377294" y="6572250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1</xdr:col>
      <xdr:colOff>0</xdr:colOff>
      <xdr:row>28</xdr:row>
      <xdr:rowOff>84363</xdr:rowOff>
    </xdr:from>
    <xdr:ext cx="2823483" cy="877661"/>
    <xdr:sp macro="" textlink="">
      <xdr:nvSpPr>
        <xdr:cNvPr id="8" name="CuadroTexto 5">
          <a:extLst>
            <a:ext uri="{FF2B5EF4-FFF2-40B4-BE49-F238E27FC236}">
              <a16:creationId xmlns:a16="http://schemas.microsoft.com/office/drawing/2014/main" id="{C990A27D-F82E-4836-950F-0DB4F29E6AC2}"/>
            </a:ext>
          </a:extLst>
        </xdr:cNvPr>
        <xdr:cNvSpPr txBox="1"/>
      </xdr:nvSpPr>
      <xdr:spPr>
        <a:xfrm>
          <a:off x="87313" y="6656613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2" name="21 CuadroTexto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SpPr txBox="1"/>
      </xdr:nvSpPr>
      <xdr:spPr>
        <a:xfrm>
          <a:off x="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3</xdr:col>
      <xdr:colOff>316658</xdr:colOff>
      <xdr:row>80</xdr:row>
      <xdr:rowOff>58317</xdr:rowOff>
    </xdr:from>
    <xdr:to>
      <xdr:col>6</xdr:col>
      <xdr:colOff>436020</xdr:colOff>
      <xdr:row>85</xdr:row>
      <xdr:rowOff>78339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39F64258-0066-4256-AE9A-B99350B0ECF5}"/>
            </a:ext>
          </a:extLst>
        </xdr:cNvPr>
        <xdr:cNvSpPr txBox="1"/>
      </xdr:nvSpPr>
      <xdr:spPr>
        <a:xfrm>
          <a:off x="5584566" y="16279975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0</xdr:colOff>
      <xdr:row>80</xdr:row>
      <xdr:rowOff>84363</xdr:rowOff>
    </xdr:from>
    <xdr:ext cx="2823483" cy="877661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EC6B7C2E-F4FB-4757-8DED-35EA61ED6F99}"/>
            </a:ext>
          </a:extLst>
        </xdr:cNvPr>
        <xdr:cNvSpPr txBox="1"/>
      </xdr:nvSpPr>
      <xdr:spPr>
        <a:xfrm>
          <a:off x="0" y="16306021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472168</xdr:colOff>
      <xdr:row>159</xdr:row>
      <xdr:rowOff>57150</xdr:rowOff>
    </xdr:from>
    <xdr:to>
      <xdr:col>6</xdr:col>
      <xdr:colOff>314325</xdr:colOff>
      <xdr:row>164</xdr:row>
      <xdr:rowOff>96611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4E7ECB58-F3F3-4A3F-9460-7E0CA1022C4E}"/>
            </a:ext>
          </a:extLst>
        </xdr:cNvPr>
        <xdr:cNvSpPr txBox="1"/>
      </xdr:nvSpPr>
      <xdr:spPr>
        <a:xfrm>
          <a:off x="5310868" y="30470475"/>
          <a:ext cx="2747282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1</xdr:col>
      <xdr:colOff>28575</xdr:colOff>
      <xdr:row>160</xdr:row>
      <xdr:rowOff>55788</xdr:rowOff>
    </xdr:from>
    <xdr:ext cx="2823483" cy="877661"/>
    <xdr:sp macro="" textlink="">
      <xdr:nvSpPr>
        <xdr:cNvPr id="7" name="CuadroTexto 5">
          <a:extLst>
            <a:ext uri="{FF2B5EF4-FFF2-40B4-BE49-F238E27FC236}">
              <a16:creationId xmlns:a16="http://schemas.microsoft.com/office/drawing/2014/main" id="{A1B3B370-4BCD-4873-9BC8-A7B7E7436183}"/>
            </a:ext>
          </a:extLst>
        </xdr:cNvPr>
        <xdr:cNvSpPr txBox="1"/>
      </xdr:nvSpPr>
      <xdr:spPr>
        <a:xfrm>
          <a:off x="438150" y="30659613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3048000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 txBox="1"/>
      </xdr:nvSpPr>
      <xdr:spPr>
        <a:xfrm>
          <a:off x="3048000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 txBox="1"/>
      </xdr:nvSpPr>
      <xdr:spPr>
        <a:xfrm>
          <a:off x="30480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596830</xdr:colOff>
      <xdr:row>28</xdr:row>
      <xdr:rowOff>0</xdr:rowOff>
    </xdr:from>
    <xdr:ext cx="184731" cy="254557"/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 txBox="1"/>
      </xdr:nvSpPr>
      <xdr:spPr>
        <a:xfrm>
          <a:off x="10293280" y="6991350"/>
          <a:ext cx="18473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 txBox="1"/>
      </xdr:nvSpPr>
      <xdr:spPr>
        <a:xfrm>
          <a:off x="302895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 txBox="1"/>
      </xdr:nvSpPr>
      <xdr:spPr>
        <a:xfrm>
          <a:off x="302895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</xdr:row>
      <xdr:rowOff>142875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SpPr txBox="1"/>
      </xdr:nvSpPr>
      <xdr:spPr>
        <a:xfrm>
          <a:off x="7267575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2</xdr:col>
      <xdr:colOff>615043</xdr:colOff>
      <xdr:row>15</xdr:row>
      <xdr:rowOff>161925</xdr:rowOff>
    </xdr:from>
    <xdr:to>
      <xdr:col>5</xdr:col>
      <xdr:colOff>893998</xdr:colOff>
      <xdr:row>20</xdr:row>
      <xdr:rowOff>106136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FF8FB7D1-CFF5-4996-9DB2-7FF931AF83C4}"/>
            </a:ext>
          </a:extLst>
        </xdr:cNvPr>
        <xdr:cNvSpPr txBox="1"/>
      </xdr:nvSpPr>
      <xdr:spPr>
        <a:xfrm>
          <a:off x="3977368" y="3867150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0</xdr:colOff>
      <xdr:row>16</xdr:row>
      <xdr:rowOff>27213</xdr:rowOff>
    </xdr:from>
    <xdr:ext cx="2823483" cy="87766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9AFBF4B7-4B42-4C19-BCF6-A8E301830FAC}"/>
            </a:ext>
          </a:extLst>
        </xdr:cNvPr>
        <xdr:cNvSpPr txBox="1"/>
      </xdr:nvSpPr>
      <xdr:spPr>
        <a:xfrm>
          <a:off x="0" y="3941988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171825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3171825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 txBox="1"/>
      </xdr:nvSpPr>
      <xdr:spPr>
        <a:xfrm>
          <a:off x="3171825" y="1717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SpPr txBox="1"/>
      </xdr:nvSpPr>
      <xdr:spPr>
        <a:xfrm>
          <a:off x="255270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SpPr txBox="1"/>
      </xdr:nvSpPr>
      <xdr:spPr>
        <a:xfrm>
          <a:off x="255270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SpPr txBox="1"/>
      </xdr:nvSpPr>
      <xdr:spPr>
        <a:xfrm>
          <a:off x="255270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</xdr:row>
      <xdr:rowOff>142875</xdr:rowOff>
    </xdr:from>
    <xdr:ext cx="184731" cy="264560"/>
    <xdr:sp macro="" textlink="">
      <xdr:nvSpPr>
        <xdr:cNvPr id="18" name="4 CuadroTexto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SpPr txBox="1"/>
      </xdr:nvSpPr>
      <xdr:spPr>
        <a:xfrm>
          <a:off x="7096125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SpPr txBox="1"/>
      </xdr:nvSpPr>
      <xdr:spPr>
        <a:xfrm>
          <a:off x="3172239" y="971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SpPr txBox="1"/>
      </xdr:nvSpPr>
      <xdr:spPr>
        <a:xfrm>
          <a:off x="3172239" y="971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SpPr txBox="1"/>
      </xdr:nvSpPr>
      <xdr:spPr>
        <a:xfrm>
          <a:off x="3172239" y="971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SpPr txBox="1"/>
      </xdr:nvSpPr>
      <xdr:spPr>
        <a:xfrm>
          <a:off x="3172239" y="971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39</xdr:row>
      <xdr:rowOff>0</xdr:rowOff>
    </xdr:from>
    <xdr:ext cx="184731" cy="264560"/>
    <xdr:sp macro="" textlink="">
      <xdr:nvSpPr>
        <xdr:cNvPr id="24" name="4 CuadroTexto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SpPr txBox="1"/>
      </xdr:nvSpPr>
      <xdr:spPr>
        <a:xfrm>
          <a:off x="7727674" y="971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SpPr txBox="1"/>
      </xdr:nvSpPr>
      <xdr:spPr>
        <a:xfrm>
          <a:off x="3172239" y="971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SpPr txBox="1"/>
      </xdr:nvSpPr>
      <xdr:spPr>
        <a:xfrm>
          <a:off x="3172239" y="971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SpPr txBox="1"/>
      </xdr:nvSpPr>
      <xdr:spPr>
        <a:xfrm>
          <a:off x="3172239" y="971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SpPr txBox="1"/>
      </xdr:nvSpPr>
      <xdr:spPr>
        <a:xfrm>
          <a:off x="3172239" y="971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39</xdr:row>
      <xdr:rowOff>0</xdr:rowOff>
    </xdr:from>
    <xdr:ext cx="184731" cy="264560"/>
    <xdr:sp macro="" textlink="">
      <xdr:nvSpPr>
        <xdr:cNvPr id="29" name="4 CuadroTexto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SpPr txBox="1"/>
      </xdr:nvSpPr>
      <xdr:spPr>
        <a:xfrm>
          <a:off x="7727674" y="971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3</xdr:col>
      <xdr:colOff>844885</xdr:colOff>
      <xdr:row>31</xdr:row>
      <xdr:rowOff>124239</xdr:rowOff>
    </xdr:from>
    <xdr:to>
      <xdr:col>7</xdr:col>
      <xdr:colOff>60767</xdr:colOff>
      <xdr:row>36</xdr:row>
      <xdr:rowOff>80874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660B76E9-7154-431F-BE12-25F26C2051A1}"/>
            </a:ext>
          </a:extLst>
        </xdr:cNvPr>
        <xdr:cNvSpPr txBox="1"/>
      </xdr:nvSpPr>
      <xdr:spPr>
        <a:xfrm>
          <a:off x="5325776" y="8232913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124239</xdr:colOff>
      <xdr:row>32</xdr:row>
      <xdr:rowOff>9820</xdr:rowOff>
    </xdr:from>
    <xdr:ext cx="2823483" cy="877661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AD421AA1-CA93-4A1A-BA86-6D7B761F33EF}"/>
            </a:ext>
          </a:extLst>
        </xdr:cNvPr>
        <xdr:cNvSpPr txBox="1"/>
      </xdr:nvSpPr>
      <xdr:spPr>
        <a:xfrm>
          <a:off x="124239" y="8325559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710293</xdr:colOff>
      <xdr:row>35</xdr:row>
      <xdr:rowOff>114300</xdr:rowOff>
    </xdr:from>
    <xdr:to>
      <xdr:col>6</xdr:col>
      <xdr:colOff>951148</xdr:colOff>
      <xdr:row>40</xdr:row>
      <xdr:rowOff>153761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452F13FB-DBB2-48EB-B5E6-0B40E679DF79}"/>
            </a:ext>
          </a:extLst>
        </xdr:cNvPr>
        <xdr:cNvSpPr txBox="1"/>
      </xdr:nvSpPr>
      <xdr:spPr>
        <a:xfrm>
          <a:off x="4558393" y="5867400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9525</xdr:colOff>
      <xdr:row>36</xdr:row>
      <xdr:rowOff>17688</xdr:rowOff>
    </xdr:from>
    <xdr:ext cx="2823483" cy="877661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B696FA78-A1C9-453C-B02D-24040CAC0E67}"/>
            </a:ext>
          </a:extLst>
        </xdr:cNvPr>
        <xdr:cNvSpPr txBox="1"/>
      </xdr:nvSpPr>
      <xdr:spPr>
        <a:xfrm>
          <a:off x="9525" y="5961288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171825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3171825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 txBox="1"/>
      </xdr:nvSpPr>
      <xdr:spPr>
        <a:xfrm>
          <a:off x="31718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 txBox="1"/>
      </xdr:nvSpPr>
      <xdr:spPr>
        <a:xfrm>
          <a:off x="3171825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 txBox="1"/>
      </xdr:nvSpPr>
      <xdr:spPr>
        <a:xfrm>
          <a:off x="3171825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SpPr txBox="1"/>
      </xdr:nvSpPr>
      <xdr:spPr>
        <a:xfrm>
          <a:off x="3171825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9" name="4 CuadroTexto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SpPr txBox="1"/>
      </xdr:nvSpPr>
      <xdr:spPr>
        <a:xfrm>
          <a:off x="7743825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 txBox="1"/>
      </xdr:nvSpPr>
      <xdr:spPr>
        <a:xfrm>
          <a:off x="3171825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SpPr txBox="1"/>
      </xdr:nvSpPr>
      <xdr:spPr>
        <a:xfrm>
          <a:off x="3171825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SpPr txBox="1"/>
      </xdr:nvSpPr>
      <xdr:spPr>
        <a:xfrm>
          <a:off x="3171825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0000000-0008-0000-1500-00000E000000}"/>
            </a:ext>
          </a:extLst>
        </xdr:cNvPr>
        <xdr:cNvSpPr txBox="1"/>
      </xdr:nvSpPr>
      <xdr:spPr>
        <a:xfrm>
          <a:off x="3171825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3</xdr:row>
      <xdr:rowOff>142875</xdr:rowOff>
    </xdr:from>
    <xdr:ext cx="184731" cy="264560"/>
    <xdr:sp macro="" textlink="">
      <xdr:nvSpPr>
        <xdr:cNvPr id="15" name="4 CuadroTexto"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SpPr txBox="1"/>
      </xdr:nvSpPr>
      <xdr:spPr>
        <a:xfrm>
          <a:off x="7743825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SpPr txBox="1"/>
      </xdr:nvSpPr>
      <xdr:spPr>
        <a:xfrm>
          <a:off x="31718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00000000-0008-0000-1500-000011000000}"/>
            </a:ext>
          </a:extLst>
        </xdr:cNvPr>
        <xdr:cNvSpPr txBox="1"/>
      </xdr:nvSpPr>
      <xdr:spPr>
        <a:xfrm>
          <a:off x="31718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1500-000012000000}"/>
            </a:ext>
          </a:extLst>
        </xdr:cNvPr>
        <xdr:cNvSpPr txBox="1"/>
      </xdr:nvSpPr>
      <xdr:spPr>
        <a:xfrm>
          <a:off x="31718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1500-000013000000}"/>
            </a:ext>
          </a:extLst>
        </xdr:cNvPr>
        <xdr:cNvSpPr txBox="1"/>
      </xdr:nvSpPr>
      <xdr:spPr>
        <a:xfrm>
          <a:off x="31718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20" name="4 CuadroTexto">
          <a:extLst>
            <a:ext uri="{FF2B5EF4-FFF2-40B4-BE49-F238E27FC236}">
              <a16:creationId xmlns:a16="http://schemas.microsoft.com/office/drawing/2014/main" id="{00000000-0008-0000-1500-000014000000}"/>
            </a:ext>
          </a:extLst>
        </xdr:cNvPr>
        <xdr:cNvSpPr txBox="1"/>
      </xdr:nvSpPr>
      <xdr:spPr>
        <a:xfrm>
          <a:off x="77438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3</xdr:col>
      <xdr:colOff>129268</xdr:colOff>
      <xdr:row>15</xdr:row>
      <xdr:rowOff>200025</xdr:rowOff>
    </xdr:from>
    <xdr:to>
      <xdr:col>6</xdr:col>
      <xdr:colOff>246298</xdr:colOff>
      <xdr:row>19</xdr:row>
      <xdr:rowOff>144236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60CE1227-A235-42CD-8FBC-C0C623E77E71}"/>
            </a:ext>
          </a:extLst>
        </xdr:cNvPr>
        <xdr:cNvSpPr txBox="1"/>
      </xdr:nvSpPr>
      <xdr:spPr>
        <a:xfrm>
          <a:off x="4615543" y="5181600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85725</xdr:colOff>
      <xdr:row>15</xdr:row>
      <xdr:rowOff>227238</xdr:rowOff>
    </xdr:from>
    <xdr:ext cx="2823483" cy="877661"/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6DC13758-3BE4-4058-9D8D-DD4EC81B3F26}"/>
            </a:ext>
          </a:extLst>
        </xdr:cNvPr>
        <xdr:cNvSpPr txBox="1"/>
      </xdr:nvSpPr>
      <xdr:spPr>
        <a:xfrm>
          <a:off x="85725" y="5208813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fredo.lara.CEASONORA\Desktop\AAAAAAAAAA%20A&#209;O%202014\0002%20C.P.%20JUDITH%20NAVARRO\001%20ESTADOS%20FINANCIEROS%20MENSUAL%20F%20ETCA%202016\FlujoEfectivo%20FEBRERO%20DEL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fredo.lara.CEASONORA\Desktop\AAAAAAAAAA%20A&#209;O%202014%20AL%202018\0000000000%20C.P.%20MARIO%20ALBERTO%20MERINO%20DIAZ\FOOSSI%20RELACION%20DE%20FACTURAS%20AL%2015MAYO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asonora-my.sharepoint.com/Users/America%20Encinas/AppData/Roaming/Microsoft/Excel/PT%20Gastos%20x%20partida%20ppt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erica%20Encinas\AppData\Roaming\Microsoft\Excel\PT%20Gastos%20x%20partida%20ppt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gla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AYLOR/2023/CAJONES%20FINANCIEROS%202023/ETCA%20DIC-2023/ETCA%20NORA%20DIC-23/ISMAEL%20de%201.-%20CEA%20-%20CUENTA%20PUBLICA%20MENSUAL%20dic%202023%20con%20modif%201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cabezado"/>
      <sheetName val="Hoja18 (2)"/>
      <sheetName val="traspaso egre"/>
      <sheetName val="otras"/>
      <sheetName val="inversion egre"/>
      <sheetName val="f fijo"/>
      <sheetName val="6000"/>
      <sheetName val="3000"/>
      <sheetName val="2000"/>
      <sheetName val="1000"/>
      <sheetName val="egresos"/>
      <sheetName val="venta"/>
      <sheetName val="traspaso"/>
      <sheetName val="transf"/>
      <sheetName val="otros"/>
      <sheetName val="inversion"/>
      <sheetName val="GXC"/>
      <sheetName val="ingresos"/>
      <sheetName val="origen y aplic"/>
      <sheetName val="Parámetros"/>
      <sheetName val="Datos"/>
      <sheetName val="Por Posibilidad de Pago"/>
      <sheetName val="Por Beneficiario-Pagador"/>
      <sheetName val="Por Categorias"/>
      <sheetName val="Por Cuentas"/>
      <sheetName val="Por Documentos"/>
      <sheetName val="Emitir Documentos"/>
      <sheetName val="Cambios a Aplicar"/>
      <sheetName val="Ayuda Flujo de Efectivo"/>
      <sheetName val="Definiciones"/>
      <sheetName val="Nuevo Documento"/>
      <sheetName val="Validaciones"/>
      <sheetName val="Hoja18"/>
    </sheetNames>
    <sheetDataSet>
      <sheetData sheetId="0">
        <row r="7">
          <cell r="Z7">
            <v>-32783.42</v>
          </cell>
        </row>
        <row r="8">
          <cell r="Z8">
            <v>60134291.460000001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D1" t="str">
            <v>Ignorar</v>
          </cell>
          <cell r="G1" t="str">
            <v>Ninguno</v>
          </cell>
        </row>
        <row r="2">
          <cell r="D2" t="str">
            <v>Tipo Documento</v>
          </cell>
          <cell r="G2" t="str">
            <v>Efectivo</v>
          </cell>
        </row>
        <row r="3">
          <cell r="D3" t="str">
            <v>Fecha</v>
          </cell>
          <cell r="G3" t="str">
            <v>Mismo banco misma plaza</v>
          </cell>
        </row>
        <row r="4">
          <cell r="D4" t="str">
            <v>Código</v>
          </cell>
          <cell r="G4" t="str">
            <v>Mismo banco fuera de plaza</v>
          </cell>
        </row>
        <row r="5">
          <cell r="D5" t="str">
            <v>Nombre</v>
          </cell>
          <cell r="G5" t="str">
            <v>Otros bancos misma plaza</v>
          </cell>
        </row>
        <row r="6">
          <cell r="D6" t="str">
            <v>Proyectado</v>
          </cell>
          <cell r="G6" t="str">
            <v>Otros bancos fuera de plaza</v>
          </cell>
        </row>
        <row r="7">
          <cell r="D7" t="str">
            <v>Importe</v>
          </cell>
        </row>
        <row r="8">
          <cell r="D8" t="str">
            <v>Referencia</v>
          </cell>
        </row>
        <row r="9">
          <cell r="D9" t="str">
            <v>Concepto</v>
          </cell>
        </row>
        <row r="10">
          <cell r="D10" t="str">
            <v>Tipo Depósito</v>
          </cell>
        </row>
        <row r="11">
          <cell r="D11" t="str">
            <v>Número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MAYO2018"/>
      <sheetName val="FOOSSI RELACION DE FACTURAS AL "/>
    </sheetNames>
    <definedNames>
      <definedName name="Funciones_Fechas_Periodos"/>
      <definedName name="Funciones_Saldos"/>
      <definedName name="Funciones_Tablas"/>
    </defined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ETCA-II-01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la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pagado"/>
      <sheetName val="devengado dg"/>
      <sheetName val="Por organismos DIC"/>
      <sheetName val="ETCA-II-13"/>
      <sheetName val="ETCA-II-04"/>
      <sheetName val="Hoja3"/>
      <sheetName val="Hoja1"/>
    </sheetNames>
    <sheetDataSet>
      <sheetData sheetId="0" refreshError="1"/>
      <sheetData sheetId="1" refreshError="1"/>
      <sheetData sheetId="2" refreshError="1"/>
      <sheetData sheetId="3">
        <row r="33">
          <cell r="I33">
            <v>3628788.4598680851</v>
          </cell>
          <cell r="P33">
            <v>-257993.11</v>
          </cell>
          <cell r="X33">
            <v>3370795.2199999997</v>
          </cell>
          <cell r="AE33">
            <v>3353657.8600000003</v>
          </cell>
        </row>
        <row r="34">
          <cell r="I34">
            <v>3778937.9802641235</v>
          </cell>
          <cell r="P34">
            <v>-918832.17999999993</v>
          </cell>
          <cell r="X34">
            <v>2860105.77</v>
          </cell>
          <cell r="AE34">
            <v>2676873.52</v>
          </cell>
        </row>
        <row r="35">
          <cell r="I35">
            <v>97958.47</v>
          </cell>
          <cell r="P35">
            <v>26563.98</v>
          </cell>
          <cell r="X35">
            <v>124522.45</v>
          </cell>
          <cell r="AE35">
            <v>124522.45</v>
          </cell>
        </row>
        <row r="36">
          <cell r="I36">
            <v>95058.67</v>
          </cell>
          <cell r="P36">
            <v>-7788.83</v>
          </cell>
          <cell r="X36">
            <v>87269.84</v>
          </cell>
          <cell r="AE36">
            <v>87269.84</v>
          </cell>
        </row>
        <row r="38">
          <cell r="I38">
            <v>6532993.8810684541</v>
          </cell>
          <cell r="P38">
            <v>13089701.16</v>
          </cell>
          <cell r="X38">
            <v>19622695.040000003</v>
          </cell>
          <cell r="AE38">
            <v>19616397.660000004</v>
          </cell>
        </row>
        <row r="40">
          <cell r="I40">
            <v>168000</v>
          </cell>
          <cell r="P40">
            <v>0</v>
          </cell>
          <cell r="X40">
            <v>168000</v>
          </cell>
          <cell r="AE40">
            <v>168000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249977111117893"/>
  </sheetPr>
  <dimension ref="A1:K56"/>
  <sheetViews>
    <sheetView tabSelected="1" zoomScaleNormal="100" zoomScaleSheetLayoutView="100" workbookViewId="0">
      <selection activeCell="A11" sqref="A10:O16"/>
    </sheetView>
  </sheetViews>
  <sheetFormatPr baseColWidth="10" defaultColWidth="11.28515625" defaultRowHeight="16.5" x14ac:dyDescent="0.25"/>
  <cols>
    <col min="1" max="1" width="1.140625" style="47" customWidth="1"/>
    <col min="2" max="2" width="31.7109375" style="47" customWidth="1"/>
    <col min="3" max="3" width="14.28515625" style="8" customWidth="1"/>
    <col min="4" max="4" width="14.42578125" style="8" customWidth="1"/>
    <col min="5" max="5" width="13.140625" style="8" customWidth="1"/>
    <col min="6" max="6" width="14" style="8" customWidth="1"/>
    <col min="7" max="7" width="15" style="8" customWidth="1"/>
    <col min="8" max="8" width="14.28515625" style="8" customWidth="1"/>
    <col min="9" max="9" width="11.28515625" style="8"/>
    <col min="10" max="10" width="13.28515625" style="8" bestFit="1" customWidth="1"/>
    <col min="11" max="11" width="14.7109375" style="8" bestFit="1" customWidth="1"/>
    <col min="12" max="16384" width="11.28515625" style="8"/>
  </cols>
  <sheetData>
    <row r="1" spans="1:11" x14ac:dyDescent="0.25">
      <c r="A1" s="447" t="e">
        <f>#REF!</f>
        <v>#REF!</v>
      </c>
      <c r="B1" s="447"/>
      <c r="C1" s="447"/>
      <c r="D1" s="447"/>
      <c r="E1" s="447"/>
      <c r="F1" s="447"/>
      <c r="G1" s="447"/>
      <c r="H1" s="447"/>
    </row>
    <row r="2" spans="1:11" s="9" customFormat="1" ht="15.75" x14ac:dyDescent="0.25">
      <c r="A2" s="447" t="s">
        <v>0</v>
      </c>
      <c r="B2" s="447"/>
      <c r="C2" s="447"/>
      <c r="D2" s="447"/>
      <c r="E2" s="447"/>
      <c r="F2" s="447"/>
      <c r="G2" s="447"/>
      <c r="H2" s="447"/>
    </row>
    <row r="3" spans="1:11" s="9" customFormat="1" x14ac:dyDescent="0.25">
      <c r="A3" s="448" t="e">
        <f>#REF!</f>
        <v>#REF!</v>
      </c>
      <c r="B3" s="448"/>
      <c r="C3" s="448"/>
      <c r="D3" s="448"/>
      <c r="E3" s="448"/>
      <c r="F3" s="448"/>
      <c r="G3" s="448"/>
      <c r="H3" s="448"/>
    </row>
    <row r="4" spans="1:11" s="11" customFormat="1" ht="17.25" thickBot="1" x14ac:dyDescent="0.3">
      <c r="A4" s="10"/>
      <c r="B4" s="10"/>
      <c r="C4" s="449"/>
      <c r="D4" s="449"/>
      <c r="E4" s="449"/>
      <c r="F4" s="449"/>
      <c r="G4" s="238"/>
      <c r="H4" s="4"/>
    </row>
    <row r="5" spans="1:11" s="22" customFormat="1" ht="17.25" thickBot="1" x14ac:dyDescent="0.3">
      <c r="A5" s="471" t="s">
        <v>423</v>
      </c>
      <c r="B5" s="472"/>
      <c r="C5" s="466" t="s">
        <v>61</v>
      </c>
      <c r="D5" s="467"/>
      <c r="E5" s="467"/>
      <c r="F5" s="467"/>
      <c r="G5" s="468"/>
      <c r="H5" s="335"/>
    </row>
    <row r="6" spans="1:11" s="22" customFormat="1" ht="39" thickBot="1" x14ac:dyDescent="0.3">
      <c r="A6" s="473"/>
      <c r="B6" s="474"/>
      <c r="C6" s="352" t="s">
        <v>424</v>
      </c>
      <c r="D6" s="352" t="s">
        <v>42</v>
      </c>
      <c r="E6" s="352" t="s">
        <v>65</v>
      </c>
      <c r="F6" s="353" t="s">
        <v>380</v>
      </c>
      <c r="G6" s="353" t="s">
        <v>425</v>
      </c>
      <c r="H6" s="354" t="s">
        <v>43</v>
      </c>
    </row>
    <row r="7" spans="1:11" s="22" customFormat="1" ht="17.25" thickBot="1" x14ac:dyDescent="0.3">
      <c r="A7" s="475"/>
      <c r="B7" s="476"/>
      <c r="C7" s="33" t="s">
        <v>44</v>
      </c>
      <c r="D7" s="33" t="s">
        <v>45</v>
      </c>
      <c r="E7" s="33" t="s">
        <v>46</v>
      </c>
      <c r="F7" s="336" t="s">
        <v>47</v>
      </c>
      <c r="G7" s="336" t="s">
        <v>48</v>
      </c>
      <c r="H7" s="33" t="s">
        <v>49</v>
      </c>
    </row>
    <row r="8" spans="1:11" s="22" customFormat="1" ht="8.25" customHeight="1" x14ac:dyDescent="0.25">
      <c r="A8" s="26"/>
      <c r="B8" s="31"/>
      <c r="C8" s="337"/>
      <c r="D8" s="337"/>
      <c r="E8" s="338"/>
      <c r="F8" s="337"/>
      <c r="G8" s="337"/>
      <c r="H8" s="338"/>
    </row>
    <row r="9" spans="1:11" ht="17.100000000000001" customHeight="1" x14ac:dyDescent="0.25">
      <c r="A9" s="27"/>
      <c r="B9" s="237" t="s">
        <v>7</v>
      </c>
      <c r="C9" s="339"/>
      <c r="D9" s="339"/>
      <c r="E9" s="340">
        <f>C9+D9</f>
        <v>0</v>
      </c>
      <c r="F9" s="339"/>
      <c r="G9" s="339"/>
      <c r="H9" s="340">
        <f>G9-C9</f>
        <v>0</v>
      </c>
    </row>
    <row r="10" spans="1:11" ht="17.100000000000001" customHeight="1" x14ac:dyDescent="0.25">
      <c r="A10" s="27"/>
      <c r="B10" s="237" t="s">
        <v>8</v>
      </c>
      <c r="C10" s="339">
        <v>0</v>
      </c>
      <c r="D10" s="339">
        <v>0</v>
      </c>
      <c r="E10" s="340">
        <f t="shared" ref="E10:E18" si="0">C10+D10</f>
        <v>0</v>
      </c>
      <c r="F10" s="339">
        <v>0</v>
      </c>
      <c r="G10" s="339">
        <v>0</v>
      </c>
      <c r="H10" s="340">
        <f t="shared" ref="H10:H19" si="1">G10-C10</f>
        <v>0</v>
      </c>
    </row>
    <row r="11" spans="1:11" ht="17.100000000000001" customHeight="1" x14ac:dyDescent="0.25">
      <c r="A11" s="27"/>
      <c r="B11" s="237" t="s">
        <v>50</v>
      </c>
      <c r="C11" s="339">
        <v>0</v>
      </c>
      <c r="D11" s="339"/>
      <c r="E11" s="340">
        <f t="shared" si="0"/>
        <v>0</v>
      </c>
      <c r="F11" s="339"/>
      <c r="G11" s="339"/>
      <c r="H11" s="340">
        <f t="shared" si="1"/>
        <v>0</v>
      </c>
    </row>
    <row r="12" spans="1:11" ht="17.100000000000001" customHeight="1" x14ac:dyDescent="0.25">
      <c r="A12" s="27"/>
      <c r="B12" s="237" t="s">
        <v>9</v>
      </c>
      <c r="C12" s="339">
        <v>0</v>
      </c>
      <c r="D12" s="339"/>
      <c r="E12" s="340">
        <f t="shared" si="0"/>
        <v>0</v>
      </c>
      <c r="F12" s="339"/>
      <c r="G12" s="339"/>
      <c r="H12" s="340">
        <f t="shared" si="1"/>
        <v>0</v>
      </c>
    </row>
    <row r="13" spans="1:11" ht="17.100000000000001" customHeight="1" x14ac:dyDescent="0.25">
      <c r="A13" s="27"/>
      <c r="B13" s="237" t="s">
        <v>51</v>
      </c>
      <c r="C13" s="339">
        <v>0</v>
      </c>
      <c r="D13" s="339">
        <v>17883398.410000004</v>
      </c>
      <c r="E13" s="340">
        <f t="shared" si="0"/>
        <v>17883398.410000004</v>
      </c>
      <c r="F13" s="339">
        <v>17883398.410000004</v>
      </c>
      <c r="G13" s="339">
        <v>17883398.410000004</v>
      </c>
      <c r="H13" s="340">
        <f t="shared" si="1"/>
        <v>17883398.410000004</v>
      </c>
      <c r="J13" s="424"/>
      <c r="K13" s="424"/>
    </row>
    <row r="14" spans="1:11" ht="17.100000000000001" customHeight="1" x14ac:dyDescent="0.25">
      <c r="A14" s="27"/>
      <c r="B14" s="237" t="s">
        <v>52</v>
      </c>
      <c r="C14" s="339">
        <v>0</v>
      </c>
      <c r="D14" s="339"/>
      <c r="E14" s="340">
        <f t="shared" si="0"/>
        <v>0</v>
      </c>
      <c r="F14" s="339"/>
      <c r="G14" s="339"/>
      <c r="H14" s="340">
        <f t="shared" si="1"/>
        <v>0</v>
      </c>
    </row>
    <row r="15" spans="1:11" ht="29.25" customHeight="1" x14ac:dyDescent="0.25">
      <c r="A15" s="27"/>
      <c r="B15" s="237" t="s">
        <v>426</v>
      </c>
      <c r="C15" s="339">
        <v>269652719.99859548</v>
      </c>
      <c r="D15" s="339">
        <v>53094892.630000018</v>
      </c>
      <c r="E15" s="340">
        <f>C15+D15</f>
        <v>322747612.62859547</v>
      </c>
      <c r="F15" s="339">
        <v>318441597.04000002</v>
      </c>
      <c r="G15" s="339">
        <v>232326347.48000002</v>
      </c>
      <c r="H15" s="340">
        <f t="shared" si="1"/>
        <v>-37326372.518595457</v>
      </c>
    </row>
    <row r="16" spans="1:11" ht="51" customHeight="1" x14ac:dyDescent="0.25">
      <c r="A16" s="27"/>
      <c r="B16" s="237" t="s">
        <v>427</v>
      </c>
      <c r="C16" s="339">
        <v>115000000</v>
      </c>
      <c r="D16" s="339">
        <v>2125130926</v>
      </c>
      <c r="E16" s="340">
        <f t="shared" si="0"/>
        <v>2240130926</v>
      </c>
      <c r="F16" s="339">
        <v>2181868007.6400003</v>
      </c>
      <c r="G16" s="339">
        <v>2181868007.6400003</v>
      </c>
      <c r="H16" s="340">
        <f t="shared" si="1"/>
        <v>2066868007.6400003</v>
      </c>
      <c r="K16" s="424"/>
    </row>
    <row r="17" spans="1:11" ht="25.5" x14ac:dyDescent="0.25">
      <c r="A17" s="27"/>
      <c r="B17" s="237" t="s">
        <v>431</v>
      </c>
      <c r="C17" s="339">
        <v>398014411.31999999</v>
      </c>
      <c r="D17" s="339">
        <v>173564342.15999985</v>
      </c>
      <c r="E17" s="340">
        <f t="shared" si="0"/>
        <v>571578753.47999978</v>
      </c>
      <c r="F17" s="339">
        <v>511401063.61999989</v>
      </c>
      <c r="G17" s="339">
        <v>511401063.61999989</v>
      </c>
      <c r="H17" s="340">
        <f t="shared" si="1"/>
        <v>113386652.29999989</v>
      </c>
      <c r="K17" s="424"/>
    </row>
    <row r="18" spans="1:11" ht="17.100000000000001" customHeight="1" thickBot="1" x14ac:dyDescent="0.3">
      <c r="A18" s="28"/>
      <c r="B18" s="334" t="s">
        <v>53</v>
      </c>
      <c r="C18" s="341"/>
      <c r="D18" s="341"/>
      <c r="E18" s="342">
        <f t="shared" si="0"/>
        <v>0</v>
      </c>
      <c r="F18" s="341"/>
      <c r="G18" s="341"/>
      <c r="H18" s="342">
        <f t="shared" si="1"/>
        <v>0</v>
      </c>
    </row>
    <row r="19" spans="1:11" s="1" customFormat="1" ht="28.5" customHeight="1" thickBot="1" x14ac:dyDescent="0.3">
      <c r="A19" s="462" t="s">
        <v>40</v>
      </c>
      <c r="B19" s="463"/>
      <c r="C19" s="343">
        <f>C9+C10+C11+C12+C13+C14+C15+C16+C17+C18</f>
        <v>782667131.31859541</v>
      </c>
      <c r="D19" s="422">
        <f>D9+D10+D11+D12+D13+D14+D15+D16+D17+D18</f>
        <v>2369673559.1999998</v>
      </c>
      <c r="E19" s="422">
        <f>E9+E10+E11+E12+E13+E14+E15+E16+E17+E18</f>
        <v>3152340690.5185957</v>
      </c>
      <c r="F19" s="422">
        <f>F9+F10+F11+F12+F13+F14+F15+F16+F17+F18</f>
        <v>3029594066.71</v>
      </c>
      <c r="G19" s="422">
        <f>G9+G10+G11+G12+G13+G14+G15+G16+G17+G18</f>
        <v>2943478817.1500001</v>
      </c>
      <c r="H19" s="343">
        <f t="shared" si="1"/>
        <v>2160811685.8314047</v>
      </c>
    </row>
    <row r="20" spans="1:11" ht="22.5" customHeight="1" thickBot="1" x14ac:dyDescent="0.3">
      <c r="A20" s="29"/>
      <c r="B20" s="29"/>
      <c r="C20" s="368"/>
      <c r="D20" s="365"/>
      <c r="E20" s="365"/>
      <c r="F20" s="365"/>
      <c r="G20" s="330" t="s">
        <v>428</v>
      </c>
      <c r="H20" s="331">
        <f>IF(($G$19-$C$19)&lt;=0,"",$G$19-$C$19)</f>
        <v>2160811685.8314047</v>
      </c>
    </row>
    <row r="21" spans="1:11" ht="10.5" customHeight="1" thickBot="1" x14ac:dyDescent="0.3">
      <c r="A21" s="31"/>
      <c r="B21" s="31"/>
      <c r="C21" s="32"/>
      <c r="D21" s="421"/>
      <c r="E21" s="419"/>
      <c r="F21" s="413"/>
      <c r="G21" s="413"/>
      <c r="H21" s="30"/>
    </row>
    <row r="22" spans="1:11" s="22" customFormat="1" ht="17.25" thickBot="1" x14ac:dyDescent="0.3">
      <c r="A22" s="456" t="s">
        <v>429</v>
      </c>
      <c r="B22" s="457"/>
      <c r="C22" s="466" t="s">
        <v>61</v>
      </c>
      <c r="D22" s="467"/>
      <c r="E22" s="467"/>
      <c r="F22" s="467"/>
      <c r="G22" s="468"/>
      <c r="H22" s="335"/>
      <c r="I22" s="420"/>
    </row>
    <row r="23" spans="1:11" s="22" customFormat="1" ht="39" thickBot="1" x14ac:dyDescent="0.3">
      <c r="A23" s="458"/>
      <c r="B23" s="459"/>
      <c r="C23" s="352" t="s">
        <v>424</v>
      </c>
      <c r="D23" s="352" t="s">
        <v>42</v>
      </c>
      <c r="E23" s="352" t="s">
        <v>65</v>
      </c>
      <c r="F23" s="353" t="s">
        <v>380</v>
      </c>
      <c r="G23" s="353" t="s">
        <v>425</v>
      </c>
      <c r="H23" s="354" t="s">
        <v>43</v>
      </c>
    </row>
    <row r="24" spans="1:11" s="22" customFormat="1" ht="17.25" thickBot="1" x14ac:dyDescent="0.3">
      <c r="A24" s="460"/>
      <c r="B24" s="461"/>
      <c r="C24" s="33" t="s">
        <v>44</v>
      </c>
      <c r="D24" s="33" t="s">
        <v>45</v>
      </c>
      <c r="E24" s="33" t="s">
        <v>46</v>
      </c>
      <c r="F24" s="336" t="s">
        <v>47</v>
      </c>
      <c r="G24" s="336" t="s">
        <v>48</v>
      </c>
      <c r="H24" s="33" t="s">
        <v>49</v>
      </c>
    </row>
    <row r="25" spans="1:11" s="11" customFormat="1" ht="48" customHeight="1" x14ac:dyDescent="0.25">
      <c r="A25" s="469" t="s">
        <v>430</v>
      </c>
      <c r="B25" s="470"/>
      <c r="C25" s="202">
        <f t="shared" ref="C25:H25" si="2">SUM(C26,C27,C28,C29,C30,C31,C32,C33)</f>
        <v>115000000</v>
      </c>
      <c r="D25" s="202">
        <f t="shared" si="2"/>
        <v>2125130926</v>
      </c>
      <c r="E25" s="202">
        <f>SUM(E26,E27,E28,E29,E30,E31,E32,E33)</f>
        <v>2240130926</v>
      </c>
      <c r="F25" s="202">
        <f t="shared" si="2"/>
        <v>2181868007.6400003</v>
      </c>
      <c r="G25" s="202">
        <f t="shared" si="2"/>
        <v>2181868007.6400003</v>
      </c>
      <c r="H25" s="202">
        <f t="shared" si="2"/>
        <v>2066868007.6400003</v>
      </c>
    </row>
    <row r="26" spans="1:11" s="11" customFormat="1" ht="17.100000000000001" customHeight="1" x14ac:dyDescent="0.25">
      <c r="A26" s="34" t="s">
        <v>54</v>
      </c>
      <c r="B26" s="35"/>
      <c r="C26" s="203">
        <v>0</v>
      </c>
      <c r="D26" s="203">
        <v>0</v>
      </c>
      <c r="E26" s="204">
        <f>C26+D26</f>
        <v>0</v>
      </c>
      <c r="F26" s="203">
        <v>0</v>
      </c>
      <c r="G26" s="203">
        <v>0</v>
      </c>
      <c r="H26" s="205">
        <f>G26-C26</f>
        <v>0</v>
      </c>
    </row>
    <row r="27" spans="1:11" s="11" customFormat="1" ht="17.100000000000001" customHeight="1" x14ac:dyDescent="0.25">
      <c r="A27" s="34"/>
      <c r="B27" s="39" t="s">
        <v>8</v>
      </c>
      <c r="C27" s="203"/>
      <c r="D27" s="203"/>
      <c r="E27" s="204"/>
      <c r="F27" s="203"/>
      <c r="G27" s="203"/>
      <c r="H27" s="205"/>
    </row>
    <row r="28" spans="1:11" s="11" customFormat="1" ht="17.100000000000001" customHeight="1" x14ac:dyDescent="0.25">
      <c r="A28" s="34" t="s">
        <v>50</v>
      </c>
      <c r="B28" s="35"/>
      <c r="C28" s="203"/>
      <c r="D28" s="203"/>
      <c r="E28" s="204">
        <f t="shared" ref="E28:E42" si="3">C28+D28</f>
        <v>0</v>
      </c>
      <c r="F28" s="203"/>
      <c r="G28" s="203"/>
      <c r="H28" s="205">
        <f t="shared" ref="H28:H42" si="4">G28-C28</f>
        <v>0</v>
      </c>
    </row>
    <row r="29" spans="1:11" s="11" customFormat="1" x14ac:dyDescent="0.25">
      <c r="A29" s="464" t="s">
        <v>9</v>
      </c>
      <c r="B29" s="465"/>
      <c r="C29" s="203"/>
      <c r="D29" s="203"/>
      <c r="E29" s="204">
        <f t="shared" si="3"/>
        <v>0</v>
      </c>
      <c r="F29" s="203"/>
      <c r="G29" s="203"/>
      <c r="H29" s="205">
        <f t="shared" si="4"/>
        <v>0</v>
      </c>
    </row>
    <row r="30" spans="1:11" s="11" customFormat="1" ht="17.100000000000001" customHeight="1" x14ac:dyDescent="0.25">
      <c r="A30" s="464" t="s">
        <v>435</v>
      </c>
      <c r="B30" s="465"/>
      <c r="C30" s="203"/>
      <c r="D30" s="203"/>
      <c r="E30" s="204">
        <f t="shared" si="3"/>
        <v>0</v>
      </c>
      <c r="F30" s="203"/>
      <c r="G30" s="203"/>
      <c r="H30" s="205">
        <f t="shared" si="4"/>
        <v>0</v>
      </c>
    </row>
    <row r="31" spans="1:11" ht="17.100000000000001" customHeight="1" x14ac:dyDescent="0.25">
      <c r="A31" s="464" t="s">
        <v>436</v>
      </c>
      <c r="B31" s="465" t="s">
        <v>55</v>
      </c>
      <c r="C31" s="206"/>
      <c r="D31" s="206"/>
      <c r="E31" s="204">
        <f t="shared" si="3"/>
        <v>0</v>
      </c>
      <c r="F31" s="206"/>
      <c r="G31" s="206"/>
      <c r="H31" s="205">
        <f t="shared" si="4"/>
        <v>0</v>
      </c>
    </row>
    <row r="32" spans="1:11" s="11" customFormat="1" ht="51" customHeight="1" x14ac:dyDescent="0.25">
      <c r="A32" s="355"/>
      <c r="B32" s="356" t="s">
        <v>427</v>
      </c>
      <c r="C32" s="203">
        <v>115000000</v>
      </c>
      <c r="D32" s="204">
        <v>2125130926</v>
      </c>
      <c r="E32" s="204">
        <f t="shared" si="3"/>
        <v>2240130926</v>
      </c>
      <c r="F32" s="203">
        <v>2181868007.6400003</v>
      </c>
      <c r="G32" s="203">
        <v>2181868007.6400003</v>
      </c>
      <c r="H32" s="205">
        <f t="shared" si="4"/>
        <v>2066868007.6400003</v>
      </c>
    </row>
    <row r="33" spans="1:8" s="11" customFormat="1" ht="27.75" customHeight="1" x14ac:dyDescent="0.25">
      <c r="A33" s="464" t="s">
        <v>431</v>
      </c>
      <c r="B33" s="465"/>
      <c r="C33" s="203"/>
      <c r="D33" s="203"/>
      <c r="E33" s="204">
        <f t="shared" si="3"/>
        <v>0</v>
      </c>
      <c r="F33" s="203"/>
      <c r="G33" s="203"/>
      <c r="H33" s="205">
        <f t="shared" si="4"/>
        <v>0</v>
      </c>
    </row>
    <row r="34" spans="1:8" s="11" customFormat="1" ht="8.25" customHeight="1" x14ac:dyDescent="0.25">
      <c r="A34" s="36"/>
      <c r="B34" s="37"/>
      <c r="C34" s="203"/>
      <c r="D34" s="203"/>
      <c r="E34" s="204"/>
      <c r="F34" s="203"/>
      <c r="G34" s="203"/>
      <c r="H34" s="205"/>
    </row>
    <row r="35" spans="1:8" s="11" customFormat="1" ht="66.75" customHeight="1" x14ac:dyDescent="0.25">
      <c r="A35" s="454" t="s">
        <v>432</v>
      </c>
      <c r="B35" s="455"/>
      <c r="C35" s="202">
        <f t="shared" ref="C35:H35" si="5">SUM(C36:C39)</f>
        <v>667667131.31859541</v>
      </c>
      <c r="D35" s="202">
        <f t="shared" si="5"/>
        <v>244542633.19999987</v>
      </c>
      <c r="E35" s="202">
        <f t="shared" si="5"/>
        <v>912209764.51859522</v>
      </c>
      <c r="F35" s="202">
        <f t="shared" si="5"/>
        <v>847726059.06999993</v>
      </c>
      <c r="G35" s="202">
        <f t="shared" si="5"/>
        <v>761610809.50999987</v>
      </c>
      <c r="H35" s="202">
        <f t="shared" si="5"/>
        <v>93943678.191404432</v>
      </c>
    </row>
    <row r="36" spans="1:8" s="11" customFormat="1" ht="17.100000000000001" customHeight="1" x14ac:dyDescent="0.25">
      <c r="A36" s="38"/>
      <c r="B36" s="39" t="s">
        <v>8</v>
      </c>
      <c r="C36" s="203">
        <v>0</v>
      </c>
      <c r="D36" s="203"/>
      <c r="E36" s="204">
        <f t="shared" si="3"/>
        <v>0</v>
      </c>
      <c r="F36" s="203"/>
      <c r="G36" s="203"/>
      <c r="H36" s="205">
        <f t="shared" si="4"/>
        <v>0</v>
      </c>
    </row>
    <row r="37" spans="1:8" s="11" customFormat="1" ht="17.100000000000001" customHeight="1" x14ac:dyDescent="0.25">
      <c r="A37" s="38"/>
      <c r="B37" s="39" t="s">
        <v>435</v>
      </c>
      <c r="C37" s="203">
        <v>0</v>
      </c>
      <c r="D37" s="203">
        <v>17883398.410000004</v>
      </c>
      <c r="E37" s="204">
        <f t="shared" ref="E37" si="6">C37+D37</f>
        <v>17883398.410000004</v>
      </c>
      <c r="F37" s="203">
        <v>17883398.410000004</v>
      </c>
      <c r="G37" s="203">
        <v>17883398.410000004</v>
      </c>
      <c r="H37" s="205">
        <f t="shared" ref="H37" si="7">G37-C37</f>
        <v>17883398.410000004</v>
      </c>
    </row>
    <row r="38" spans="1:8" s="11" customFormat="1" ht="30.75" customHeight="1" x14ac:dyDescent="0.25">
      <c r="A38" s="38"/>
      <c r="B38" s="357" t="s">
        <v>437</v>
      </c>
      <c r="C38" s="203">
        <v>269652719.99859548</v>
      </c>
      <c r="D38" s="203">
        <v>53094892.630000018</v>
      </c>
      <c r="E38" s="204">
        <f t="shared" ref="E38" si="8">C38+D38</f>
        <v>322747612.62859547</v>
      </c>
      <c r="F38" s="339">
        <v>318441597.04000002</v>
      </c>
      <c r="G38" s="339">
        <v>232326347.48000002</v>
      </c>
      <c r="H38" s="205">
        <f t="shared" ref="H38" si="9">G38-C38</f>
        <v>-37326372.518595457</v>
      </c>
    </row>
    <row r="39" spans="1:8" s="11" customFormat="1" ht="29.25" customHeight="1" x14ac:dyDescent="0.25">
      <c r="A39" s="38"/>
      <c r="B39" s="40" t="s">
        <v>431</v>
      </c>
      <c r="C39" s="203">
        <v>398014411.31999999</v>
      </c>
      <c r="D39" s="203">
        <v>173564342.15999985</v>
      </c>
      <c r="E39" s="204">
        <f t="shared" si="3"/>
        <v>571578753.47999978</v>
      </c>
      <c r="F39" s="339">
        <v>511401063.61999989</v>
      </c>
      <c r="G39" s="339">
        <v>511401063.61999989</v>
      </c>
      <c r="H39" s="205">
        <f t="shared" si="4"/>
        <v>113386652.29999989</v>
      </c>
    </row>
    <row r="40" spans="1:8" s="11" customFormat="1" ht="6" customHeight="1" x14ac:dyDescent="0.25">
      <c r="A40" s="38"/>
      <c r="B40" s="39"/>
      <c r="C40" s="203"/>
      <c r="D40" s="203"/>
      <c r="E40" s="204"/>
      <c r="F40" s="203"/>
      <c r="G40" s="203"/>
      <c r="H40" s="205"/>
    </row>
    <row r="41" spans="1:8" s="11" customFormat="1" ht="17.100000000000001" customHeight="1" x14ac:dyDescent="0.25">
      <c r="A41" s="36" t="s">
        <v>57</v>
      </c>
      <c r="B41" s="37"/>
      <c r="C41" s="202">
        <f t="shared" ref="C41:H41" si="10">C42</f>
        <v>0</v>
      </c>
      <c r="D41" s="202">
        <f t="shared" si="10"/>
        <v>0</v>
      </c>
      <c r="E41" s="202">
        <f t="shared" si="10"/>
        <v>0</v>
      </c>
      <c r="F41" s="202">
        <f t="shared" si="10"/>
        <v>0</v>
      </c>
      <c r="G41" s="202">
        <f t="shared" si="10"/>
        <v>0</v>
      </c>
      <c r="H41" s="202">
        <f t="shared" si="10"/>
        <v>0</v>
      </c>
    </row>
    <row r="42" spans="1:8" s="11" customFormat="1" ht="17.100000000000001" customHeight="1" x14ac:dyDescent="0.25">
      <c r="A42" s="36"/>
      <c r="B42" s="41" t="s">
        <v>53</v>
      </c>
      <c r="C42" s="203">
        <v>0</v>
      </c>
      <c r="D42" s="203"/>
      <c r="E42" s="204">
        <f t="shared" si="3"/>
        <v>0</v>
      </c>
      <c r="F42" s="203"/>
      <c r="G42" s="203"/>
      <c r="H42" s="205">
        <f t="shared" si="4"/>
        <v>0</v>
      </c>
    </row>
    <row r="43" spans="1:8" s="11" customFormat="1" ht="12.75" customHeight="1" thickBot="1" x14ac:dyDescent="0.3">
      <c r="A43" s="42"/>
      <c r="B43" s="43"/>
      <c r="C43" s="207"/>
      <c r="D43" s="207"/>
      <c r="E43" s="208"/>
      <c r="F43" s="207"/>
      <c r="G43" s="207"/>
      <c r="H43" s="209"/>
    </row>
    <row r="44" spans="1:8" ht="21.75" customHeight="1" thickBot="1" x14ac:dyDescent="0.3">
      <c r="A44" s="452" t="s">
        <v>40</v>
      </c>
      <c r="B44" s="453"/>
      <c r="C44" s="329">
        <f t="shared" ref="C44:H44" si="11">C25+C35+C41</f>
        <v>782667131.31859541</v>
      </c>
      <c r="D44" s="329">
        <f t="shared" si="11"/>
        <v>2369673559.1999998</v>
      </c>
      <c r="E44" s="329">
        <f t="shared" si="11"/>
        <v>3152340690.5185952</v>
      </c>
      <c r="F44" s="329">
        <f t="shared" si="11"/>
        <v>3029594066.71</v>
      </c>
      <c r="G44" s="329">
        <f t="shared" si="11"/>
        <v>2943478817.1500001</v>
      </c>
      <c r="H44" s="329">
        <f t="shared" si="11"/>
        <v>2160811685.8314047</v>
      </c>
    </row>
    <row r="45" spans="1:8" ht="23.25" customHeight="1" thickBot="1" x14ac:dyDescent="0.3">
      <c r="A45" s="29"/>
      <c r="B45" s="29"/>
      <c r="C45" s="44"/>
      <c r="D45" s="44"/>
      <c r="E45" s="44"/>
      <c r="F45" s="45"/>
      <c r="G45" s="332" t="s">
        <v>428</v>
      </c>
      <c r="H45" s="333">
        <f>IF(($G$44-$C$44)&lt;=0,"",$G$44-$C$44)</f>
        <v>2160811685.8314047</v>
      </c>
    </row>
    <row r="46" spans="1:8" x14ac:dyDescent="0.25">
      <c r="A46" s="31"/>
      <c r="B46" s="31"/>
      <c r="C46" s="239"/>
      <c r="D46" s="239"/>
      <c r="E46" s="239"/>
      <c r="F46" s="418"/>
      <c r="G46" s="240"/>
      <c r="H46" s="240"/>
    </row>
    <row r="47" spans="1:8" x14ac:dyDescent="0.25">
      <c r="A47" s="31"/>
      <c r="B47" s="31"/>
      <c r="C47" s="239"/>
      <c r="D47" s="239"/>
      <c r="E47" s="425"/>
      <c r="F47" s="418"/>
      <c r="G47" s="240"/>
      <c r="H47" s="240"/>
    </row>
    <row r="48" spans="1:8" s="363" customFormat="1" ht="15.75" customHeight="1" x14ac:dyDescent="0.25">
      <c r="A48" s="359"/>
      <c r="B48" s="360" t="s">
        <v>444</v>
      </c>
      <c r="C48" s="361"/>
      <c r="D48" s="361"/>
      <c r="E48" s="361"/>
      <c r="F48" s="361"/>
      <c r="G48" s="362"/>
      <c r="H48" s="362"/>
    </row>
    <row r="49" spans="1:8" s="363" customFormat="1" ht="12.75" customHeight="1" x14ac:dyDescent="0.25">
      <c r="A49" s="359"/>
      <c r="B49" s="360" t="s">
        <v>445</v>
      </c>
      <c r="C49" s="361"/>
      <c r="D49" s="361"/>
      <c r="E49" s="361"/>
      <c r="F49" s="361"/>
      <c r="G49" s="362"/>
      <c r="H49" s="362"/>
    </row>
    <row r="50" spans="1:8" s="363" customFormat="1" ht="26.25" customHeight="1" x14ac:dyDescent="0.25">
      <c r="A50" s="359"/>
      <c r="B50" s="451" t="s">
        <v>446</v>
      </c>
      <c r="C50" s="451"/>
      <c r="D50" s="451"/>
      <c r="E50" s="451"/>
      <c r="F50" s="451"/>
      <c r="G50" s="451"/>
      <c r="H50" s="451"/>
    </row>
    <row r="51" spans="1:8" ht="23.25" customHeight="1" x14ac:dyDescent="0.25">
      <c r="A51" s="31"/>
      <c r="B51" s="31"/>
      <c r="C51" s="239"/>
      <c r="D51" s="417"/>
      <c r="E51" s="416"/>
      <c r="F51" s="414"/>
      <c r="G51" s="415"/>
      <c r="H51" s="415"/>
    </row>
    <row r="52" spans="1:8" ht="8.25" customHeight="1" x14ac:dyDescent="0.25">
      <c r="A52" s="46"/>
      <c r="B52" s="8"/>
    </row>
    <row r="53" spans="1:8" x14ac:dyDescent="0.25">
      <c r="B53" s="8"/>
      <c r="D53" s="436"/>
      <c r="E53" s="436"/>
      <c r="F53" s="436"/>
      <c r="G53" s="436"/>
      <c r="H53" s="437"/>
    </row>
    <row r="54" spans="1:8" x14ac:dyDescent="0.25">
      <c r="A54" s="48"/>
      <c r="B54" s="49" t="s">
        <v>58</v>
      </c>
      <c r="C54" s="50"/>
      <c r="D54" s="50"/>
      <c r="E54" s="50"/>
      <c r="F54" s="50"/>
      <c r="G54" s="50"/>
      <c r="H54" s="50"/>
    </row>
    <row r="55" spans="1:8" x14ac:dyDescent="0.25">
      <c r="A55" s="48"/>
      <c r="B55" s="49" t="s">
        <v>59</v>
      </c>
      <c r="C55" s="50"/>
      <c r="D55" s="50"/>
      <c r="E55" s="50"/>
      <c r="F55" s="50"/>
      <c r="G55" s="50"/>
      <c r="H55" s="50"/>
    </row>
    <row r="56" spans="1:8" x14ac:dyDescent="0.25">
      <c r="A56" s="48"/>
      <c r="B56" s="49"/>
      <c r="C56" s="50"/>
      <c r="D56" s="50"/>
      <c r="E56" s="50"/>
      <c r="F56" s="50"/>
      <c r="G56" s="50"/>
      <c r="H56" s="50"/>
    </row>
  </sheetData>
  <sheetProtection formatColumns="0" formatRows="0" insertHyperlinks="0"/>
  <mergeCells count="17">
    <mergeCell ref="A1:H1"/>
    <mergeCell ref="A2:H2"/>
    <mergeCell ref="A3:H3"/>
    <mergeCell ref="C4:F4"/>
    <mergeCell ref="C5:G5"/>
    <mergeCell ref="A5:B7"/>
    <mergeCell ref="B50:H50"/>
    <mergeCell ref="A44:B44"/>
    <mergeCell ref="A35:B35"/>
    <mergeCell ref="A22:B24"/>
    <mergeCell ref="A19:B19"/>
    <mergeCell ref="A29:B29"/>
    <mergeCell ref="A31:B31"/>
    <mergeCell ref="A33:B33"/>
    <mergeCell ref="C22:G22"/>
    <mergeCell ref="A25:B25"/>
    <mergeCell ref="A30:B30"/>
  </mergeCells>
  <printOptions horizontalCentered="1"/>
  <pageMargins left="0.39370078740157483" right="0.39370078740157483" top="0.39370078740157483" bottom="0" header="0.31496062992125984" footer="0.31496062992125984"/>
  <pageSetup scale="80" fitToHeight="2" orientation="landscape" r:id="rId1"/>
  <rowBreaks count="1" manualBreakCount="1">
    <brk id="21" max="7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 tint="-0.249977111117893"/>
    <pageSetUpPr fitToPage="1"/>
  </sheetPr>
  <dimension ref="A1:H30"/>
  <sheetViews>
    <sheetView view="pageBreakPreview" zoomScaleSheetLayoutView="100" workbookViewId="0">
      <selection activeCell="A11" sqref="A10:O16"/>
    </sheetView>
  </sheetViews>
  <sheetFormatPr baseColWidth="10" defaultColWidth="11.28515625" defaultRowHeight="16.5" x14ac:dyDescent="0.25"/>
  <cols>
    <col min="1" max="1" width="39.85546875" style="8" customWidth="1"/>
    <col min="2" max="7" width="13.7109375" style="8" customWidth="1"/>
    <col min="8" max="16384" width="11.28515625" style="8"/>
  </cols>
  <sheetData>
    <row r="1" spans="1:7" x14ac:dyDescent="0.25">
      <c r="A1" s="563" t="e">
        <f>#REF!</f>
        <v>#REF!</v>
      </c>
      <c r="B1" s="563"/>
      <c r="C1" s="563"/>
      <c r="D1" s="563"/>
      <c r="E1" s="563"/>
      <c r="F1" s="563"/>
      <c r="G1" s="563"/>
    </row>
    <row r="2" spans="1:7" x14ac:dyDescent="0.25">
      <c r="A2" s="563" t="s">
        <v>131</v>
      </c>
      <c r="B2" s="563"/>
      <c r="C2" s="563"/>
      <c r="D2" s="563"/>
      <c r="E2" s="563"/>
      <c r="F2" s="563"/>
      <c r="G2" s="563"/>
    </row>
    <row r="3" spans="1:7" x14ac:dyDescent="0.25">
      <c r="A3" s="563" t="s">
        <v>303</v>
      </c>
      <c r="B3" s="563"/>
      <c r="C3" s="563"/>
      <c r="D3" s="563"/>
      <c r="E3" s="563"/>
      <c r="F3" s="563"/>
      <c r="G3" s="563"/>
    </row>
    <row r="4" spans="1:7" x14ac:dyDescent="0.25">
      <c r="A4" s="448" t="e">
        <f>#REF!</f>
        <v>#REF!</v>
      </c>
      <c r="B4" s="448"/>
      <c r="C4" s="448"/>
      <c r="D4" s="448"/>
      <c r="E4" s="448"/>
      <c r="F4" s="448"/>
      <c r="G4" s="448"/>
    </row>
    <row r="5" spans="1:7" ht="17.25" thickBot="1" x14ac:dyDescent="0.3">
      <c r="A5" s="520" t="s">
        <v>454</v>
      </c>
      <c r="B5" s="520"/>
      <c r="C5" s="520"/>
      <c r="D5" s="520"/>
      <c r="E5" s="520"/>
      <c r="F5" s="4"/>
      <c r="G5" s="173"/>
    </row>
    <row r="6" spans="1:7" s="91" customFormat="1" ht="40.5" x14ac:dyDescent="0.25">
      <c r="A6" s="564" t="s">
        <v>39</v>
      </c>
      <c r="B6" s="110" t="s">
        <v>134</v>
      </c>
      <c r="C6" s="110" t="s">
        <v>64</v>
      </c>
      <c r="D6" s="110" t="s">
        <v>135</v>
      </c>
      <c r="E6" s="110" t="s">
        <v>136</v>
      </c>
      <c r="F6" s="110" t="s">
        <v>137</v>
      </c>
      <c r="G6" s="111" t="s">
        <v>138</v>
      </c>
    </row>
    <row r="7" spans="1:7" s="91" customFormat="1" ht="15.75" customHeight="1" thickBot="1" x14ac:dyDescent="0.3">
      <c r="A7" s="565"/>
      <c r="B7" s="97" t="s">
        <v>44</v>
      </c>
      <c r="C7" s="97" t="s">
        <v>45</v>
      </c>
      <c r="D7" s="97" t="s">
        <v>139</v>
      </c>
      <c r="E7" s="97" t="s">
        <v>47</v>
      </c>
      <c r="F7" s="97" t="s">
        <v>48</v>
      </c>
      <c r="G7" s="98" t="s">
        <v>140</v>
      </c>
    </row>
    <row r="8" spans="1:7" x14ac:dyDescent="0.25">
      <c r="A8" s="105"/>
      <c r="B8" s="108"/>
      <c r="C8" s="108"/>
      <c r="D8" s="109"/>
      <c r="E8" s="108"/>
      <c r="F8" s="108"/>
      <c r="G8" s="112"/>
    </row>
    <row r="9" spans="1:7" ht="25.5" x14ac:dyDescent="0.25">
      <c r="A9" s="113" t="s">
        <v>304</v>
      </c>
      <c r="B9" s="182">
        <v>782667131.32148921</v>
      </c>
      <c r="C9" s="182">
        <v>3346323507.4600005</v>
      </c>
      <c r="D9" s="183">
        <f>IF(A9="","",B9+C9)</f>
        <v>4128990638.7814898</v>
      </c>
      <c r="E9" s="182">
        <v>2542826802.1500001</v>
      </c>
      <c r="F9" s="182">
        <v>2472706686.1100001</v>
      </c>
      <c r="G9" s="184">
        <f>IF(A9="","",D9-E9)</f>
        <v>1586163836.6314898</v>
      </c>
    </row>
    <row r="10" spans="1:7" ht="8.25" customHeight="1" x14ac:dyDescent="0.25">
      <c r="A10" s="113"/>
      <c r="B10" s="182"/>
      <c r="C10" s="182"/>
      <c r="D10" s="183" t="str">
        <f t="shared" ref="D10:D21" si="0">IF(A10="","",B10+C10)</f>
        <v/>
      </c>
      <c r="E10" s="182"/>
      <c r="F10" s="182"/>
      <c r="G10" s="184" t="str">
        <f t="shared" ref="G10:G21" si="1">IF(A10="","",D10-E10)</f>
        <v/>
      </c>
    </row>
    <row r="11" spans="1:7" x14ac:dyDescent="0.25">
      <c r="A11" s="113" t="s">
        <v>305</v>
      </c>
      <c r="B11" s="182"/>
      <c r="C11" s="182"/>
      <c r="D11" s="183">
        <f t="shared" si="0"/>
        <v>0</v>
      </c>
      <c r="E11" s="182"/>
      <c r="F11" s="182"/>
      <c r="G11" s="184">
        <f t="shared" si="1"/>
        <v>0</v>
      </c>
    </row>
    <row r="12" spans="1:7" ht="8.25" customHeight="1" x14ac:dyDescent="0.25">
      <c r="A12" s="113"/>
      <c r="B12" s="182"/>
      <c r="C12" s="182"/>
      <c r="D12" s="183" t="str">
        <f t="shared" si="0"/>
        <v/>
      </c>
      <c r="E12" s="182"/>
      <c r="F12" s="182"/>
      <c r="G12" s="184" t="str">
        <f t="shared" si="1"/>
        <v/>
      </c>
    </row>
    <row r="13" spans="1:7" ht="25.5" x14ac:dyDescent="0.25">
      <c r="A13" s="113" t="s">
        <v>306</v>
      </c>
      <c r="B13" s="182"/>
      <c r="C13" s="182"/>
      <c r="D13" s="183">
        <f t="shared" si="0"/>
        <v>0</v>
      </c>
      <c r="E13" s="182"/>
      <c r="F13" s="182"/>
      <c r="G13" s="184">
        <f t="shared" si="1"/>
        <v>0</v>
      </c>
    </row>
    <row r="14" spans="1:7" ht="8.25" customHeight="1" x14ac:dyDescent="0.25">
      <c r="A14" s="113"/>
      <c r="B14" s="182"/>
      <c r="C14" s="182"/>
      <c r="D14" s="183" t="str">
        <f t="shared" si="0"/>
        <v/>
      </c>
      <c r="E14" s="182"/>
      <c r="F14" s="182"/>
      <c r="G14" s="184" t="str">
        <f t="shared" si="1"/>
        <v/>
      </c>
    </row>
    <row r="15" spans="1:7" ht="25.5" x14ac:dyDescent="0.25">
      <c r="A15" s="113" t="s">
        <v>307</v>
      </c>
      <c r="B15" s="182"/>
      <c r="C15" s="182"/>
      <c r="D15" s="183">
        <f t="shared" si="0"/>
        <v>0</v>
      </c>
      <c r="E15" s="182"/>
      <c r="F15" s="182"/>
      <c r="G15" s="184">
        <f t="shared" si="1"/>
        <v>0</v>
      </c>
    </row>
    <row r="16" spans="1:7" ht="8.25" customHeight="1" x14ac:dyDescent="0.25">
      <c r="A16" s="113"/>
      <c r="B16" s="182"/>
      <c r="C16" s="182"/>
      <c r="D16" s="183" t="str">
        <f t="shared" si="0"/>
        <v/>
      </c>
      <c r="E16" s="182"/>
      <c r="F16" s="182"/>
      <c r="G16" s="184" t="str">
        <f t="shared" si="1"/>
        <v/>
      </c>
    </row>
    <row r="17" spans="1:8" ht="25.5" x14ac:dyDescent="0.25">
      <c r="A17" s="113" t="s">
        <v>308</v>
      </c>
      <c r="B17" s="182"/>
      <c r="C17" s="182"/>
      <c r="D17" s="183">
        <f t="shared" si="0"/>
        <v>0</v>
      </c>
      <c r="E17" s="182"/>
      <c r="F17" s="182"/>
      <c r="G17" s="184">
        <f t="shared" si="1"/>
        <v>0</v>
      </c>
    </row>
    <row r="18" spans="1:8" ht="8.25" customHeight="1" x14ac:dyDescent="0.25">
      <c r="A18" s="113"/>
      <c r="B18" s="182"/>
      <c r="C18" s="182"/>
      <c r="D18" s="183" t="str">
        <f t="shared" si="0"/>
        <v/>
      </c>
      <c r="E18" s="182"/>
      <c r="F18" s="182"/>
      <c r="G18" s="184" t="str">
        <f t="shared" si="1"/>
        <v/>
      </c>
    </row>
    <row r="19" spans="1:8" ht="25.5" x14ac:dyDescent="0.25">
      <c r="A19" s="113" t="s">
        <v>309</v>
      </c>
      <c r="B19" s="182"/>
      <c r="C19" s="182"/>
      <c r="D19" s="183">
        <f t="shared" si="0"/>
        <v>0</v>
      </c>
      <c r="E19" s="182"/>
      <c r="F19" s="182"/>
      <c r="G19" s="184">
        <f t="shared" si="1"/>
        <v>0</v>
      </c>
    </row>
    <row r="20" spans="1:8" ht="8.25" customHeight="1" x14ac:dyDescent="0.25">
      <c r="A20" s="113"/>
      <c r="B20" s="182"/>
      <c r="C20" s="182"/>
      <c r="D20" s="183" t="str">
        <f t="shared" si="0"/>
        <v/>
      </c>
      <c r="E20" s="182"/>
      <c r="F20" s="182"/>
      <c r="G20" s="184" t="str">
        <f t="shared" si="1"/>
        <v/>
      </c>
    </row>
    <row r="21" spans="1:8" ht="26.25" thickBot="1" x14ac:dyDescent="0.3">
      <c r="A21" s="113" t="s">
        <v>310</v>
      </c>
      <c r="B21" s="182"/>
      <c r="C21" s="182"/>
      <c r="D21" s="183">
        <f t="shared" si="0"/>
        <v>0</v>
      </c>
      <c r="E21" s="182"/>
      <c r="F21" s="182"/>
      <c r="G21" s="184">
        <f t="shared" si="1"/>
        <v>0</v>
      </c>
    </row>
    <row r="22" spans="1:8" ht="24.95" customHeight="1" thickBot="1" x14ac:dyDescent="0.3">
      <c r="A22" s="101" t="s">
        <v>190</v>
      </c>
      <c r="B22" s="178">
        <f>SUM(B9:B21)</f>
        <v>782667131.32148921</v>
      </c>
      <c r="C22" s="178">
        <f>SUM(C9:C21)</f>
        <v>3346323507.4600005</v>
      </c>
      <c r="D22" s="178">
        <f>IF(A22="","",B22+C22)</f>
        <v>4128990638.7814898</v>
      </c>
      <c r="E22" s="178">
        <f>SUM(E9:E21)</f>
        <v>2542826802.1500001</v>
      </c>
      <c r="F22" s="178">
        <f>SUM(F9:F21)</f>
        <v>2472706686.1100001</v>
      </c>
      <c r="G22" s="188">
        <f>IF(A22="","",D22-E22)</f>
        <v>1586163836.6314898</v>
      </c>
      <c r="H22" s="224" t="str">
        <f>IF((B22-'ETCA-II-04'!B80)&gt;0.9,"ERROR!!!!! EL MONTO NO COINCIDE CON LO REPORTADO EN EL FORMATO ETCA-II-04 EN EL TOTAL APROBADO ANUAL DEL ANALÍTICO DE EGRESOS","")</f>
        <v/>
      </c>
    </row>
    <row r="23" spans="1:8" ht="24.95" customHeight="1" x14ac:dyDescent="0.25">
      <c r="A23" s="235"/>
      <c r="B23" s="236"/>
      <c r="C23" s="236"/>
      <c r="D23" s="236"/>
      <c r="E23" s="236"/>
      <c r="F23" s="236"/>
      <c r="G23" s="236"/>
      <c r="H23" s="224" t="str">
        <f>IF((C22-'ETCA-II-04'!C80)&gt;0.9,"ERROR!!!!! EL MONTO NO COINCIDE CON LO REPORTADO EN EL FORMATO ETCA-II-04 EN EL TOTAL APROBADO ANUAL DEL ANALÍTICO DE EGRESOS","")</f>
        <v/>
      </c>
    </row>
    <row r="24" spans="1:8" ht="24.95" customHeight="1" x14ac:dyDescent="0.25">
      <c r="A24" s="212"/>
      <c r="B24" s="211"/>
      <c r="C24" s="211"/>
      <c r="D24" s="211"/>
      <c r="E24" s="211"/>
      <c r="F24" s="211"/>
      <c r="G24" s="211"/>
      <c r="H24" s="224" t="str">
        <f>IF((D22-'ETCA-II-04'!D80)&gt;0.9,"ERROR!!!!! EL MONTO NO COINCIDE CON LO REPORTADO EN EL FORMATO ETCA-II-04 EN EL TOTAL APROBADO ANUAL DEL ANALÍTICO DE EGRESOS","")</f>
        <v/>
      </c>
    </row>
    <row r="25" spans="1:8" ht="24.95" customHeight="1" x14ac:dyDescent="0.25">
      <c r="A25" s="237"/>
      <c r="B25" s="214"/>
      <c r="C25" s="214"/>
      <c r="D25" s="215"/>
      <c r="E25" s="214"/>
      <c r="F25" s="214"/>
      <c r="G25" s="215"/>
      <c r="H25" s="224" t="str">
        <f>IF((E22-'ETCA-II-04'!E80)&gt;0.9,"ERROR!!!!! EL MONTO NO COINCIDE CON LO REPORTADO EN EL FORMATO ETCA-II-04 EN EL TOTAL APROBADO ANUAL DEL ANALÍTICO DE EGRESOS","")</f>
        <v/>
      </c>
    </row>
    <row r="26" spans="1:8" ht="24.95" customHeight="1" x14ac:dyDescent="0.25">
      <c r="A26" s="237"/>
      <c r="B26" s="214"/>
      <c r="C26" s="214"/>
      <c r="D26" s="215"/>
      <c r="E26" s="214"/>
      <c r="F26" s="214"/>
      <c r="G26" s="215"/>
      <c r="H26" s="224" t="str">
        <f>IF((F22-'ETCA-II-04'!F80)&gt;0.9,"ERROR!!!!! EL MONTO NO COINCIDE CON LO REPORTADO EN EL FORMATO ETCA-II-04 EN EL TOTAL APROBADO ANUAL DEL ANALÍTICO DE EGRESOS","")</f>
        <v/>
      </c>
    </row>
    <row r="27" spans="1:8" ht="25.5" customHeight="1" x14ac:dyDescent="0.25">
      <c r="A27" s="212"/>
      <c r="B27" s="211"/>
      <c r="C27" s="211"/>
      <c r="D27" s="211"/>
      <c r="E27" s="211"/>
      <c r="F27" s="211"/>
      <c r="G27" s="211"/>
      <c r="H27" s="224" t="str">
        <f>IF((G22-'ETCA-II-04'!G80)&gt;0.9,"ERROR!!!!! EL MONTO NO COINCIDE CON LO REPORTADO EN EL FORMATO ETCA-II-04 EN EL TOTAL APROBADO ANUAL DEL ANALÍTICO DE EGRESOS","")</f>
        <v/>
      </c>
    </row>
    <row r="29" spans="1:8" x14ac:dyDescent="0.25">
      <c r="F29" s="96"/>
    </row>
    <row r="30" spans="1:8" x14ac:dyDescent="0.25">
      <c r="F30" s="96"/>
    </row>
  </sheetData>
  <sheetProtection formatColumns="0" formatRows="0" insertHyperlinks="0"/>
  <mergeCells count="6">
    <mergeCell ref="A6:A7"/>
    <mergeCell ref="A1:G1"/>
    <mergeCell ref="A2:G2"/>
    <mergeCell ref="A3:G3"/>
    <mergeCell ref="A4:G4"/>
    <mergeCell ref="A5:E5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0" tint="-0.249977111117893"/>
  </sheetPr>
  <dimension ref="A1:H48"/>
  <sheetViews>
    <sheetView view="pageBreakPreview" topLeftCell="A22" zoomScale="90" zoomScaleSheetLayoutView="90" workbookViewId="0">
      <selection activeCell="A11" sqref="A10:O16"/>
    </sheetView>
  </sheetViews>
  <sheetFormatPr baseColWidth="10" defaultRowHeight="15" x14ac:dyDescent="0.25"/>
  <cols>
    <col min="1" max="1" width="44.7109375" customWidth="1"/>
    <col min="2" max="5" width="11.28515625"/>
    <col min="6" max="6" width="11.85546875" customWidth="1"/>
  </cols>
  <sheetData>
    <row r="1" spans="1:7" ht="16.5" x14ac:dyDescent="0.25">
      <c r="A1" s="563" t="e">
        <f>#REF!</f>
        <v>#REF!</v>
      </c>
      <c r="B1" s="563"/>
      <c r="C1" s="563"/>
      <c r="D1" s="563"/>
      <c r="E1" s="563"/>
      <c r="F1" s="563"/>
      <c r="G1" s="563"/>
    </row>
    <row r="2" spans="1:7" ht="16.5" x14ac:dyDescent="0.25">
      <c r="A2" s="563" t="s">
        <v>131</v>
      </c>
      <c r="B2" s="563"/>
      <c r="C2" s="563"/>
      <c r="D2" s="563"/>
      <c r="E2" s="563"/>
      <c r="F2" s="563"/>
      <c r="G2" s="563"/>
    </row>
    <row r="3" spans="1:7" ht="16.5" x14ac:dyDescent="0.25">
      <c r="A3" s="563" t="s">
        <v>311</v>
      </c>
      <c r="B3" s="563"/>
      <c r="C3" s="563"/>
      <c r="D3" s="563"/>
      <c r="E3" s="563"/>
      <c r="F3" s="563"/>
      <c r="G3" s="563"/>
    </row>
    <row r="4" spans="1:7" ht="16.5" x14ac:dyDescent="0.25">
      <c r="A4" s="448" t="e">
        <f>#REF!</f>
        <v>#REF!</v>
      </c>
      <c r="B4" s="448"/>
      <c r="C4" s="448"/>
      <c r="D4" s="448"/>
      <c r="E4" s="448"/>
      <c r="F4" s="448"/>
      <c r="G4" s="448"/>
    </row>
    <row r="5" spans="1:7" ht="17.25" thickBot="1" x14ac:dyDescent="0.3">
      <c r="A5" s="10"/>
      <c r="B5" s="566"/>
      <c r="C5" s="566"/>
      <c r="D5" s="566"/>
      <c r="E5" s="566"/>
      <c r="F5" s="114"/>
      <c r="G5" s="174"/>
    </row>
    <row r="6" spans="1:7" ht="40.5" x14ac:dyDescent="0.25">
      <c r="A6" s="564" t="s">
        <v>39</v>
      </c>
      <c r="B6" s="115" t="s">
        <v>134</v>
      </c>
      <c r="C6" s="115" t="s">
        <v>64</v>
      </c>
      <c r="D6" s="115" t="s">
        <v>135</v>
      </c>
      <c r="E6" s="115" t="s">
        <v>136</v>
      </c>
      <c r="F6" s="115" t="s">
        <v>137</v>
      </c>
      <c r="G6" s="116" t="s">
        <v>138</v>
      </c>
    </row>
    <row r="7" spans="1:7" ht="15.75" thickBot="1" x14ac:dyDescent="0.3">
      <c r="A7" s="565"/>
      <c r="B7" s="117" t="s">
        <v>44</v>
      </c>
      <c r="C7" s="117" t="s">
        <v>45</v>
      </c>
      <c r="D7" s="117" t="s">
        <v>139</v>
      </c>
      <c r="E7" s="117" t="s">
        <v>47</v>
      </c>
      <c r="F7" s="117" t="s">
        <v>48</v>
      </c>
      <c r="G7" s="118" t="s">
        <v>140</v>
      </c>
    </row>
    <row r="8" spans="1:7" ht="16.5" x14ac:dyDescent="0.25">
      <c r="A8" s="119"/>
      <c r="B8" s="120"/>
      <c r="C8" s="120"/>
      <c r="D8" s="120"/>
      <c r="E8" s="120"/>
      <c r="F8" s="120"/>
      <c r="G8" s="121"/>
    </row>
    <row r="9" spans="1:7" x14ac:dyDescent="0.25">
      <c r="A9" s="179" t="s">
        <v>312</v>
      </c>
      <c r="B9" s="180">
        <f>SUM(B10:B17)</f>
        <v>0</v>
      </c>
      <c r="C9" s="180">
        <f>SUM(C10:C17)</f>
        <v>0</v>
      </c>
      <c r="D9" s="180">
        <f>IF(A9="","",B9+C9)</f>
        <v>0</v>
      </c>
      <c r="E9" s="180">
        <f>SUM(E10:E17)</f>
        <v>0</v>
      </c>
      <c r="F9" s="180">
        <f>SUM(F10:F17)</f>
        <v>0</v>
      </c>
      <c r="G9" s="181">
        <f>IF(A9="","",D9-E9)</f>
        <v>0</v>
      </c>
    </row>
    <row r="10" spans="1:7" x14ac:dyDescent="0.25">
      <c r="A10" s="94" t="s">
        <v>313</v>
      </c>
      <c r="B10" s="182"/>
      <c r="C10" s="182"/>
      <c r="D10" s="183">
        <f t="shared" ref="D10:D43" si="0">IF(A10="","",B10+C10)</f>
        <v>0</v>
      </c>
      <c r="E10" s="182"/>
      <c r="F10" s="182"/>
      <c r="G10" s="184">
        <f t="shared" ref="G10:G43" si="1">IF(A10="","",D10-E10)</f>
        <v>0</v>
      </c>
    </row>
    <row r="11" spans="1:7" x14ac:dyDescent="0.25">
      <c r="A11" s="94" t="s">
        <v>314</v>
      </c>
      <c r="B11" s="182"/>
      <c r="C11" s="182"/>
      <c r="D11" s="183">
        <f t="shared" si="0"/>
        <v>0</v>
      </c>
      <c r="E11" s="182"/>
      <c r="F11" s="182"/>
      <c r="G11" s="184">
        <f t="shared" si="1"/>
        <v>0</v>
      </c>
    </row>
    <row r="12" spans="1:7" x14ac:dyDescent="0.25">
      <c r="A12" s="94" t="s">
        <v>315</v>
      </c>
      <c r="B12" s="182"/>
      <c r="C12" s="182"/>
      <c r="D12" s="183">
        <f t="shared" si="0"/>
        <v>0</v>
      </c>
      <c r="E12" s="182"/>
      <c r="F12" s="182"/>
      <c r="G12" s="184">
        <f t="shared" si="1"/>
        <v>0</v>
      </c>
    </row>
    <row r="13" spans="1:7" x14ac:dyDescent="0.25">
      <c r="A13" s="94" t="s">
        <v>316</v>
      </c>
      <c r="B13" s="182"/>
      <c r="C13" s="182"/>
      <c r="D13" s="183">
        <f t="shared" si="0"/>
        <v>0</v>
      </c>
      <c r="E13" s="182"/>
      <c r="F13" s="182"/>
      <c r="G13" s="184">
        <f t="shared" si="1"/>
        <v>0</v>
      </c>
    </row>
    <row r="14" spans="1:7" x14ac:dyDescent="0.25">
      <c r="A14" s="94" t="s">
        <v>317</v>
      </c>
      <c r="B14" s="182"/>
      <c r="C14" s="182"/>
      <c r="D14" s="183">
        <f t="shared" si="0"/>
        <v>0</v>
      </c>
      <c r="E14" s="182"/>
      <c r="F14" s="182"/>
      <c r="G14" s="184">
        <f t="shared" si="1"/>
        <v>0</v>
      </c>
    </row>
    <row r="15" spans="1:7" x14ac:dyDescent="0.25">
      <c r="A15" s="94" t="s">
        <v>318</v>
      </c>
      <c r="B15" s="182"/>
      <c r="C15" s="182"/>
      <c r="D15" s="183">
        <f t="shared" si="0"/>
        <v>0</v>
      </c>
      <c r="E15" s="182"/>
      <c r="F15" s="182"/>
      <c r="G15" s="184">
        <f t="shared" si="1"/>
        <v>0</v>
      </c>
    </row>
    <row r="16" spans="1:7" x14ac:dyDescent="0.25">
      <c r="A16" s="94" t="s">
        <v>319</v>
      </c>
      <c r="B16" s="182"/>
      <c r="C16" s="182"/>
      <c r="D16" s="183">
        <f t="shared" si="0"/>
        <v>0</v>
      </c>
      <c r="E16" s="182"/>
      <c r="F16" s="182"/>
      <c r="G16" s="184">
        <f t="shared" si="1"/>
        <v>0</v>
      </c>
    </row>
    <row r="17" spans="1:7" x14ac:dyDescent="0.25">
      <c r="A17" s="94" t="s">
        <v>165</v>
      </c>
      <c r="B17" s="182"/>
      <c r="C17" s="182"/>
      <c r="D17" s="183">
        <f t="shared" si="0"/>
        <v>0</v>
      </c>
      <c r="E17" s="182"/>
      <c r="F17" s="182"/>
      <c r="G17" s="184">
        <f t="shared" si="1"/>
        <v>0</v>
      </c>
    </row>
    <row r="18" spans="1:7" x14ac:dyDescent="0.25">
      <c r="A18" s="105"/>
      <c r="B18" s="182"/>
      <c r="C18" s="182"/>
      <c r="D18" s="183" t="str">
        <f t="shared" si="0"/>
        <v/>
      </c>
      <c r="E18" s="182"/>
      <c r="F18" s="182"/>
      <c r="G18" s="184" t="str">
        <f t="shared" si="1"/>
        <v/>
      </c>
    </row>
    <row r="19" spans="1:7" x14ac:dyDescent="0.25">
      <c r="A19" s="179" t="s">
        <v>320</v>
      </c>
      <c r="B19" s="180">
        <f>SUM(B20:B26)</f>
        <v>782667131.32148921</v>
      </c>
      <c r="C19" s="180">
        <f>SUM(C20:C26)</f>
        <v>3346323507.4600005</v>
      </c>
      <c r="D19" s="180">
        <f t="shared" si="0"/>
        <v>4128990638.7814898</v>
      </c>
      <c r="E19" s="180">
        <f>SUM(E20:E26)</f>
        <v>2542826802.1500001</v>
      </c>
      <c r="F19" s="180">
        <f>SUM(F20:F26)</f>
        <v>2472706686.1100001</v>
      </c>
      <c r="G19" s="181">
        <f t="shared" si="1"/>
        <v>1586163836.6314898</v>
      </c>
    </row>
    <row r="20" spans="1:7" x14ac:dyDescent="0.25">
      <c r="A20" s="94" t="s">
        <v>321</v>
      </c>
      <c r="B20" s="182"/>
      <c r="C20" s="182"/>
      <c r="D20" s="183">
        <f t="shared" si="0"/>
        <v>0</v>
      </c>
      <c r="E20" s="182"/>
      <c r="F20" s="182"/>
      <c r="G20" s="184">
        <f t="shared" si="1"/>
        <v>0</v>
      </c>
    </row>
    <row r="21" spans="1:7" x14ac:dyDescent="0.25">
      <c r="A21" s="94" t="s">
        <v>322</v>
      </c>
      <c r="B21" s="182">
        <v>782667131.32148921</v>
      </c>
      <c r="C21" s="182">
        <v>3346323507.4600005</v>
      </c>
      <c r="D21" s="183">
        <f t="shared" si="0"/>
        <v>4128990638.7814898</v>
      </c>
      <c r="E21" s="182">
        <v>2542826802.1500001</v>
      </c>
      <c r="F21" s="182">
        <v>2472706686.1100001</v>
      </c>
      <c r="G21" s="184">
        <f t="shared" si="1"/>
        <v>1586163836.6314898</v>
      </c>
    </row>
    <row r="22" spans="1:7" x14ac:dyDescent="0.25">
      <c r="A22" s="94" t="s">
        <v>323</v>
      </c>
      <c r="B22" s="182"/>
      <c r="C22" s="182"/>
      <c r="D22" s="183">
        <f t="shared" si="0"/>
        <v>0</v>
      </c>
      <c r="E22" s="182"/>
      <c r="F22" s="182"/>
      <c r="G22" s="184">
        <f t="shared" si="1"/>
        <v>0</v>
      </c>
    </row>
    <row r="23" spans="1:7" x14ac:dyDescent="0.25">
      <c r="A23" s="94" t="s">
        <v>324</v>
      </c>
      <c r="B23" s="182"/>
      <c r="C23" s="182"/>
      <c r="D23" s="183">
        <f t="shared" si="0"/>
        <v>0</v>
      </c>
      <c r="E23" s="182"/>
      <c r="F23" s="182"/>
      <c r="G23" s="184">
        <f t="shared" si="1"/>
        <v>0</v>
      </c>
    </row>
    <row r="24" spans="1:7" x14ac:dyDescent="0.25">
      <c r="A24" s="94" t="s">
        <v>325</v>
      </c>
      <c r="B24" s="182"/>
      <c r="C24" s="182"/>
      <c r="D24" s="183">
        <f t="shared" si="0"/>
        <v>0</v>
      </c>
      <c r="E24" s="182"/>
      <c r="F24" s="182"/>
      <c r="G24" s="184">
        <f t="shared" si="1"/>
        <v>0</v>
      </c>
    </row>
    <row r="25" spans="1:7" x14ac:dyDescent="0.25">
      <c r="A25" s="94" t="s">
        <v>326</v>
      </c>
      <c r="B25" s="182"/>
      <c r="C25" s="182"/>
      <c r="D25" s="183">
        <f t="shared" si="0"/>
        <v>0</v>
      </c>
      <c r="E25" s="182"/>
      <c r="F25" s="182"/>
      <c r="G25" s="184">
        <f t="shared" si="1"/>
        <v>0</v>
      </c>
    </row>
    <row r="26" spans="1:7" x14ac:dyDescent="0.25">
      <c r="A26" s="94" t="s">
        <v>327</v>
      </c>
      <c r="B26" s="182"/>
      <c r="C26" s="182"/>
      <c r="D26" s="183">
        <f t="shared" si="0"/>
        <v>0</v>
      </c>
      <c r="E26" s="182"/>
      <c r="F26" s="182"/>
      <c r="G26" s="184">
        <f t="shared" si="1"/>
        <v>0</v>
      </c>
    </row>
    <row r="27" spans="1:7" x14ac:dyDescent="0.25">
      <c r="A27" s="105"/>
      <c r="B27" s="182"/>
      <c r="C27" s="182"/>
      <c r="D27" s="183" t="str">
        <f t="shared" si="0"/>
        <v/>
      </c>
      <c r="E27" s="182"/>
      <c r="F27" s="182"/>
      <c r="G27" s="184" t="str">
        <f t="shared" si="1"/>
        <v/>
      </c>
    </row>
    <row r="28" spans="1:7" x14ac:dyDescent="0.25">
      <c r="A28" s="179" t="s">
        <v>328</v>
      </c>
      <c r="B28" s="180">
        <f>SUM(B29:B37)</f>
        <v>0</v>
      </c>
      <c r="C28" s="180">
        <f>SUM(C29:C37)</f>
        <v>0</v>
      </c>
      <c r="D28" s="180">
        <f t="shared" si="0"/>
        <v>0</v>
      </c>
      <c r="E28" s="180">
        <f>SUM(E29:E37)</f>
        <v>0</v>
      </c>
      <c r="F28" s="180">
        <f>SUM(F29:F37)</f>
        <v>0</v>
      </c>
      <c r="G28" s="181">
        <f t="shared" si="1"/>
        <v>0</v>
      </c>
    </row>
    <row r="29" spans="1:7" x14ac:dyDescent="0.25">
      <c r="A29" s="94" t="s">
        <v>329</v>
      </c>
      <c r="B29" s="182"/>
      <c r="C29" s="182"/>
      <c r="D29" s="183">
        <f t="shared" si="0"/>
        <v>0</v>
      </c>
      <c r="E29" s="182"/>
      <c r="F29" s="182"/>
      <c r="G29" s="184">
        <f t="shared" si="1"/>
        <v>0</v>
      </c>
    </row>
    <row r="30" spans="1:7" x14ac:dyDescent="0.25">
      <c r="A30" s="94" t="s">
        <v>330</v>
      </c>
      <c r="B30" s="182"/>
      <c r="C30" s="182"/>
      <c r="D30" s="183">
        <f t="shared" si="0"/>
        <v>0</v>
      </c>
      <c r="E30" s="182"/>
      <c r="F30" s="182"/>
      <c r="G30" s="184">
        <f t="shared" si="1"/>
        <v>0</v>
      </c>
    </row>
    <row r="31" spans="1:7" x14ac:dyDescent="0.25">
      <c r="A31" s="94" t="s">
        <v>331</v>
      </c>
      <c r="B31" s="182"/>
      <c r="C31" s="182"/>
      <c r="D31" s="183">
        <f t="shared" si="0"/>
        <v>0</v>
      </c>
      <c r="E31" s="182"/>
      <c r="F31" s="182"/>
      <c r="G31" s="184">
        <f t="shared" si="1"/>
        <v>0</v>
      </c>
    </row>
    <row r="32" spans="1:7" x14ac:dyDescent="0.25">
      <c r="A32" s="94" t="s">
        <v>332</v>
      </c>
      <c r="B32" s="182"/>
      <c r="C32" s="182"/>
      <c r="D32" s="183">
        <f t="shared" si="0"/>
        <v>0</v>
      </c>
      <c r="E32" s="182"/>
      <c r="F32" s="182"/>
      <c r="G32" s="184">
        <f t="shared" si="1"/>
        <v>0</v>
      </c>
    </row>
    <row r="33" spans="1:8" x14ac:dyDescent="0.25">
      <c r="A33" s="94" t="s">
        <v>333</v>
      </c>
      <c r="B33" s="182"/>
      <c r="C33" s="182"/>
      <c r="D33" s="183">
        <f t="shared" si="0"/>
        <v>0</v>
      </c>
      <c r="E33" s="182"/>
      <c r="F33" s="182"/>
      <c r="G33" s="184">
        <f t="shared" si="1"/>
        <v>0</v>
      </c>
    </row>
    <row r="34" spans="1:8" x14ac:dyDescent="0.25">
      <c r="A34" s="94" t="s">
        <v>334</v>
      </c>
      <c r="B34" s="182"/>
      <c r="C34" s="182"/>
      <c r="D34" s="183">
        <f t="shared" si="0"/>
        <v>0</v>
      </c>
      <c r="E34" s="182"/>
      <c r="F34" s="182"/>
      <c r="G34" s="184">
        <f t="shared" si="1"/>
        <v>0</v>
      </c>
    </row>
    <row r="35" spans="1:8" x14ac:dyDescent="0.25">
      <c r="A35" s="94" t="s">
        <v>335</v>
      </c>
      <c r="B35" s="182"/>
      <c r="C35" s="182"/>
      <c r="D35" s="183">
        <f t="shared" si="0"/>
        <v>0</v>
      </c>
      <c r="E35" s="182"/>
      <c r="F35" s="182"/>
      <c r="G35" s="184">
        <f t="shared" si="1"/>
        <v>0</v>
      </c>
    </row>
    <row r="36" spans="1:8" x14ac:dyDescent="0.25">
      <c r="A36" s="94" t="s">
        <v>336</v>
      </c>
      <c r="B36" s="182"/>
      <c r="C36" s="182"/>
      <c r="D36" s="183">
        <f t="shared" si="0"/>
        <v>0</v>
      </c>
      <c r="E36" s="182"/>
      <c r="F36" s="182"/>
      <c r="G36" s="184">
        <f t="shared" si="1"/>
        <v>0</v>
      </c>
    </row>
    <row r="37" spans="1:8" x14ac:dyDescent="0.25">
      <c r="A37" s="94" t="s">
        <v>337</v>
      </c>
      <c r="B37" s="182"/>
      <c r="C37" s="182"/>
      <c r="D37" s="183">
        <f t="shared" si="0"/>
        <v>0</v>
      </c>
      <c r="E37" s="182"/>
      <c r="F37" s="182"/>
      <c r="G37" s="184">
        <f t="shared" si="1"/>
        <v>0</v>
      </c>
    </row>
    <row r="38" spans="1:8" x14ac:dyDescent="0.25">
      <c r="A38" s="105"/>
      <c r="B38" s="182"/>
      <c r="C38" s="182"/>
      <c r="D38" s="183" t="str">
        <f t="shared" si="0"/>
        <v/>
      </c>
      <c r="E38" s="182"/>
      <c r="F38" s="182"/>
      <c r="G38" s="184" t="str">
        <f t="shared" si="1"/>
        <v/>
      </c>
    </row>
    <row r="39" spans="1:8" x14ac:dyDescent="0.25">
      <c r="A39" s="179" t="s">
        <v>338</v>
      </c>
      <c r="B39" s="180">
        <f>SUM(B40:B43)</f>
        <v>0</v>
      </c>
      <c r="C39" s="180">
        <f>SUM(C40:C43)</f>
        <v>0</v>
      </c>
      <c r="D39" s="180">
        <f t="shared" si="0"/>
        <v>0</v>
      </c>
      <c r="E39" s="180">
        <f>SUM(E40:E43)</f>
        <v>0</v>
      </c>
      <c r="F39" s="180">
        <f>SUM(F40:F43)</f>
        <v>0</v>
      </c>
      <c r="G39" s="181">
        <f t="shared" si="1"/>
        <v>0</v>
      </c>
    </row>
    <row r="40" spans="1:8" ht="25.5" x14ac:dyDescent="0.25">
      <c r="A40" s="185" t="s">
        <v>339</v>
      </c>
      <c r="B40" s="182">
        <v>0</v>
      </c>
      <c r="C40" s="182">
        <v>0</v>
      </c>
      <c r="D40" s="183">
        <f t="shared" si="0"/>
        <v>0</v>
      </c>
      <c r="E40" s="182">
        <v>0</v>
      </c>
      <c r="F40" s="182">
        <v>0</v>
      </c>
      <c r="G40" s="184">
        <f t="shared" si="1"/>
        <v>0</v>
      </c>
    </row>
    <row r="41" spans="1:8" ht="25.5" x14ac:dyDescent="0.25">
      <c r="A41" s="185" t="s">
        <v>340</v>
      </c>
      <c r="B41" s="182"/>
      <c r="C41" s="182"/>
      <c r="D41" s="183">
        <f t="shared" si="0"/>
        <v>0</v>
      </c>
      <c r="E41" s="182"/>
      <c r="F41" s="182"/>
      <c r="G41" s="184">
        <f t="shared" si="1"/>
        <v>0</v>
      </c>
    </row>
    <row r="42" spans="1:8" x14ac:dyDescent="0.25">
      <c r="A42" s="94" t="s">
        <v>341</v>
      </c>
      <c r="B42" s="182"/>
      <c r="C42" s="182"/>
      <c r="D42" s="183">
        <f t="shared" si="0"/>
        <v>0</v>
      </c>
      <c r="E42" s="182"/>
      <c r="F42" s="182"/>
      <c r="G42" s="184">
        <f t="shared" si="1"/>
        <v>0</v>
      </c>
    </row>
    <row r="43" spans="1:8" ht="15.75" thickBot="1" x14ac:dyDescent="0.3">
      <c r="A43" s="94" t="s">
        <v>342</v>
      </c>
      <c r="B43" s="182"/>
      <c r="C43" s="182"/>
      <c r="D43" s="183">
        <f t="shared" si="0"/>
        <v>0</v>
      </c>
      <c r="E43" s="182"/>
      <c r="F43" s="182"/>
      <c r="G43" s="184">
        <f t="shared" si="1"/>
        <v>0</v>
      </c>
    </row>
    <row r="44" spans="1:8" ht="15.75" thickBot="1" x14ac:dyDescent="0.3">
      <c r="A44" s="101" t="s">
        <v>190</v>
      </c>
      <c r="B44" s="186">
        <f>SUM(B9,B19,B28,B39)</f>
        <v>782667131.32148921</v>
      </c>
      <c r="C44" s="186">
        <f>SUM(C9,C19,C28,C39)</f>
        <v>3346323507.4600005</v>
      </c>
      <c r="D44" s="186">
        <f>IF(A44="","",B44+C44)</f>
        <v>4128990638.7814898</v>
      </c>
      <c r="E44" s="186">
        <f>SUM(E9,E19,E28,E39)</f>
        <v>2542826802.1500001</v>
      </c>
      <c r="F44" s="186">
        <f>SUM(F9,F19,F28,F39)</f>
        <v>2472706686.1100001</v>
      </c>
      <c r="G44" s="187">
        <f>IF(A44="","",D44-E44)</f>
        <v>1586163836.6314898</v>
      </c>
      <c r="H44" s="224" t="str">
        <f>IF((B44-'ETCA-II-04'!B80)&gt;0.9,"ERROR!!!!! EL MONTO NO COINCIDE CON LO REPORTADO EN EL FORMATO ETCA-II-04 EN EL TOTAL APROBADO ANUAL DEL ANALÍTICO DE EGRESOS","")</f>
        <v/>
      </c>
    </row>
    <row r="45" spans="1:8" ht="9" customHeight="1" x14ac:dyDescent="0.25">
      <c r="A45" s="212"/>
      <c r="B45" s="215"/>
      <c r="C45" s="215"/>
      <c r="D45" s="215"/>
      <c r="E45" s="215"/>
      <c r="F45" s="215"/>
      <c r="G45" s="215"/>
      <c r="H45" s="224" t="str">
        <f>IF((C44-'ETCA-II-04'!C80)&gt;0.9,"ERROR!!!!! EL MONTO NO COINCIDE CON LO REPORTADO EN EL FORMATO ETCA-II-04 EN EL TOTAL DE AMPLIACIONES/REDUCCIONES PRESENTADO EN EL ANALÍTICO DE EGRESOS","")</f>
        <v/>
      </c>
    </row>
    <row r="46" spans="1:8" x14ac:dyDescent="0.25">
      <c r="A46" s="213"/>
      <c r="B46" s="214"/>
      <c r="C46" s="214"/>
      <c r="D46" s="215"/>
      <c r="E46" s="214"/>
      <c r="F46" s="214"/>
      <c r="G46" s="215"/>
      <c r="H46" s="224" t="str">
        <f>IF((E44-'ETCA-II-04'!E80)&gt;0.9,"ERROR!!!!! EL MONTO NO COINCIDE CON LO REPORTADO EN EL FORMATO ETCA-II-04 EN EL TOTAL DEVENGADO ANUAL PRESENTADO EN EL ANALÍTICO DE EGRESOS","")</f>
        <v/>
      </c>
    </row>
    <row r="47" spans="1:8" x14ac:dyDescent="0.25">
      <c r="A47" s="212"/>
      <c r="B47" s="215"/>
      <c r="C47" s="215"/>
      <c r="D47" s="215"/>
      <c r="E47" s="215"/>
      <c r="F47" s="215"/>
      <c r="G47" s="215"/>
      <c r="H47" s="224" t="str">
        <f>IF((F44-'ETCA-II-04'!F80)&gt;0.9,"ERROR!!!!! EL MONTO NO COINCIDE CON LO REPORTADO EN EL FORMATO ETCA-II-04 EN EL TOTAL PAGADO ANUAL PRESENTADO EN EL ANALÍTICO DE EGRESOS","")</f>
        <v/>
      </c>
    </row>
    <row r="48" spans="1:8" x14ac:dyDescent="0.25">
      <c r="H48" s="224" t="str">
        <f>IF((G44-'ETCA-II-04'!G80)&gt;0.9,"ERROR!!!!! EL MONTO NO COINCIDE CON LO REPORTADO EN EL FORMATO ETCA-II-04 EN EL TOTAL SUBEJERCICIO PRESENTADO EN EL ANALÍTICO DE EGRESOS","")</f>
        <v/>
      </c>
    </row>
  </sheetData>
  <sheetProtection formatColumns="0" formatRows="0"/>
  <mergeCells count="6">
    <mergeCell ref="A6:A7"/>
    <mergeCell ref="A1:G1"/>
    <mergeCell ref="A2:G2"/>
    <mergeCell ref="A3:G3"/>
    <mergeCell ref="A4:G4"/>
    <mergeCell ref="B5:E5"/>
  </mergeCells>
  <pageMargins left="0.70866141732283472" right="0.70866141732283472" top="0.55118110236220474" bottom="0" header="0.31496062992125984" footer="0.31496062992125984"/>
  <pageSetup scale="79" orientation="portrait" horizontalDpi="1200" verticalDpi="1200" r:id="rId1"/>
  <colBreaks count="1" manualBreakCount="1">
    <brk id="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 tint="-0.249977111117893"/>
  </sheetPr>
  <dimension ref="A1:I88"/>
  <sheetViews>
    <sheetView view="pageBreakPreview" topLeftCell="A61" zoomScaleSheetLayoutView="100" workbookViewId="0">
      <selection activeCell="A11" sqref="A10:O16"/>
    </sheetView>
  </sheetViews>
  <sheetFormatPr baseColWidth="10" defaultColWidth="11.42578125" defaultRowHeight="15" x14ac:dyDescent="0.25"/>
  <cols>
    <col min="1" max="1" width="4.42578125" customWidth="1"/>
    <col min="2" max="2" width="60.5703125" customWidth="1"/>
    <col min="4" max="4" width="13.140625" customWidth="1"/>
    <col min="5" max="5" width="13.42578125" customWidth="1"/>
    <col min="6" max="6" width="12.7109375" customWidth="1"/>
    <col min="7" max="7" width="12.140625" customWidth="1"/>
    <col min="8" max="8" width="12.5703125" customWidth="1"/>
  </cols>
  <sheetData>
    <row r="1" spans="1:8" ht="15.75" x14ac:dyDescent="0.25">
      <c r="A1" s="524" t="e">
        <f>#REF!</f>
        <v>#REF!</v>
      </c>
      <c r="B1" s="525"/>
      <c r="C1" s="525"/>
      <c r="D1" s="525"/>
      <c r="E1" s="525"/>
      <c r="F1" s="525"/>
      <c r="G1" s="525"/>
      <c r="H1" s="526"/>
    </row>
    <row r="2" spans="1:8" x14ac:dyDescent="0.25">
      <c r="A2" s="571" t="s">
        <v>191</v>
      </c>
      <c r="B2" s="572"/>
      <c r="C2" s="572"/>
      <c r="D2" s="572"/>
      <c r="E2" s="572"/>
      <c r="F2" s="572"/>
      <c r="G2" s="572"/>
      <c r="H2" s="573"/>
    </row>
    <row r="3" spans="1:8" ht="11.25" customHeight="1" x14ac:dyDescent="0.25">
      <c r="A3" s="571" t="s">
        <v>311</v>
      </c>
      <c r="B3" s="572"/>
      <c r="C3" s="572"/>
      <c r="D3" s="572"/>
      <c r="E3" s="572"/>
      <c r="F3" s="572"/>
      <c r="G3" s="572"/>
      <c r="H3" s="573"/>
    </row>
    <row r="4" spans="1:8" ht="11.25" customHeight="1" x14ac:dyDescent="0.25">
      <c r="A4" s="571" t="e">
        <f>#REF!</f>
        <v>#REF!</v>
      </c>
      <c r="B4" s="572"/>
      <c r="C4" s="572"/>
      <c r="D4" s="572"/>
      <c r="E4" s="572"/>
      <c r="F4" s="572"/>
      <c r="G4" s="572"/>
      <c r="H4" s="573"/>
    </row>
    <row r="5" spans="1:8" ht="12.75" customHeight="1" thickBot="1" x14ac:dyDescent="0.3">
      <c r="A5" s="569" t="s">
        <v>5</v>
      </c>
      <c r="B5" s="574"/>
      <c r="C5" s="574"/>
      <c r="D5" s="574"/>
      <c r="E5" s="574"/>
      <c r="F5" s="574"/>
      <c r="G5" s="574"/>
      <c r="H5" s="575"/>
    </row>
    <row r="6" spans="1:8" ht="15.75" thickBot="1" x14ac:dyDescent="0.3">
      <c r="A6" s="567" t="s">
        <v>6</v>
      </c>
      <c r="B6" s="568"/>
      <c r="C6" s="549" t="s">
        <v>193</v>
      </c>
      <c r="D6" s="550"/>
      <c r="E6" s="550"/>
      <c r="F6" s="550"/>
      <c r="G6" s="551"/>
      <c r="H6" s="547" t="s">
        <v>194</v>
      </c>
    </row>
    <row r="7" spans="1:8" ht="26.25" thickBot="1" x14ac:dyDescent="0.3">
      <c r="A7" s="569"/>
      <c r="B7" s="570"/>
      <c r="C7" s="324" t="s">
        <v>195</v>
      </c>
      <c r="D7" s="324" t="s">
        <v>196</v>
      </c>
      <c r="E7" s="324" t="s">
        <v>197</v>
      </c>
      <c r="F7" s="324" t="s">
        <v>66</v>
      </c>
      <c r="G7" s="324" t="s">
        <v>293</v>
      </c>
      <c r="H7" s="548"/>
    </row>
    <row r="8" spans="1:8" x14ac:dyDescent="0.25">
      <c r="A8" s="576"/>
      <c r="B8" s="577"/>
      <c r="C8" s="315"/>
      <c r="D8" s="315"/>
      <c r="E8" s="315"/>
      <c r="F8" s="315"/>
      <c r="G8" s="315"/>
      <c r="H8" s="315"/>
    </row>
    <row r="9" spans="1:8" ht="16.5" customHeight="1" x14ac:dyDescent="0.25">
      <c r="A9" s="578" t="s">
        <v>343</v>
      </c>
      <c r="B9" s="579"/>
      <c r="C9" s="274">
        <f>+C10+C20+C29+C40</f>
        <v>667667131.32648921</v>
      </c>
      <c r="D9" s="274">
        <f t="shared" ref="D9:H9" si="0">+D10+D20+D29+D40</f>
        <v>308747728.95000029</v>
      </c>
      <c r="E9" s="274">
        <f t="shared" si="0"/>
        <v>976414860.2764895</v>
      </c>
      <c r="F9" s="274">
        <f t="shared" si="0"/>
        <v>808176482.86000013</v>
      </c>
      <c r="G9" s="274">
        <f t="shared" si="0"/>
        <v>760740199.47000027</v>
      </c>
      <c r="H9" s="274">
        <f t="shared" si="0"/>
        <v>168238377.41648936</v>
      </c>
    </row>
    <row r="10" spans="1:8" x14ac:dyDescent="0.25">
      <c r="A10" s="580" t="s">
        <v>344</v>
      </c>
      <c r="B10" s="581"/>
      <c r="C10" s="291">
        <f>SUM(C11:C18)</f>
        <v>0</v>
      </c>
      <c r="D10" s="291">
        <f t="shared" ref="D10:H10" si="1">SUM(D11:D18)</f>
        <v>0</v>
      </c>
      <c r="E10" s="291">
        <f t="shared" si="1"/>
        <v>0</v>
      </c>
      <c r="F10" s="291">
        <f t="shared" si="1"/>
        <v>0</v>
      </c>
      <c r="G10" s="291">
        <f t="shared" si="1"/>
        <v>0</v>
      </c>
      <c r="H10" s="291">
        <f t="shared" si="1"/>
        <v>0</v>
      </c>
    </row>
    <row r="11" spans="1:8" x14ac:dyDescent="0.25">
      <c r="A11" s="292"/>
      <c r="B11" s="293" t="s">
        <v>345</v>
      </c>
      <c r="C11" s="294"/>
      <c r="D11" s="294"/>
      <c r="E11" s="291">
        <f>C11+D11</f>
        <v>0</v>
      </c>
      <c r="F11" s="294"/>
      <c r="G11" s="294"/>
      <c r="H11" s="291">
        <f>+E11-F11</f>
        <v>0</v>
      </c>
    </row>
    <row r="12" spans="1:8" x14ac:dyDescent="0.25">
      <c r="A12" s="292"/>
      <c r="B12" s="293" t="s">
        <v>346</v>
      </c>
      <c r="C12" s="294"/>
      <c r="D12" s="294"/>
      <c r="E12" s="291">
        <f t="shared" ref="E12:E18" si="2">C12+D12</f>
        <v>0</v>
      </c>
      <c r="F12" s="294"/>
      <c r="G12" s="294"/>
      <c r="H12" s="291">
        <f t="shared" ref="H12:H27" si="3">+E12-F12</f>
        <v>0</v>
      </c>
    </row>
    <row r="13" spans="1:8" x14ac:dyDescent="0.25">
      <c r="A13" s="292"/>
      <c r="B13" s="293" t="s">
        <v>347</v>
      </c>
      <c r="C13" s="294"/>
      <c r="D13" s="294"/>
      <c r="E13" s="291">
        <f t="shared" si="2"/>
        <v>0</v>
      </c>
      <c r="F13" s="294"/>
      <c r="G13" s="294"/>
      <c r="H13" s="291">
        <f t="shared" si="3"/>
        <v>0</v>
      </c>
    </row>
    <row r="14" spans="1:8" x14ac:dyDescent="0.25">
      <c r="A14" s="292"/>
      <c r="B14" s="293" t="s">
        <v>348</v>
      </c>
      <c r="C14" s="294"/>
      <c r="D14" s="294"/>
      <c r="E14" s="291">
        <f t="shared" si="2"/>
        <v>0</v>
      </c>
      <c r="F14" s="294"/>
      <c r="G14" s="294"/>
      <c r="H14" s="291">
        <f t="shared" si="3"/>
        <v>0</v>
      </c>
    </row>
    <row r="15" spans="1:8" x14ac:dyDescent="0.25">
      <c r="A15" s="292"/>
      <c r="B15" s="293" t="s">
        <v>349</v>
      </c>
      <c r="C15" s="294"/>
      <c r="D15" s="294"/>
      <c r="E15" s="291">
        <f t="shared" si="2"/>
        <v>0</v>
      </c>
      <c r="F15" s="294"/>
      <c r="G15" s="294"/>
      <c r="H15" s="291">
        <f t="shared" si="3"/>
        <v>0</v>
      </c>
    </row>
    <row r="16" spans="1:8" x14ac:dyDescent="0.25">
      <c r="A16" s="292"/>
      <c r="B16" s="293" t="s">
        <v>350</v>
      </c>
      <c r="C16" s="294"/>
      <c r="D16" s="294"/>
      <c r="E16" s="291">
        <f t="shared" si="2"/>
        <v>0</v>
      </c>
      <c r="F16" s="294"/>
      <c r="G16" s="294"/>
      <c r="H16" s="291">
        <f t="shared" si="3"/>
        <v>0</v>
      </c>
    </row>
    <row r="17" spans="1:8" x14ac:dyDescent="0.25">
      <c r="A17" s="292"/>
      <c r="B17" s="293" t="s">
        <v>351</v>
      </c>
      <c r="C17" s="294"/>
      <c r="D17" s="294"/>
      <c r="E17" s="291">
        <f t="shared" si="2"/>
        <v>0</v>
      </c>
      <c r="F17" s="294"/>
      <c r="G17" s="294"/>
      <c r="H17" s="291">
        <f t="shared" si="3"/>
        <v>0</v>
      </c>
    </row>
    <row r="18" spans="1:8" x14ac:dyDescent="0.25">
      <c r="A18" s="292"/>
      <c r="B18" s="293" t="s">
        <v>352</v>
      </c>
      <c r="C18" s="294"/>
      <c r="D18" s="294"/>
      <c r="E18" s="291">
        <f t="shared" si="2"/>
        <v>0</v>
      </c>
      <c r="F18" s="294"/>
      <c r="G18" s="294"/>
      <c r="H18" s="291">
        <f t="shared" si="3"/>
        <v>0</v>
      </c>
    </row>
    <row r="19" spans="1:8" x14ac:dyDescent="0.25">
      <c r="A19" s="295"/>
      <c r="B19" s="296"/>
      <c r="C19" s="297"/>
      <c r="D19" s="297"/>
      <c r="E19" s="297"/>
      <c r="F19" s="297"/>
      <c r="G19" s="297"/>
      <c r="H19" s="291" t="s">
        <v>38</v>
      </c>
    </row>
    <row r="20" spans="1:8" x14ac:dyDescent="0.25">
      <c r="A20" s="580" t="s">
        <v>353</v>
      </c>
      <c r="B20" s="581"/>
      <c r="C20" s="291">
        <f>SUM(C21:C27)</f>
        <v>667667131.32648921</v>
      </c>
      <c r="D20" s="291">
        <f t="shared" ref="D20:H20" si="4">SUM(D21:D27)</f>
        <v>308747728.95000029</v>
      </c>
      <c r="E20" s="291">
        <f t="shared" si="4"/>
        <v>976414860.2764895</v>
      </c>
      <c r="F20" s="291">
        <f t="shared" si="4"/>
        <v>808176482.86000013</v>
      </c>
      <c r="G20" s="291">
        <f t="shared" si="4"/>
        <v>760740199.47000027</v>
      </c>
      <c r="H20" s="291">
        <f t="shared" si="4"/>
        <v>168238377.41648936</v>
      </c>
    </row>
    <row r="21" spans="1:8" x14ac:dyDescent="0.25">
      <c r="A21" s="292"/>
      <c r="B21" s="293" t="s">
        <v>354</v>
      </c>
      <c r="C21" s="294"/>
      <c r="D21" s="294"/>
      <c r="E21" s="291">
        <f t="shared" ref="E21:E27" si="5">C21+D21</f>
        <v>0</v>
      </c>
      <c r="F21" s="294"/>
      <c r="G21" s="294"/>
      <c r="H21" s="291">
        <f t="shared" si="3"/>
        <v>0</v>
      </c>
    </row>
    <row r="22" spans="1:8" x14ac:dyDescent="0.25">
      <c r="A22" s="292"/>
      <c r="B22" s="293" t="s">
        <v>355</v>
      </c>
      <c r="C22" s="294">
        <v>667667131.32648921</v>
      </c>
      <c r="D22" s="294">
        <v>308747728.95000029</v>
      </c>
      <c r="E22" s="291">
        <f t="shared" si="5"/>
        <v>976414860.2764895</v>
      </c>
      <c r="F22" s="294">
        <v>808176482.86000013</v>
      </c>
      <c r="G22" s="294">
        <v>760740199.47000027</v>
      </c>
      <c r="H22" s="291">
        <f t="shared" si="3"/>
        <v>168238377.41648936</v>
      </c>
    </row>
    <row r="23" spans="1:8" x14ac:dyDescent="0.25">
      <c r="A23" s="292"/>
      <c r="B23" s="293" t="s">
        <v>356</v>
      </c>
      <c r="C23" s="294"/>
      <c r="D23" s="294"/>
      <c r="E23" s="291">
        <f t="shared" si="5"/>
        <v>0</v>
      </c>
      <c r="F23" s="294"/>
      <c r="G23" s="294"/>
      <c r="H23" s="291">
        <f t="shared" si="3"/>
        <v>0</v>
      </c>
    </row>
    <row r="24" spans="1:8" x14ac:dyDescent="0.25">
      <c r="A24" s="292"/>
      <c r="B24" s="293" t="s">
        <v>357</v>
      </c>
      <c r="C24" s="294"/>
      <c r="D24" s="294"/>
      <c r="E24" s="291">
        <f t="shared" si="5"/>
        <v>0</v>
      </c>
      <c r="F24" s="294"/>
      <c r="G24" s="294"/>
      <c r="H24" s="291">
        <f t="shared" si="3"/>
        <v>0</v>
      </c>
    </row>
    <row r="25" spans="1:8" x14ac:dyDescent="0.25">
      <c r="A25" s="292"/>
      <c r="B25" s="293" t="s">
        <v>358</v>
      </c>
      <c r="C25" s="294"/>
      <c r="D25" s="294"/>
      <c r="E25" s="291">
        <f t="shared" si="5"/>
        <v>0</v>
      </c>
      <c r="F25" s="294"/>
      <c r="G25" s="294"/>
      <c r="H25" s="291">
        <f t="shared" si="3"/>
        <v>0</v>
      </c>
    </row>
    <row r="26" spans="1:8" x14ac:dyDescent="0.25">
      <c r="A26" s="292"/>
      <c r="B26" s="293" t="s">
        <v>359</v>
      </c>
      <c r="C26" s="294"/>
      <c r="D26" s="294"/>
      <c r="E26" s="291">
        <f t="shared" si="5"/>
        <v>0</v>
      </c>
      <c r="F26" s="294"/>
      <c r="G26" s="294"/>
      <c r="H26" s="291">
        <f t="shared" si="3"/>
        <v>0</v>
      </c>
    </row>
    <row r="27" spans="1:8" x14ac:dyDescent="0.25">
      <c r="A27" s="292"/>
      <c r="B27" s="293" t="s">
        <v>360</v>
      </c>
      <c r="C27" s="294"/>
      <c r="D27" s="294"/>
      <c r="E27" s="291">
        <f t="shared" si="5"/>
        <v>0</v>
      </c>
      <c r="F27" s="294"/>
      <c r="G27" s="294"/>
      <c r="H27" s="291">
        <f t="shared" si="3"/>
        <v>0</v>
      </c>
    </row>
    <row r="28" spans="1:8" x14ac:dyDescent="0.25">
      <c r="A28" s="295"/>
      <c r="B28" s="296"/>
      <c r="C28" s="298"/>
      <c r="D28" s="298"/>
      <c r="E28" s="298"/>
      <c r="F28" s="298"/>
      <c r="G28" s="298"/>
      <c r="H28" s="298"/>
    </row>
    <row r="29" spans="1:8" x14ac:dyDescent="0.25">
      <c r="A29" s="580" t="s">
        <v>361</v>
      </c>
      <c r="B29" s="581"/>
      <c r="C29" s="291">
        <f>SUM(C30:C38)</f>
        <v>0</v>
      </c>
      <c r="D29" s="291">
        <f t="shared" ref="D29:H29" si="6">SUM(D30:D38)</f>
        <v>0</v>
      </c>
      <c r="E29" s="291">
        <f t="shared" si="6"/>
        <v>0</v>
      </c>
      <c r="F29" s="291">
        <f t="shared" si="6"/>
        <v>0</v>
      </c>
      <c r="G29" s="291">
        <f t="shared" si="6"/>
        <v>0</v>
      </c>
      <c r="H29" s="291">
        <f t="shared" si="6"/>
        <v>0</v>
      </c>
    </row>
    <row r="30" spans="1:8" x14ac:dyDescent="0.25">
      <c r="A30" s="292"/>
      <c r="B30" s="293" t="s">
        <v>362</v>
      </c>
      <c r="C30" s="294"/>
      <c r="D30" s="294"/>
      <c r="E30" s="291">
        <f t="shared" ref="E30:E38" si="7">C30+D30</f>
        <v>0</v>
      </c>
      <c r="F30" s="294"/>
      <c r="G30" s="294"/>
      <c r="H30" s="291">
        <f t="shared" ref="H30:H38" si="8">+E30-F30</f>
        <v>0</v>
      </c>
    </row>
    <row r="31" spans="1:8" x14ac:dyDescent="0.25">
      <c r="A31" s="292"/>
      <c r="B31" s="293" t="s">
        <v>363</v>
      </c>
      <c r="C31" s="294"/>
      <c r="D31" s="294"/>
      <c r="E31" s="291">
        <f t="shared" si="7"/>
        <v>0</v>
      </c>
      <c r="F31" s="294"/>
      <c r="G31" s="294"/>
      <c r="H31" s="291">
        <f t="shared" si="8"/>
        <v>0</v>
      </c>
    </row>
    <row r="32" spans="1:8" x14ac:dyDescent="0.25">
      <c r="A32" s="292"/>
      <c r="B32" s="293" t="s">
        <v>364</v>
      </c>
      <c r="C32" s="294"/>
      <c r="D32" s="294"/>
      <c r="E32" s="291">
        <f t="shared" si="7"/>
        <v>0</v>
      </c>
      <c r="F32" s="294"/>
      <c r="G32" s="294"/>
      <c r="H32" s="291">
        <f t="shared" si="8"/>
        <v>0</v>
      </c>
    </row>
    <row r="33" spans="1:8" ht="15.75" thickBot="1" x14ac:dyDescent="0.3">
      <c r="A33" s="299"/>
      <c r="B33" s="300" t="s">
        <v>365</v>
      </c>
      <c r="C33" s="301"/>
      <c r="D33" s="301"/>
      <c r="E33" s="302">
        <f t="shared" si="7"/>
        <v>0</v>
      </c>
      <c r="F33" s="301"/>
      <c r="G33" s="301"/>
      <c r="H33" s="302">
        <f t="shared" si="8"/>
        <v>0</v>
      </c>
    </row>
    <row r="34" spans="1:8" x14ac:dyDescent="0.25">
      <c r="A34" s="292"/>
      <c r="B34" s="293" t="s">
        <v>366</v>
      </c>
      <c r="C34" s="294"/>
      <c r="D34" s="294"/>
      <c r="E34" s="291">
        <f t="shared" si="7"/>
        <v>0</v>
      </c>
      <c r="F34" s="294"/>
      <c r="G34" s="294"/>
      <c r="H34" s="291">
        <f t="shared" si="8"/>
        <v>0</v>
      </c>
    </row>
    <row r="35" spans="1:8" x14ac:dyDescent="0.25">
      <c r="A35" s="292"/>
      <c r="B35" s="293" t="s">
        <v>367</v>
      </c>
      <c r="C35" s="294"/>
      <c r="D35" s="294"/>
      <c r="E35" s="291">
        <f t="shared" si="7"/>
        <v>0</v>
      </c>
      <c r="F35" s="294"/>
      <c r="G35" s="294"/>
      <c r="H35" s="291">
        <f t="shared" si="8"/>
        <v>0</v>
      </c>
    </row>
    <row r="36" spans="1:8" x14ac:dyDescent="0.25">
      <c r="A36" s="292"/>
      <c r="B36" s="293" t="s">
        <v>368</v>
      </c>
      <c r="C36" s="294"/>
      <c r="D36" s="294"/>
      <c r="E36" s="291">
        <f t="shared" si="7"/>
        <v>0</v>
      </c>
      <c r="F36" s="294"/>
      <c r="G36" s="294"/>
      <c r="H36" s="291">
        <f t="shared" si="8"/>
        <v>0</v>
      </c>
    </row>
    <row r="37" spans="1:8" x14ac:dyDescent="0.25">
      <c r="A37" s="292"/>
      <c r="B37" s="293" t="s">
        <v>369</v>
      </c>
      <c r="C37" s="294"/>
      <c r="D37" s="294"/>
      <c r="E37" s="291">
        <f t="shared" si="7"/>
        <v>0</v>
      </c>
      <c r="F37" s="294"/>
      <c r="G37" s="294"/>
      <c r="H37" s="291">
        <f t="shared" si="8"/>
        <v>0</v>
      </c>
    </row>
    <row r="38" spans="1:8" x14ac:dyDescent="0.25">
      <c r="A38" s="292"/>
      <c r="B38" s="293" t="s">
        <v>370</v>
      </c>
      <c r="C38" s="294"/>
      <c r="D38" s="294"/>
      <c r="E38" s="291">
        <f t="shared" si="7"/>
        <v>0</v>
      </c>
      <c r="F38" s="294"/>
      <c r="G38" s="294"/>
      <c r="H38" s="291">
        <f t="shared" si="8"/>
        <v>0</v>
      </c>
    </row>
    <row r="39" spans="1:8" x14ac:dyDescent="0.25">
      <c r="A39" s="292"/>
      <c r="B39" s="293"/>
      <c r="C39" s="294"/>
      <c r="D39" s="294"/>
      <c r="E39" s="291"/>
      <c r="F39" s="294"/>
      <c r="G39" s="294"/>
      <c r="H39" s="291"/>
    </row>
    <row r="40" spans="1:8" x14ac:dyDescent="0.25">
      <c r="A40" s="292" t="s">
        <v>371</v>
      </c>
      <c r="B40" s="293"/>
      <c r="C40" s="291">
        <f>SUM(C41:C44)</f>
        <v>0</v>
      </c>
      <c r="D40" s="291">
        <f t="shared" ref="D40:H40" si="9">SUM(D41:D44)</f>
        <v>0</v>
      </c>
      <c r="E40" s="291">
        <f t="shared" si="9"/>
        <v>0</v>
      </c>
      <c r="F40" s="291">
        <f t="shared" si="9"/>
        <v>0</v>
      </c>
      <c r="G40" s="291">
        <f t="shared" si="9"/>
        <v>0</v>
      </c>
      <c r="H40" s="291">
        <f t="shared" si="9"/>
        <v>0</v>
      </c>
    </row>
    <row r="41" spans="1:8" x14ac:dyDescent="0.25">
      <c r="A41" s="292"/>
      <c r="B41" s="293" t="s">
        <v>372</v>
      </c>
      <c r="C41" s="294"/>
      <c r="D41" s="294"/>
      <c r="E41" s="291">
        <f t="shared" ref="E41:E44" si="10">C41+D41</f>
        <v>0</v>
      </c>
      <c r="F41" s="294"/>
      <c r="G41" s="294"/>
      <c r="H41" s="291">
        <f t="shared" ref="H41:H44" si="11">+E41-F41</f>
        <v>0</v>
      </c>
    </row>
    <row r="42" spans="1:8" x14ac:dyDescent="0.25">
      <c r="A42" s="292"/>
      <c r="B42" s="293" t="s">
        <v>373</v>
      </c>
      <c r="C42" s="294"/>
      <c r="D42" s="294"/>
      <c r="E42" s="291">
        <f t="shared" si="10"/>
        <v>0</v>
      </c>
      <c r="F42" s="294"/>
      <c r="G42" s="294"/>
      <c r="H42" s="291">
        <f t="shared" si="11"/>
        <v>0</v>
      </c>
    </row>
    <row r="43" spans="1:8" x14ac:dyDescent="0.25">
      <c r="A43" s="292"/>
      <c r="B43" s="293" t="s">
        <v>374</v>
      </c>
      <c r="C43" s="294"/>
      <c r="D43" s="294"/>
      <c r="E43" s="291">
        <f t="shared" si="10"/>
        <v>0</v>
      </c>
      <c r="F43" s="294"/>
      <c r="G43" s="294"/>
      <c r="H43" s="291">
        <f t="shared" si="11"/>
        <v>0</v>
      </c>
    </row>
    <row r="44" spans="1:8" x14ac:dyDescent="0.25">
      <c r="A44" s="292"/>
      <c r="B44" s="293" t="s">
        <v>375</v>
      </c>
      <c r="C44" s="294"/>
      <c r="D44" s="294"/>
      <c r="E44" s="291">
        <f t="shared" si="10"/>
        <v>0</v>
      </c>
      <c r="F44" s="294"/>
      <c r="G44" s="294"/>
      <c r="H44" s="291">
        <f t="shared" si="11"/>
        <v>0</v>
      </c>
    </row>
    <row r="45" spans="1:8" x14ac:dyDescent="0.25">
      <c r="A45" s="292"/>
      <c r="B45" s="293"/>
      <c r="C45" s="294"/>
      <c r="D45" s="294"/>
      <c r="E45" s="291"/>
      <c r="F45" s="294"/>
      <c r="G45" s="294"/>
      <c r="H45" s="291"/>
    </row>
    <row r="46" spans="1:8" x14ac:dyDescent="0.25">
      <c r="A46" s="292" t="s">
        <v>376</v>
      </c>
      <c r="B46" s="293"/>
      <c r="C46" s="291">
        <f t="shared" ref="C46:H46" si="12">+C47+C57+C65+C76</f>
        <v>114999999.995</v>
      </c>
      <c r="D46" s="291">
        <f t="shared" si="12"/>
        <v>3037575778.5100002</v>
      </c>
      <c r="E46" s="291">
        <f t="shared" si="12"/>
        <v>3152575778.5050001</v>
      </c>
      <c r="F46" s="291">
        <f t="shared" si="12"/>
        <v>1734650319.29</v>
      </c>
      <c r="G46" s="291">
        <f t="shared" si="12"/>
        <v>1711966486.6399999</v>
      </c>
      <c r="H46" s="291">
        <f t="shared" si="12"/>
        <v>1417925459.2150002</v>
      </c>
    </row>
    <row r="47" spans="1:8" x14ac:dyDescent="0.25">
      <c r="A47" s="292" t="s">
        <v>344</v>
      </c>
      <c r="B47" s="293"/>
      <c r="C47" s="291">
        <f>SUM(C48:C55)</f>
        <v>0</v>
      </c>
      <c r="D47" s="291">
        <f t="shared" ref="D47:H47" si="13">SUM(D48:D55)</f>
        <v>0</v>
      </c>
      <c r="E47" s="291">
        <f t="shared" si="13"/>
        <v>0</v>
      </c>
      <c r="F47" s="291">
        <f t="shared" si="13"/>
        <v>0</v>
      </c>
      <c r="G47" s="291">
        <f t="shared" si="13"/>
        <v>0</v>
      </c>
      <c r="H47" s="291">
        <f t="shared" si="13"/>
        <v>0</v>
      </c>
    </row>
    <row r="48" spans="1:8" x14ac:dyDescent="0.25">
      <c r="A48" s="292"/>
      <c r="B48" s="293" t="s">
        <v>345</v>
      </c>
      <c r="C48" s="294"/>
      <c r="D48" s="294"/>
      <c r="E48" s="291">
        <f t="shared" ref="E48:E55" si="14">C48+D48</f>
        <v>0</v>
      </c>
      <c r="F48" s="294"/>
      <c r="G48" s="294"/>
      <c r="H48" s="291">
        <f t="shared" ref="H48:H55" si="15">+E48-F48</f>
        <v>0</v>
      </c>
    </row>
    <row r="49" spans="1:8" x14ac:dyDescent="0.25">
      <c r="A49" s="292"/>
      <c r="B49" s="293" t="s">
        <v>346</v>
      </c>
      <c r="C49" s="294"/>
      <c r="D49" s="294"/>
      <c r="E49" s="291">
        <f t="shared" si="14"/>
        <v>0</v>
      </c>
      <c r="F49" s="294"/>
      <c r="G49" s="294"/>
      <c r="H49" s="291">
        <f t="shared" si="15"/>
        <v>0</v>
      </c>
    </row>
    <row r="50" spans="1:8" x14ac:dyDescent="0.25">
      <c r="A50" s="292"/>
      <c r="B50" s="293" t="s">
        <v>347</v>
      </c>
      <c r="C50" s="294"/>
      <c r="D50" s="294"/>
      <c r="E50" s="291">
        <f t="shared" si="14"/>
        <v>0</v>
      </c>
      <c r="F50" s="294"/>
      <c r="G50" s="294"/>
      <c r="H50" s="291">
        <f t="shared" si="15"/>
        <v>0</v>
      </c>
    </row>
    <row r="51" spans="1:8" x14ac:dyDescent="0.25">
      <c r="A51" s="292"/>
      <c r="B51" s="293" t="s">
        <v>348</v>
      </c>
      <c r="C51" s="294"/>
      <c r="D51" s="294"/>
      <c r="E51" s="291">
        <f t="shared" si="14"/>
        <v>0</v>
      </c>
      <c r="F51" s="294"/>
      <c r="G51" s="294"/>
      <c r="H51" s="291">
        <f t="shared" si="15"/>
        <v>0</v>
      </c>
    </row>
    <row r="52" spans="1:8" x14ac:dyDescent="0.25">
      <c r="A52" s="292"/>
      <c r="B52" s="293" t="s">
        <v>349</v>
      </c>
      <c r="C52" s="294"/>
      <c r="D52" s="294"/>
      <c r="E52" s="291">
        <f t="shared" si="14"/>
        <v>0</v>
      </c>
      <c r="F52" s="294"/>
      <c r="G52" s="294"/>
      <c r="H52" s="291">
        <f t="shared" si="15"/>
        <v>0</v>
      </c>
    </row>
    <row r="53" spans="1:8" x14ac:dyDescent="0.25">
      <c r="A53" s="292"/>
      <c r="B53" s="293" t="s">
        <v>350</v>
      </c>
      <c r="C53" s="294"/>
      <c r="D53" s="294"/>
      <c r="E53" s="291">
        <f t="shared" si="14"/>
        <v>0</v>
      </c>
      <c r="F53" s="294"/>
      <c r="G53" s="294"/>
      <c r="H53" s="291">
        <f t="shared" si="15"/>
        <v>0</v>
      </c>
    </row>
    <row r="54" spans="1:8" x14ac:dyDescent="0.25">
      <c r="A54" s="292"/>
      <c r="B54" s="293" t="s">
        <v>351</v>
      </c>
      <c r="C54" s="294"/>
      <c r="D54" s="294"/>
      <c r="E54" s="291">
        <f t="shared" si="14"/>
        <v>0</v>
      </c>
      <c r="F54" s="294"/>
      <c r="G54" s="294"/>
      <c r="H54" s="291">
        <f t="shared" si="15"/>
        <v>0</v>
      </c>
    </row>
    <row r="55" spans="1:8" x14ac:dyDescent="0.25">
      <c r="A55" s="292"/>
      <c r="B55" s="293" t="s">
        <v>352</v>
      </c>
      <c r="C55" s="294"/>
      <c r="D55" s="294"/>
      <c r="E55" s="291">
        <f t="shared" si="14"/>
        <v>0</v>
      </c>
      <c r="F55" s="294"/>
      <c r="G55" s="294"/>
      <c r="H55" s="291">
        <f t="shared" si="15"/>
        <v>0</v>
      </c>
    </row>
    <row r="56" spans="1:8" x14ac:dyDescent="0.25">
      <c r="A56" s="292"/>
      <c r="B56" s="293"/>
      <c r="C56" s="294"/>
      <c r="D56" s="294"/>
      <c r="E56" s="291"/>
      <c r="F56" s="294"/>
      <c r="G56" s="294"/>
      <c r="H56" s="291"/>
    </row>
    <row r="57" spans="1:8" x14ac:dyDescent="0.25">
      <c r="A57" s="292" t="s">
        <v>353</v>
      </c>
      <c r="B57" s="293"/>
      <c r="C57" s="291">
        <f>SUM(C58:C64)</f>
        <v>114999999.995</v>
      </c>
      <c r="D57" s="291">
        <f t="shared" ref="D57:H57" si="16">SUM(D58:D64)</f>
        <v>3037575778.5100002</v>
      </c>
      <c r="E57" s="291">
        <f t="shared" si="16"/>
        <v>3152575778.5050001</v>
      </c>
      <c r="F57" s="291">
        <f t="shared" si="16"/>
        <v>1734650319.29</v>
      </c>
      <c r="G57" s="291">
        <f t="shared" si="16"/>
        <v>1711966486.6399999</v>
      </c>
      <c r="H57" s="291">
        <f t="shared" si="16"/>
        <v>1417925459.2150002</v>
      </c>
    </row>
    <row r="58" spans="1:8" x14ac:dyDescent="0.25">
      <c r="A58" s="292"/>
      <c r="B58" s="293" t="s">
        <v>354</v>
      </c>
      <c r="C58" s="294"/>
      <c r="D58" s="294"/>
      <c r="E58" s="291">
        <f t="shared" ref="E58:E64" si="17">C58+D58</f>
        <v>0</v>
      </c>
      <c r="F58" s="294"/>
      <c r="G58" s="294"/>
      <c r="H58" s="291">
        <f t="shared" ref="H58:H64" si="18">+E58-F58</f>
        <v>0</v>
      </c>
    </row>
    <row r="59" spans="1:8" x14ac:dyDescent="0.25">
      <c r="A59" s="292"/>
      <c r="B59" s="293" t="s">
        <v>355</v>
      </c>
      <c r="C59" s="294">
        <v>114999999.995</v>
      </c>
      <c r="D59" s="294">
        <v>3037575778.5100002</v>
      </c>
      <c r="E59" s="291">
        <f t="shared" si="17"/>
        <v>3152575778.5050001</v>
      </c>
      <c r="F59" s="294">
        <v>1734650319.29</v>
      </c>
      <c r="G59" s="294">
        <v>1711966486.6399999</v>
      </c>
      <c r="H59" s="291">
        <f t="shared" si="18"/>
        <v>1417925459.2150002</v>
      </c>
    </row>
    <row r="60" spans="1:8" x14ac:dyDescent="0.25">
      <c r="A60" s="292"/>
      <c r="B60" s="293" t="s">
        <v>356</v>
      </c>
      <c r="C60" s="294"/>
      <c r="D60" s="294"/>
      <c r="E60" s="291">
        <f t="shared" si="17"/>
        <v>0</v>
      </c>
      <c r="F60" s="294"/>
      <c r="G60" s="294"/>
      <c r="H60" s="291">
        <f t="shared" si="18"/>
        <v>0</v>
      </c>
    </row>
    <row r="61" spans="1:8" x14ac:dyDescent="0.25">
      <c r="A61" s="292"/>
      <c r="B61" s="293" t="s">
        <v>357</v>
      </c>
      <c r="C61" s="294"/>
      <c r="D61" s="294"/>
      <c r="E61" s="291">
        <f t="shared" si="17"/>
        <v>0</v>
      </c>
      <c r="F61" s="294"/>
      <c r="G61" s="294"/>
      <c r="H61" s="291">
        <f t="shared" si="18"/>
        <v>0</v>
      </c>
    </row>
    <row r="62" spans="1:8" x14ac:dyDescent="0.25">
      <c r="A62" s="292"/>
      <c r="B62" s="293" t="s">
        <v>358</v>
      </c>
      <c r="C62" s="294"/>
      <c r="D62" s="294"/>
      <c r="E62" s="291">
        <f t="shared" si="17"/>
        <v>0</v>
      </c>
      <c r="F62" s="294"/>
      <c r="G62" s="294"/>
      <c r="H62" s="291">
        <f t="shared" si="18"/>
        <v>0</v>
      </c>
    </row>
    <row r="63" spans="1:8" x14ac:dyDescent="0.25">
      <c r="A63" s="292"/>
      <c r="B63" s="293" t="s">
        <v>359</v>
      </c>
      <c r="C63" s="294"/>
      <c r="D63" s="294"/>
      <c r="E63" s="291">
        <f t="shared" si="17"/>
        <v>0</v>
      </c>
      <c r="F63" s="294"/>
      <c r="G63" s="294"/>
      <c r="H63" s="291">
        <f t="shared" si="18"/>
        <v>0</v>
      </c>
    </row>
    <row r="64" spans="1:8" ht="15.75" thickBot="1" x14ac:dyDescent="0.3">
      <c r="A64" s="299"/>
      <c r="B64" s="300" t="s">
        <v>360</v>
      </c>
      <c r="C64" s="301"/>
      <c r="D64" s="301"/>
      <c r="E64" s="302">
        <f t="shared" si="17"/>
        <v>0</v>
      </c>
      <c r="F64" s="301"/>
      <c r="G64" s="301"/>
      <c r="H64" s="302">
        <f t="shared" si="18"/>
        <v>0</v>
      </c>
    </row>
    <row r="65" spans="1:8" x14ac:dyDescent="0.25">
      <c r="A65" s="292" t="s">
        <v>361</v>
      </c>
      <c r="B65" s="293"/>
      <c r="C65" s="291">
        <f>SUM(C66:C74)</f>
        <v>0</v>
      </c>
      <c r="D65" s="291">
        <f t="shared" ref="D65:H65" si="19">SUM(D66:D74)</f>
        <v>0</v>
      </c>
      <c r="E65" s="291">
        <f t="shared" si="19"/>
        <v>0</v>
      </c>
      <c r="F65" s="291">
        <f t="shared" si="19"/>
        <v>0</v>
      </c>
      <c r="G65" s="291">
        <f t="shared" si="19"/>
        <v>0</v>
      </c>
      <c r="H65" s="291">
        <f t="shared" si="19"/>
        <v>0</v>
      </c>
    </row>
    <row r="66" spans="1:8" x14ac:dyDescent="0.25">
      <c r="A66" s="292"/>
      <c r="B66" s="293" t="s">
        <v>362</v>
      </c>
      <c r="C66" s="294"/>
      <c r="D66" s="294"/>
      <c r="E66" s="291">
        <f t="shared" ref="E66:E74" si="20">C66+D66</f>
        <v>0</v>
      </c>
      <c r="F66" s="294"/>
      <c r="G66" s="294"/>
      <c r="H66" s="291">
        <f t="shared" ref="H66:H74" si="21">+E66-F66</f>
        <v>0</v>
      </c>
    </row>
    <row r="67" spans="1:8" x14ac:dyDescent="0.25">
      <c r="A67" s="292"/>
      <c r="B67" s="293" t="s">
        <v>363</v>
      </c>
      <c r="C67" s="294"/>
      <c r="D67" s="294"/>
      <c r="E67" s="291"/>
      <c r="F67" s="294"/>
      <c r="G67" s="294"/>
      <c r="H67" s="291">
        <f t="shared" si="21"/>
        <v>0</v>
      </c>
    </row>
    <row r="68" spans="1:8" x14ac:dyDescent="0.25">
      <c r="A68" s="292"/>
      <c r="B68" s="293" t="s">
        <v>364</v>
      </c>
      <c r="C68" s="294"/>
      <c r="D68" s="294"/>
      <c r="E68" s="291">
        <f t="shared" si="20"/>
        <v>0</v>
      </c>
      <c r="F68" s="294"/>
      <c r="G68" s="294"/>
      <c r="H68" s="291">
        <f t="shared" si="21"/>
        <v>0</v>
      </c>
    </row>
    <row r="69" spans="1:8" x14ac:dyDescent="0.25">
      <c r="A69" s="292"/>
      <c r="B69" s="293" t="s">
        <v>365</v>
      </c>
      <c r="C69" s="294"/>
      <c r="D69" s="294"/>
      <c r="E69" s="291">
        <f t="shared" si="20"/>
        <v>0</v>
      </c>
      <c r="F69" s="294"/>
      <c r="G69" s="294"/>
      <c r="H69" s="291">
        <f t="shared" si="21"/>
        <v>0</v>
      </c>
    </row>
    <row r="70" spans="1:8" x14ac:dyDescent="0.25">
      <c r="A70" s="292"/>
      <c r="B70" s="293" t="s">
        <v>366</v>
      </c>
      <c r="C70" s="294"/>
      <c r="D70" s="294"/>
      <c r="E70" s="291">
        <f t="shared" si="20"/>
        <v>0</v>
      </c>
      <c r="F70" s="294"/>
      <c r="G70" s="294"/>
      <c r="H70" s="291">
        <f t="shared" si="21"/>
        <v>0</v>
      </c>
    </row>
    <row r="71" spans="1:8" x14ac:dyDescent="0.25">
      <c r="A71" s="292"/>
      <c r="B71" s="293" t="s">
        <v>367</v>
      </c>
      <c r="C71" s="294"/>
      <c r="D71" s="294"/>
      <c r="E71" s="291">
        <f t="shared" si="20"/>
        <v>0</v>
      </c>
      <c r="F71" s="294"/>
      <c r="G71" s="294"/>
      <c r="H71" s="291">
        <f t="shared" si="21"/>
        <v>0</v>
      </c>
    </row>
    <row r="72" spans="1:8" x14ac:dyDescent="0.25">
      <c r="A72" s="292"/>
      <c r="B72" s="293" t="s">
        <v>368</v>
      </c>
      <c r="C72" s="294"/>
      <c r="D72" s="294"/>
      <c r="E72" s="291">
        <f t="shared" si="20"/>
        <v>0</v>
      </c>
      <c r="F72" s="294"/>
      <c r="G72" s="294"/>
      <c r="H72" s="291">
        <f t="shared" si="21"/>
        <v>0</v>
      </c>
    </row>
    <row r="73" spans="1:8" x14ac:dyDescent="0.25">
      <c r="A73" s="292"/>
      <c r="B73" s="293" t="s">
        <v>369</v>
      </c>
      <c r="C73" s="294"/>
      <c r="D73" s="294"/>
      <c r="E73" s="291">
        <f t="shared" si="20"/>
        <v>0</v>
      </c>
      <c r="F73" s="294"/>
      <c r="G73" s="294"/>
      <c r="H73" s="291">
        <f t="shared" si="21"/>
        <v>0</v>
      </c>
    </row>
    <row r="74" spans="1:8" x14ac:dyDescent="0.25">
      <c r="A74" s="292"/>
      <c r="B74" s="293" t="s">
        <v>370</v>
      </c>
      <c r="C74" s="294"/>
      <c r="D74" s="294"/>
      <c r="E74" s="291">
        <f t="shared" si="20"/>
        <v>0</v>
      </c>
      <c r="F74" s="294"/>
      <c r="G74" s="294"/>
      <c r="H74" s="291">
        <f t="shared" si="21"/>
        <v>0</v>
      </c>
    </row>
    <row r="75" spans="1:8" x14ac:dyDescent="0.25">
      <c r="A75" s="292"/>
      <c r="B75" s="293"/>
      <c r="C75" s="294"/>
      <c r="D75" s="294"/>
      <c r="E75" s="291"/>
      <c r="F75" s="294"/>
      <c r="G75" s="294"/>
      <c r="H75" s="291"/>
    </row>
    <row r="76" spans="1:8" x14ac:dyDescent="0.25">
      <c r="A76" s="292" t="s">
        <v>371</v>
      </c>
      <c r="B76" s="293"/>
      <c r="C76" s="291">
        <f>SUM(C77:C80)</f>
        <v>0</v>
      </c>
      <c r="D76" s="291">
        <f t="shared" ref="D76:H76" si="22">SUM(D77:D80)</f>
        <v>0</v>
      </c>
      <c r="E76" s="291">
        <f t="shared" si="22"/>
        <v>0</v>
      </c>
      <c r="F76" s="291">
        <f t="shared" si="22"/>
        <v>0</v>
      </c>
      <c r="G76" s="291">
        <f t="shared" si="22"/>
        <v>0</v>
      </c>
      <c r="H76" s="291">
        <f t="shared" si="22"/>
        <v>0</v>
      </c>
    </row>
    <row r="77" spans="1:8" x14ac:dyDescent="0.25">
      <c r="A77" s="292"/>
      <c r="B77" s="293" t="s">
        <v>372</v>
      </c>
      <c r="C77" s="294">
        <v>0</v>
      </c>
      <c r="D77" s="294"/>
      <c r="E77" s="291">
        <f t="shared" ref="E77:E80" si="23">C77+D77</f>
        <v>0</v>
      </c>
      <c r="F77" s="294"/>
      <c r="G77" s="294"/>
      <c r="H77" s="291">
        <f t="shared" ref="H77:H80" si="24">+E77-F77</f>
        <v>0</v>
      </c>
    </row>
    <row r="78" spans="1:8" x14ac:dyDescent="0.25">
      <c r="A78" s="292"/>
      <c r="B78" s="293" t="s">
        <v>373</v>
      </c>
      <c r="C78" s="294">
        <v>0</v>
      </c>
      <c r="D78" s="294"/>
      <c r="E78" s="291">
        <f t="shared" si="23"/>
        <v>0</v>
      </c>
      <c r="F78" s="294"/>
      <c r="G78" s="294"/>
      <c r="H78" s="291">
        <f t="shared" si="24"/>
        <v>0</v>
      </c>
    </row>
    <row r="79" spans="1:8" x14ac:dyDescent="0.25">
      <c r="A79" s="292"/>
      <c r="B79" s="293" t="s">
        <v>374</v>
      </c>
      <c r="C79" s="294">
        <v>0</v>
      </c>
      <c r="D79" s="294"/>
      <c r="E79" s="291">
        <f t="shared" si="23"/>
        <v>0</v>
      </c>
      <c r="F79" s="294"/>
      <c r="G79" s="294"/>
      <c r="H79" s="291">
        <f t="shared" si="24"/>
        <v>0</v>
      </c>
    </row>
    <row r="80" spans="1:8" x14ac:dyDescent="0.25">
      <c r="A80" s="292"/>
      <c r="B80" s="293" t="s">
        <v>375</v>
      </c>
      <c r="C80" s="294"/>
      <c r="D80" s="294"/>
      <c r="E80" s="291">
        <f t="shared" si="23"/>
        <v>0</v>
      </c>
      <c r="F80" s="294"/>
      <c r="G80" s="294"/>
      <c r="H80" s="291">
        <f t="shared" si="24"/>
        <v>0</v>
      </c>
    </row>
    <row r="81" spans="1:9" x14ac:dyDescent="0.25">
      <c r="A81" s="292"/>
      <c r="B81" s="293"/>
      <c r="C81" s="294"/>
      <c r="D81" s="294"/>
      <c r="E81" s="291"/>
      <c r="F81" s="294"/>
      <c r="G81" s="294"/>
      <c r="H81" s="291"/>
    </row>
    <row r="82" spans="1:9" ht="15.75" thickBot="1" x14ac:dyDescent="0.3">
      <c r="A82" s="299" t="s">
        <v>274</v>
      </c>
      <c r="B82" s="300"/>
      <c r="C82" s="302">
        <f t="shared" ref="C82:H82" si="25">+C9+C46</f>
        <v>782667131.32148921</v>
      </c>
      <c r="D82" s="302">
        <f t="shared" si="25"/>
        <v>3346323507.4600005</v>
      </c>
      <c r="E82" s="302">
        <f t="shared" si="25"/>
        <v>4128990638.7814894</v>
      </c>
      <c r="F82" s="302">
        <f t="shared" si="25"/>
        <v>2542826802.1500001</v>
      </c>
      <c r="G82" s="302">
        <f t="shared" si="25"/>
        <v>2472706686.1100001</v>
      </c>
      <c r="H82" s="302">
        <f t="shared" si="25"/>
        <v>1586163836.6314895</v>
      </c>
      <c r="I82" s="224" t="str">
        <f>IF((C82-'ETCA-II-11'!B44)&gt;0.9,"ERROR!!!!! EL MONTO NO COINCIDE CON LO REPORTADO EN EL FORMATO ETCA-II-11 EN EL TOTAL DEL GASTO","")</f>
        <v/>
      </c>
    </row>
    <row r="83" spans="1:9" x14ac:dyDescent="0.25">
      <c r="A83" s="303"/>
      <c r="B83" s="303"/>
      <c r="C83" s="304"/>
      <c r="D83" s="304"/>
      <c r="E83" s="305"/>
      <c r="F83" s="304"/>
      <c r="G83" s="304"/>
      <c r="H83" s="305"/>
      <c r="I83" s="224" t="str">
        <f>IF((D82-'ETCA-II-11'!C44)&gt;0.9,"ERROR!!!!! EL MONTO NO COINCIDE CON LO REPORTADO EN EL FORMATO ETCA-II-11 EN EL TOTAL DEL GASTO","")</f>
        <v/>
      </c>
    </row>
    <row r="84" spans="1:9" x14ac:dyDescent="0.25">
      <c r="A84" s="303"/>
      <c r="B84" s="303"/>
      <c r="C84" s="304"/>
      <c r="D84" s="304"/>
      <c r="E84" s="305"/>
      <c r="F84" s="304"/>
      <c r="G84" s="304"/>
      <c r="H84" s="305"/>
    </row>
    <row r="85" spans="1:9" x14ac:dyDescent="0.25">
      <c r="A85" s="303"/>
      <c r="B85" s="303"/>
      <c r="C85" s="304"/>
      <c r="D85" s="304"/>
      <c r="E85" s="305"/>
      <c r="F85" s="304"/>
      <c r="G85" s="304"/>
      <c r="H85" s="305"/>
      <c r="I85" t="str">
        <f>IF((F82-'ETCA-II-11'!E44)&gt;0.9,"ERROR!!!!! EL MONTO NO COINCIDE CON LO REPORTADO EN EL FORMATO ETCA-II-11 EN EL TOTAL DEL GASTO","")</f>
        <v/>
      </c>
    </row>
    <row r="86" spans="1:9" x14ac:dyDescent="0.25">
      <c r="A86" s="303"/>
      <c r="B86" s="303"/>
      <c r="C86" s="304"/>
      <c r="D86" s="304"/>
      <c r="E86" s="305"/>
      <c r="F86" s="304"/>
      <c r="G86" s="304"/>
      <c r="H86" s="305"/>
      <c r="I86" t="str">
        <f>IF((G82-'ETCA-II-11'!F44)&gt;0.9,"ERROR!!!!! EL MONTO NO COINCIDE CON LO REPORTADO EN EL FORMATO ETCA-II-11 EN EL TOTAL DEL GASTO","")</f>
        <v/>
      </c>
    </row>
    <row r="87" spans="1:9" x14ac:dyDescent="0.25">
      <c r="A87" s="303"/>
      <c r="B87" s="303"/>
      <c r="C87" s="304"/>
      <c r="D87" s="304"/>
      <c r="E87" s="305"/>
      <c r="F87" s="304"/>
      <c r="G87" s="304"/>
      <c r="H87" s="305"/>
      <c r="I87" t="str">
        <f>IF((H82-'ETCA-II-11'!G44)&gt;0.9,"ERROR!!!!! EL MONTO NO COINCIDE CON LO REPORTADO EN EL FORMATO ETCA-II-11 EN EL TOTAL DEL GASTO","")</f>
        <v/>
      </c>
    </row>
    <row r="88" spans="1:9" x14ac:dyDescent="0.25">
      <c r="A88" s="303"/>
      <c r="B88" s="303"/>
      <c r="C88" s="304"/>
      <c r="D88" s="304"/>
      <c r="E88" s="305"/>
      <c r="F88" s="304"/>
      <c r="G88" s="304"/>
      <c r="H88" s="305"/>
    </row>
  </sheetData>
  <sheetProtection formatColumns="0" formatRows="0" insertHyperlinks="0"/>
  <mergeCells count="13">
    <mergeCell ref="A8:B8"/>
    <mergeCell ref="A9:B9"/>
    <mergeCell ref="A10:B10"/>
    <mergeCell ref="A20:B20"/>
    <mergeCell ref="A29:B29"/>
    <mergeCell ref="A6:B7"/>
    <mergeCell ref="C6:G6"/>
    <mergeCell ref="H6:H7"/>
    <mergeCell ref="A1:H1"/>
    <mergeCell ref="A2:H2"/>
    <mergeCell ref="A3:H3"/>
    <mergeCell ref="A4:H4"/>
    <mergeCell ref="A5:H5"/>
  </mergeCells>
  <pageMargins left="0.19685039370078741" right="0.31496062992125984" top="0.74803149606299213" bottom="0.74803149606299213" header="0.31496062992125984" footer="0.31496062992125984"/>
  <pageSetup scale="93" orientation="landscape" r:id="rId1"/>
  <rowBreaks count="1" manualBreakCount="1">
    <brk id="33" max="7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9342-0D6D-4983-9AFC-24DD64B737F4}">
  <sheetPr>
    <tabColor theme="0" tint="-0.249977111117893"/>
  </sheetPr>
  <dimension ref="A1:I439"/>
  <sheetViews>
    <sheetView topLeftCell="A413" zoomScaleNormal="100" zoomScaleSheetLayoutView="82" workbookViewId="0">
      <selection activeCell="A11" sqref="A10:O16"/>
    </sheetView>
  </sheetViews>
  <sheetFormatPr baseColWidth="10" defaultRowHeight="15" x14ac:dyDescent="0.25"/>
  <cols>
    <col min="1" max="1" width="14.5703125" style="369" customWidth="1"/>
    <col min="2" max="2" width="35.5703125" style="369" customWidth="1"/>
    <col min="3" max="3" width="17.5703125" style="370" customWidth="1"/>
    <col min="4" max="4" width="17.85546875" style="370" customWidth="1"/>
    <col min="5" max="5" width="17.7109375" style="370" customWidth="1"/>
    <col min="6" max="6" width="18" style="370" customWidth="1"/>
    <col min="7" max="7" width="17.42578125" style="370" customWidth="1"/>
    <col min="8" max="8" width="18.85546875" style="402" customWidth="1"/>
    <col min="9" max="9" width="9.42578125" style="369" customWidth="1"/>
  </cols>
  <sheetData>
    <row r="1" spans="1:9" x14ac:dyDescent="0.25">
      <c r="A1" s="598" t="s">
        <v>784</v>
      </c>
      <c r="B1" s="598"/>
      <c r="C1" s="598"/>
      <c r="D1" s="598"/>
      <c r="E1" s="598"/>
      <c r="F1" s="598"/>
      <c r="G1" s="598"/>
      <c r="H1" s="598"/>
      <c r="I1" s="598"/>
    </row>
    <row r="2" spans="1:9" x14ac:dyDescent="0.25">
      <c r="A2" s="599" t="s">
        <v>131</v>
      </c>
      <c r="B2" s="599"/>
      <c r="C2" s="599"/>
      <c r="D2" s="599"/>
      <c r="E2" s="599"/>
      <c r="F2" s="599"/>
      <c r="G2" s="599"/>
      <c r="H2" s="599"/>
      <c r="I2" s="599"/>
    </row>
    <row r="3" spans="1:9" x14ac:dyDescent="0.25">
      <c r="A3" s="599" t="s">
        <v>377</v>
      </c>
      <c r="B3" s="599"/>
      <c r="C3" s="599"/>
      <c r="D3" s="599"/>
      <c r="E3" s="599"/>
      <c r="F3" s="599"/>
      <c r="G3" s="599"/>
      <c r="H3" s="599"/>
      <c r="I3" s="599"/>
    </row>
    <row r="4" spans="1:9" x14ac:dyDescent="0.25">
      <c r="A4" s="599" t="s">
        <v>457</v>
      </c>
      <c r="B4" s="599"/>
      <c r="C4" s="599"/>
      <c r="D4" s="599"/>
      <c r="E4" s="599"/>
      <c r="F4" s="599"/>
      <c r="G4" s="599"/>
      <c r="H4" s="599"/>
      <c r="I4" s="599"/>
    </row>
    <row r="5" spans="1:9" x14ac:dyDescent="0.25">
      <c r="A5" s="599" t="s">
        <v>790</v>
      </c>
      <c r="B5" s="599"/>
      <c r="C5" s="599"/>
      <c r="D5" s="599"/>
      <c r="E5" s="599"/>
      <c r="F5" s="599"/>
      <c r="G5" s="599"/>
      <c r="H5" s="599"/>
      <c r="I5" s="599"/>
    </row>
    <row r="6" spans="1:9" ht="15.75" customHeight="1" thickBot="1" x14ac:dyDescent="0.3">
      <c r="D6" s="596" t="s">
        <v>5</v>
      </c>
      <c r="E6" s="596"/>
      <c r="H6" s="597"/>
      <c r="I6" s="597"/>
    </row>
    <row r="7" spans="1:9" ht="15.75" thickTop="1" x14ac:dyDescent="0.25">
      <c r="A7" s="589" t="s">
        <v>460</v>
      </c>
      <c r="B7" s="591" t="s">
        <v>461</v>
      </c>
      <c r="C7" s="582" t="s">
        <v>462</v>
      </c>
      <c r="D7" s="582" t="s">
        <v>463</v>
      </c>
      <c r="E7" s="593" t="s">
        <v>464</v>
      </c>
      <c r="F7" s="582" t="s">
        <v>465</v>
      </c>
      <c r="G7" s="582" t="s">
        <v>466</v>
      </c>
      <c r="H7" s="584" t="s">
        <v>467</v>
      </c>
      <c r="I7" s="586" t="s">
        <v>468</v>
      </c>
    </row>
    <row r="8" spans="1:9" ht="36" customHeight="1" x14ac:dyDescent="0.25">
      <c r="A8" s="590"/>
      <c r="B8" s="592"/>
      <c r="C8" s="583"/>
      <c r="D8" s="583"/>
      <c r="E8" s="594"/>
      <c r="F8" s="595"/>
      <c r="G8" s="583"/>
      <c r="H8" s="585"/>
      <c r="I8" s="587"/>
    </row>
    <row r="9" spans="1:9" x14ac:dyDescent="0.25">
      <c r="A9" s="371">
        <v>1000</v>
      </c>
      <c r="B9" s="372" t="s">
        <v>469</v>
      </c>
      <c r="C9" s="427">
        <v>227702200.89527455</v>
      </c>
      <c r="D9" s="427">
        <v>21177279.109999999</v>
      </c>
      <c r="E9" s="427">
        <v>248879480.00527453</v>
      </c>
      <c r="F9" s="427">
        <v>248868916.04999998</v>
      </c>
      <c r="G9" s="427">
        <v>236451307.04999998</v>
      </c>
      <c r="H9" s="427">
        <v>10563.955274552107</v>
      </c>
      <c r="I9" s="373">
        <v>0.99995755393223129</v>
      </c>
    </row>
    <row r="10" spans="1:9" ht="27.75" customHeight="1" x14ac:dyDescent="0.25">
      <c r="A10" s="374">
        <v>1100</v>
      </c>
      <c r="B10" s="372" t="s">
        <v>470</v>
      </c>
      <c r="C10" s="427">
        <v>122826728.74877027</v>
      </c>
      <c r="D10" s="427">
        <v>9987709.2500000019</v>
      </c>
      <c r="E10" s="427">
        <v>132814437.99877027</v>
      </c>
      <c r="F10" s="427">
        <v>132813514.50999998</v>
      </c>
      <c r="G10" s="427">
        <v>127833439.16999999</v>
      </c>
      <c r="H10" s="427">
        <v>923.48877029120922</v>
      </c>
      <c r="I10" s="373">
        <v>0.99999304677424983</v>
      </c>
    </row>
    <row r="11" spans="1:9" x14ac:dyDescent="0.25">
      <c r="A11" s="375">
        <v>113</v>
      </c>
      <c r="B11" s="372" t="s">
        <v>471</v>
      </c>
      <c r="C11" s="427">
        <v>122826728.74877027</v>
      </c>
      <c r="D11" s="427">
        <v>9987709.2500000019</v>
      </c>
      <c r="E11" s="427">
        <v>132814437.99877027</v>
      </c>
      <c r="F11" s="427">
        <v>132813514.50999998</v>
      </c>
      <c r="G11" s="427">
        <v>127833439.16999999</v>
      </c>
      <c r="H11" s="427">
        <v>923.48877029120922</v>
      </c>
      <c r="I11" s="373">
        <v>0.99999304677424983</v>
      </c>
    </row>
    <row r="12" spans="1:9" x14ac:dyDescent="0.25">
      <c r="A12" s="376">
        <v>11301</v>
      </c>
      <c r="B12" s="377" t="s">
        <v>472</v>
      </c>
      <c r="C12" s="428">
        <v>63488982.775359251</v>
      </c>
      <c r="D12" s="428">
        <v>25438858.309999999</v>
      </c>
      <c r="E12" s="427">
        <v>88927841.085359246</v>
      </c>
      <c r="F12" s="428">
        <v>88927841.359999985</v>
      </c>
      <c r="G12" s="428">
        <v>88930469.909999996</v>
      </c>
      <c r="H12" s="427">
        <v>-0.27464073896408081</v>
      </c>
      <c r="I12" s="373">
        <v>1.0000000030883549</v>
      </c>
    </row>
    <row r="13" spans="1:9" x14ac:dyDescent="0.25">
      <c r="A13" s="376">
        <v>11302</v>
      </c>
      <c r="B13" s="377" t="s">
        <v>473</v>
      </c>
      <c r="C13" s="428">
        <v>891273.36</v>
      </c>
      <c r="D13" s="428">
        <v>-129294.59</v>
      </c>
      <c r="E13" s="427">
        <v>761978.77</v>
      </c>
      <c r="F13" s="428">
        <v>761978.77</v>
      </c>
      <c r="G13" s="428">
        <v>761978.77</v>
      </c>
      <c r="H13" s="427">
        <v>0</v>
      </c>
      <c r="I13" s="373">
        <v>1</v>
      </c>
    </row>
    <row r="14" spans="1:9" x14ac:dyDescent="0.25">
      <c r="A14" s="376">
        <v>11303</v>
      </c>
      <c r="B14" s="377" t="s">
        <v>474</v>
      </c>
      <c r="C14" s="428">
        <v>1903436.0841548129</v>
      </c>
      <c r="D14" s="428">
        <v>-882727.95</v>
      </c>
      <c r="E14" s="427">
        <v>1020708.1341548129</v>
      </c>
      <c r="F14" s="428">
        <v>1020707.82</v>
      </c>
      <c r="G14" s="428">
        <v>1020707.82</v>
      </c>
      <c r="H14" s="427">
        <v>0.31415481294970959</v>
      </c>
      <c r="I14" s="373">
        <v>0.99999969221876217</v>
      </c>
    </row>
    <row r="15" spans="1:9" ht="25.5" hidden="1" customHeight="1" x14ac:dyDescent="0.25">
      <c r="A15" s="376">
        <v>11304</v>
      </c>
      <c r="B15" s="377" t="s">
        <v>475</v>
      </c>
      <c r="C15" s="428">
        <v>0</v>
      </c>
      <c r="D15" s="428">
        <v>0</v>
      </c>
      <c r="E15" s="427">
        <v>0</v>
      </c>
      <c r="F15" s="428">
        <v>0</v>
      </c>
      <c r="G15" s="428">
        <v>0</v>
      </c>
      <c r="H15" s="427">
        <v>0</v>
      </c>
      <c r="I15" s="373" t="e">
        <v>#DIV/0!</v>
      </c>
    </row>
    <row r="16" spans="1:9" x14ac:dyDescent="0.25">
      <c r="A16" s="376">
        <v>11306</v>
      </c>
      <c r="B16" s="377" t="s">
        <v>476</v>
      </c>
      <c r="C16" s="428">
        <v>38602823.034249924</v>
      </c>
      <c r="D16" s="428">
        <v>-6046073.3499999996</v>
      </c>
      <c r="E16" s="427">
        <v>32556749.684249923</v>
      </c>
      <c r="F16" s="428">
        <v>32556749.969999999</v>
      </c>
      <c r="G16" s="428">
        <v>27574046.080000002</v>
      </c>
      <c r="H16" s="427">
        <v>-0.28575007617473602</v>
      </c>
      <c r="I16" s="373">
        <v>1.0000000087769843</v>
      </c>
    </row>
    <row r="17" spans="1:9" x14ac:dyDescent="0.25">
      <c r="A17" s="376">
        <v>11307</v>
      </c>
      <c r="B17" s="377" t="s">
        <v>477</v>
      </c>
      <c r="C17" s="428">
        <v>10078561.429963181</v>
      </c>
      <c r="D17" s="428">
        <v>-4405601.4800000004</v>
      </c>
      <c r="E17" s="427">
        <v>5672959.9499631803</v>
      </c>
      <c r="F17" s="428">
        <v>5672959.8600000003</v>
      </c>
      <c r="G17" s="428">
        <v>5672959.8600000003</v>
      </c>
      <c r="H17" s="427">
        <v>8.9963180013000965E-2</v>
      </c>
      <c r="I17" s="373">
        <v>0.9999999841417565</v>
      </c>
    </row>
    <row r="18" spans="1:9" x14ac:dyDescent="0.25">
      <c r="A18" s="376">
        <v>11308</v>
      </c>
      <c r="B18" s="377" t="s">
        <v>478</v>
      </c>
      <c r="C18" s="428">
        <v>40609.637852213993</v>
      </c>
      <c r="D18" s="428">
        <v>50695</v>
      </c>
      <c r="E18" s="427">
        <v>91304.637852213986</v>
      </c>
      <c r="F18" s="428">
        <v>91305</v>
      </c>
      <c r="G18" s="428">
        <v>91305</v>
      </c>
      <c r="H18" s="427">
        <v>-0.36214778601424769</v>
      </c>
      <c r="I18" s="373">
        <v>1.0000039663679143</v>
      </c>
    </row>
    <row r="19" spans="1:9" x14ac:dyDescent="0.25">
      <c r="A19" s="376">
        <v>11310</v>
      </c>
      <c r="B19" s="377" t="s">
        <v>479</v>
      </c>
      <c r="C19" s="428">
        <v>7821042.4271908822</v>
      </c>
      <c r="D19" s="428">
        <v>-4038146.69</v>
      </c>
      <c r="E19" s="427">
        <v>3782895.7371908822</v>
      </c>
      <c r="F19" s="428">
        <v>3781971.73</v>
      </c>
      <c r="G19" s="428">
        <v>3781971.73</v>
      </c>
      <c r="H19" s="427">
        <v>924.00719088222831</v>
      </c>
      <c r="I19" s="373">
        <v>0.99975574077239349</v>
      </c>
    </row>
    <row r="20" spans="1:9" ht="22.5" x14ac:dyDescent="0.25">
      <c r="A20" s="374">
        <v>1200</v>
      </c>
      <c r="B20" s="372" t="s">
        <v>480</v>
      </c>
      <c r="C20" s="427">
        <v>2182566.3062395351</v>
      </c>
      <c r="D20" s="427">
        <v>-954506.50999999989</v>
      </c>
      <c r="E20" s="427">
        <v>1228059.7962395353</v>
      </c>
      <c r="F20" s="427">
        <v>1228059.49</v>
      </c>
      <c r="G20" s="427">
        <v>1182961.1599999999</v>
      </c>
      <c r="H20" s="427">
        <v>0.30623953533358872</v>
      </c>
      <c r="I20" s="373">
        <v>0.99999975063141366</v>
      </c>
    </row>
    <row r="21" spans="1:9" x14ac:dyDescent="0.25">
      <c r="A21" s="375">
        <v>121</v>
      </c>
      <c r="B21" s="372" t="s">
        <v>481</v>
      </c>
      <c r="C21" s="427">
        <v>2182566.3062395351</v>
      </c>
      <c r="D21" s="427">
        <v>-1350437.63</v>
      </c>
      <c r="E21" s="427">
        <v>832128.67623953521</v>
      </c>
      <c r="F21" s="427">
        <v>832128.37</v>
      </c>
      <c r="G21" s="427">
        <v>794890.34</v>
      </c>
      <c r="H21" s="427">
        <v>0.3062395352171734</v>
      </c>
      <c r="I21" s="373">
        <v>0.99999963198055308</v>
      </c>
    </row>
    <row r="22" spans="1:9" x14ac:dyDescent="0.25">
      <c r="A22" s="376">
        <v>12101</v>
      </c>
      <c r="B22" s="377" t="s">
        <v>482</v>
      </c>
      <c r="C22" s="428">
        <v>2182566.3062395351</v>
      </c>
      <c r="D22" s="428">
        <v>-1350437.63</v>
      </c>
      <c r="E22" s="427">
        <v>832128.67623953521</v>
      </c>
      <c r="F22" s="428">
        <v>832128.37</v>
      </c>
      <c r="G22" s="428">
        <v>794890.34</v>
      </c>
      <c r="H22" s="427">
        <v>0.3062395352171734</v>
      </c>
      <c r="I22" s="373">
        <v>0.99999963198055308</v>
      </c>
    </row>
    <row r="23" spans="1:9" x14ac:dyDescent="0.25">
      <c r="A23" s="375">
        <v>122</v>
      </c>
      <c r="B23" s="372" t="s">
        <v>483</v>
      </c>
      <c r="C23" s="427">
        <v>0</v>
      </c>
      <c r="D23" s="427">
        <v>395931.12</v>
      </c>
      <c r="E23" s="427">
        <v>395931.12</v>
      </c>
      <c r="F23" s="427">
        <v>395931.12</v>
      </c>
      <c r="G23" s="427">
        <v>388070.82</v>
      </c>
      <c r="H23" s="427">
        <v>0</v>
      </c>
      <c r="I23" s="373">
        <v>1</v>
      </c>
    </row>
    <row r="24" spans="1:9" x14ac:dyDescent="0.25">
      <c r="A24" s="376">
        <v>12201</v>
      </c>
      <c r="B24" s="377" t="s">
        <v>483</v>
      </c>
      <c r="C24" s="428">
        <v>0</v>
      </c>
      <c r="D24" s="428">
        <v>395931.12</v>
      </c>
      <c r="E24" s="427">
        <v>395931.12</v>
      </c>
      <c r="F24" s="428">
        <v>395931.12</v>
      </c>
      <c r="G24" s="428">
        <v>388070.82</v>
      </c>
      <c r="H24" s="427">
        <v>0</v>
      </c>
      <c r="I24" s="373">
        <v>1</v>
      </c>
    </row>
    <row r="25" spans="1:9" ht="25.5" customHeight="1" x14ac:dyDescent="0.25">
      <c r="A25" s="374">
        <v>1300</v>
      </c>
      <c r="B25" s="372" t="s">
        <v>484</v>
      </c>
      <c r="C25" s="427">
        <v>19695507.8909165</v>
      </c>
      <c r="D25" s="427">
        <v>12025337.08</v>
      </c>
      <c r="E25" s="427">
        <v>31720844.970916502</v>
      </c>
      <c r="F25" s="427">
        <v>31720844.870000005</v>
      </c>
      <c r="G25" s="427">
        <v>31513504.610000003</v>
      </c>
      <c r="H25" s="427">
        <v>0.10091649740934372</v>
      </c>
      <c r="I25" s="373">
        <v>0.9999999968186063</v>
      </c>
    </row>
    <row r="26" spans="1:9" ht="29.25" customHeight="1" x14ac:dyDescent="0.25">
      <c r="A26" s="375">
        <v>131</v>
      </c>
      <c r="B26" s="372" t="s">
        <v>485</v>
      </c>
      <c r="C26" s="427">
        <v>5393770.4297158383</v>
      </c>
      <c r="D26" s="427">
        <v>93686.06</v>
      </c>
      <c r="E26" s="427">
        <v>5487456.4897158379</v>
      </c>
      <c r="F26" s="427">
        <v>5487456.5499999998</v>
      </c>
      <c r="G26" s="427">
        <v>5486783.2799999993</v>
      </c>
      <c r="H26" s="427">
        <v>-6.0284161940217018E-2</v>
      </c>
      <c r="I26" s="373">
        <v>1.0000000109858114</v>
      </c>
    </row>
    <row r="27" spans="1:9" ht="39" customHeight="1" x14ac:dyDescent="0.25">
      <c r="A27" s="376">
        <v>13101</v>
      </c>
      <c r="B27" s="377" t="s">
        <v>486</v>
      </c>
      <c r="C27" s="428">
        <v>5393770.4297158383</v>
      </c>
      <c r="D27" s="428">
        <v>93686.06</v>
      </c>
      <c r="E27" s="427">
        <v>5487456.4897158379</v>
      </c>
      <c r="F27" s="428">
        <v>5487456.5499999998</v>
      </c>
      <c r="G27" s="428">
        <v>5486783.2799999993</v>
      </c>
      <c r="H27" s="427">
        <v>-6.0284161940217018E-2</v>
      </c>
      <c r="I27" s="373">
        <v>1.0000000109858114</v>
      </c>
    </row>
    <row r="28" spans="1:9" ht="27" customHeight="1" x14ac:dyDescent="0.25">
      <c r="A28" s="375">
        <v>132</v>
      </c>
      <c r="B28" s="441" t="s">
        <v>487</v>
      </c>
      <c r="C28" s="427">
        <v>7600743.5801322078</v>
      </c>
      <c r="D28" s="427">
        <v>-1158050.1400000001</v>
      </c>
      <c r="E28" s="427">
        <v>6442693.4401322082</v>
      </c>
      <c r="F28" s="427">
        <v>6442693.2800000003</v>
      </c>
      <c r="G28" s="427">
        <v>6242323.6700000009</v>
      </c>
      <c r="H28" s="427">
        <v>0.1601322079077363</v>
      </c>
      <c r="I28" s="373">
        <v>0.99999997514514549</v>
      </c>
    </row>
    <row r="29" spans="1:9" x14ac:dyDescent="0.25">
      <c r="A29" s="376">
        <v>13201</v>
      </c>
      <c r="B29" s="377" t="s">
        <v>488</v>
      </c>
      <c r="C29" s="439">
        <f>'[6]Por organismos DIC'!I33</f>
        <v>3628788.4598680851</v>
      </c>
      <c r="D29" s="439">
        <f>'[6]Por organismos DIC'!P33</f>
        <v>-257993.11</v>
      </c>
      <c r="E29" s="440">
        <f t="shared" ref="E29:E36" si="0">+C29+D29</f>
        <v>3370795.3498680852</v>
      </c>
      <c r="F29" s="439">
        <f>'[6]Por organismos DIC'!X33</f>
        <v>3370795.2199999997</v>
      </c>
      <c r="G29" s="439">
        <f>'[6]Por organismos DIC'!AE33</f>
        <v>3353657.8600000003</v>
      </c>
      <c r="H29" s="440">
        <f t="shared" ref="H29:H36" si="1">+E29-F29</f>
        <v>0.12986808549612761</v>
      </c>
      <c r="I29" s="373">
        <f t="shared" ref="I29:I36" si="2">+F29/E29</f>
        <v>0.99999996147256898</v>
      </c>
    </row>
    <row r="30" spans="1:9" x14ac:dyDescent="0.25">
      <c r="A30" s="376">
        <v>13202</v>
      </c>
      <c r="B30" s="377" t="s">
        <v>489</v>
      </c>
      <c r="C30" s="439">
        <f>'[6]Por organismos DIC'!I34</f>
        <v>3778937.9802641235</v>
      </c>
      <c r="D30" s="439">
        <f>'[6]Por organismos DIC'!P34</f>
        <v>-918832.17999999993</v>
      </c>
      <c r="E30" s="440">
        <f t="shared" si="0"/>
        <v>2860105.8002641238</v>
      </c>
      <c r="F30" s="439">
        <f>'[6]Por organismos DIC'!X34</f>
        <v>2860105.77</v>
      </c>
      <c r="G30" s="439">
        <f>'[6]Por organismos DIC'!AE34</f>
        <v>2676873.52</v>
      </c>
      <c r="H30" s="440">
        <f t="shared" si="1"/>
        <v>3.0264123808592558E-2</v>
      </c>
      <c r="I30" s="373">
        <f t="shared" si="2"/>
        <v>0.99999998941852997</v>
      </c>
    </row>
    <row r="31" spans="1:9" x14ac:dyDescent="0.25">
      <c r="A31" s="376">
        <v>13203</v>
      </c>
      <c r="B31" s="377" t="s">
        <v>490</v>
      </c>
      <c r="C31" s="439">
        <f>'[6]Por organismos DIC'!I35</f>
        <v>97958.47</v>
      </c>
      <c r="D31" s="439">
        <f>'[6]Por organismos DIC'!P35</f>
        <v>26563.98</v>
      </c>
      <c r="E31" s="440">
        <f t="shared" si="0"/>
        <v>124522.45</v>
      </c>
      <c r="F31" s="439">
        <f>'[6]Por organismos DIC'!X35</f>
        <v>124522.45</v>
      </c>
      <c r="G31" s="439">
        <f>'[6]Por organismos DIC'!AE35</f>
        <v>124522.45</v>
      </c>
      <c r="H31" s="440">
        <f t="shared" si="1"/>
        <v>0</v>
      </c>
      <c r="I31" s="373">
        <f t="shared" si="2"/>
        <v>1</v>
      </c>
    </row>
    <row r="32" spans="1:9" x14ac:dyDescent="0.25">
      <c r="A32" s="376">
        <v>13204</v>
      </c>
      <c r="B32" s="377" t="s">
        <v>491</v>
      </c>
      <c r="C32" s="439">
        <f>'[6]Por organismos DIC'!I36</f>
        <v>95058.67</v>
      </c>
      <c r="D32" s="439">
        <f>'[6]Por organismos DIC'!P36</f>
        <v>-7788.83</v>
      </c>
      <c r="E32" s="440">
        <f t="shared" si="0"/>
        <v>87269.84</v>
      </c>
      <c r="F32" s="439">
        <f>'[6]Por organismos DIC'!X36</f>
        <v>87269.84</v>
      </c>
      <c r="G32" s="439">
        <f>'[6]Por organismos DIC'!AE36</f>
        <v>87269.84</v>
      </c>
      <c r="H32" s="440">
        <f t="shared" si="1"/>
        <v>0</v>
      </c>
      <c r="I32" s="373">
        <f t="shared" si="2"/>
        <v>1</v>
      </c>
    </row>
    <row r="33" spans="1:9" x14ac:dyDescent="0.25">
      <c r="A33" s="375">
        <v>133</v>
      </c>
      <c r="B33" s="372" t="s">
        <v>492</v>
      </c>
      <c r="C33" s="440">
        <f>C34</f>
        <v>6532993.8810684541</v>
      </c>
      <c r="D33" s="440">
        <f>D34</f>
        <v>13089701.16</v>
      </c>
      <c r="E33" s="440">
        <f t="shared" si="0"/>
        <v>19622695.041068453</v>
      </c>
      <c r="F33" s="440">
        <f>F34</f>
        <v>19622695.040000003</v>
      </c>
      <c r="G33" s="440">
        <f>G34</f>
        <v>19616397.660000004</v>
      </c>
      <c r="H33" s="440">
        <f t="shared" si="1"/>
        <v>1.0684505105018616E-3</v>
      </c>
      <c r="I33" s="373">
        <f t="shared" si="2"/>
        <v>0.99999999994555022</v>
      </c>
    </row>
    <row r="34" spans="1:9" ht="22.5" x14ac:dyDescent="0.25">
      <c r="A34" s="376">
        <v>13301</v>
      </c>
      <c r="B34" s="377" t="s">
        <v>493</v>
      </c>
      <c r="C34" s="439">
        <f>'[6]Por organismos DIC'!I38</f>
        <v>6532993.8810684541</v>
      </c>
      <c r="D34" s="439">
        <f>'[6]Por organismos DIC'!P38</f>
        <v>13089701.16</v>
      </c>
      <c r="E34" s="440">
        <f t="shared" si="0"/>
        <v>19622695.041068453</v>
      </c>
      <c r="F34" s="439">
        <f>'[6]Por organismos DIC'!X38</f>
        <v>19622695.040000003</v>
      </c>
      <c r="G34" s="439">
        <f>'[6]Por organismos DIC'!AE38</f>
        <v>19616397.660000004</v>
      </c>
      <c r="H34" s="440">
        <f t="shared" si="1"/>
        <v>1.0684505105018616E-3</v>
      </c>
      <c r="I34" s="373">
        <f t="shared" si="2"/>
        <v>0.99999999994555022</v>
      </c>
    </row>
    <row r="35" spans="1:9" x14ac:dyDescent="0.25">
      <c r="A35" s="375">
        <v>134</v>
      </c>
      <c r="B35" s="372" t="s">
        <v>494</v>
      </c>
      <c r="C35" s="440">
        <f>C36</f>
        <v>168000</v>
      </c>
      <c r="D35" s="440">
        <f>D36</f>
        <v>0</v>
      </c>
      <c r="E35" s="440">
        <f t="shared" si="0"/>
        <v>168000</v>
      </c>
      <c r="F35" s="440">
        <f>F36</f>
        <v>168000</v>
      </c>
      <c r="G35" s="440">
        <f>G36</f>
        <v>168000</v>
      </c>
      <c r="H35" s="440">
        <f t="shared" si="1"/>
        <v>0</v>
      </c>
      <c r="I35" s="373">
        <f t="shared" si="2"/>
        <v>1</v>
      </c>
    </row>
    <row r="36" spans="1:9" x14ac:dyDescent="0.25">
      <c r="A36" s="376">
        <v>13403</v>
      </c>
      <c r="B36" s="377" t="s">
        <v>495</v>
      </c>
      <c r="C36" s="439">
        <f>'[6]Por organismos DIC'!I40</f>
        <v>168000</v>
      </c>
      <c r="D36" s="439">
        <f>'[6]Por organismos DIC'!P40</f>
        <v>0</v>
      </c>
      <c r="E36" s="440">
        <f t="shared" si="0"/>
        <v>168000</v>
      </c>
      <c r="F36" s="439">
        <f>'[6]Por organismos DIC'!X40</f>
        <v>168000</v>
      </c>
      <c r="G36" s="439">
        <f>'[6]Por organismos DIC'!AE40</f>
        <v>168000</v>
      </c>
      <c r="H36" s="440">
        <f t="shared" si="1"/>
        <v>0</v>
      </c>
      <c r="I36" s="373">
        <f t="shared" si="2"/>
        <v>1</v>
      </c>
    </row>
    <row r="37" spans="1:9" x14ac:dyDescent="0.25">
      <c r="A37" s="374">
        <v>1400</v>
      </c>
      <c r="B37" s="372" t="s">
        <v>496</v>
      </c>
      <c r="C37" s="440">
        <v>43659190.108648501</v>
      </c>
      <c r="D37" s="440">
        <v>60272.739999999292</v>
      </c>
      <c r="E37" s="440">
        <v>43719462.848648503</v>
      </c>
      <c r="F37" s="440">
        <v>43719358.630000003</v>
      </c>
      <c r="G37" s="440">
        <v>39056946.869999997</v>
      </c>
      <c r="H37" s="440">
        <v>104.21864850074053</v>
      </c>
      <c r="I37" s="373">
        <v>0.99999761619558636</v>
      </c>
    </row>
    <row r="38" spans="1:9" ht="27.75" customHeight="1" x14ac:dyDescent="0.25">
      <c r="A38" s="375">
        <v>141</v>
      </c>
      <c r="B38" s="372" t="s">
        <v>497</v>
      </c>
      <c r="C38" s="440">
        <v>38759006.598602422</v>
      </c>
      <c r="D38" s="440">
        <v>3917819.92</v>
      </c>
      <c r="E38" s="440">
        <v>42676826.518602423</v>
      </c>
      <c r="F38" s="440">
        <v>42676825.780000001</v>
      </c>
      <c r="G38" s="440">
        <v>38015093.439999998</v>
      </c>
      <c r="H38" s="440">
        <v>0.7386024221777916</v>
      </c>
      <c r="I38" s="373">
        <v>0.99999998269312684</v>
      </c>
    </row>
    <row r="39" spans="1:9" x14ac:dyDescent="0.25">
      <c r="A39" s="376">
        <v>14106</v>
      </c>
      <c r="B39" s="377" t="s">
        <v>498</v>
      </c>
      <c r="C39" s="439">
        <v>26873552.598602422</v>
      </c>
      <c r="D39" s="439">
        <v>1590204.9800000002</v>
      </c>
      <c r="E39" s="440">
        <v>28463757.578602422</v>
      </c>
      <c r="F39" s="439">
        <v>28463757.289999999</v>
      </c>
      <c r="G39" s="439">
        <v>24953199.850000001</v>
      </c>
      <c r="H39" s="440">
        <v>0.28860242292284966</v>
      </c>
      <c r="I39" s="373">
        <v>0.99999998986070537</v>
      </c>
    </row>
    <row r="40" spans="1:9" ht="22.5" x14ac:dyDescent="0.25">
      <c r="A40" s="376">
        <v>14109</v>
      </c>
      <c r="B40" s="377" t="s">
        <v>499</v>
      </c>
      <c r="C40" s="439">
        <v>11885454.000000002</v>
      </c>
      <c r="D40" s="439">
        <v>2327614.94</v>
      </c>
      <c r="E40" s="440">
        <v>14213068.940000001</v>
      </c>
      <c r="F40" s="439">
        <v>14213068.49</v>
      </c>
      <c r="G40" s="439">
        <v>13061893.59</v>
      </c>
      <c r="H40" s="440">
        <v>0.45000000111758709</v>
      </c>
      <c r="I40" s="373">
        <v>0.99999996833899818</v>
      </c>
    </row>
    <row r="41" spans="1:9" ht="22.5" x14ac:dyDescent="0.25">
      <c r="A41" s="375">
        <v>143</v>
      </c>
      <c r="B41" s="372" t="s">
        <v>500</v>
      </c>
      <c r="C41" s="440">
        <v>524235.13</v>
      </c>
      <c r="D41" s="440">
        <v>26708.65</v>
      </c>
      <c r="E41" s="440">
        <v>550943.78</v>
      </c>
      <c r="F41" s="440">
        <v>550943.78</v>
      </c>
      <c r="G41" s="440">
        <v>550943.78</v>
      </c>
      <c r="H41" s="440">
        <v>0</v>
      </c>
      <c r="I41" s="373">
        <v>1</v>
      </c>
    </row>
    <row r="42" spans="1:9" ht="22.5" x14ac:dyDescent="0.25">
      <c r="A42" s="376">
        <v>14303</v>
      </c>
      <c r="B42" s="377" t="s">
        <v>501</v>
      </c>
      <c r="C42" s="439">
        <v>524235.13</v>
      </c>
      <c r="D42" s="439">
        <v>26708.65</v>
      </c>
      <c r="E42" s="440">
        <v>550943.78</v>
      </c>
      <c r="F42" s="439">
        <v>550943.78</v>
      </c>
      <c r="G42" s="439">
        <v>550943.78</v>
      </c>
      <c r="H42" s="440">
        <v>0</v>
      </c>
      <c r="I42" s="373">
        <v>1</v>
      </c>
    </row>
    <row r="43" spans="1:9" x14ac:dyDescent="0.25">
      <c r="A43" s="375">
        <v>144</v>
      </c>
      <c r="B43" s="372" t="s">
        <v>502</v>
      </c>
      <c r="C43" s="440">
        <v>4375948.3800460789</v>
      </c>
      <c r="D43" s="440">
        <v>-3884255.8300000005</v>
      </c>
      <c r="E43" s="440">
        <v>491692.5500460784</v>
      </c>
      <c r="F43" s="440">
        <v>491589.06999999995</v>
      </c>
      <c r="G43" s="440">
        <v>490909.64999999997</v>
      </c>
      <c r="H43" s="440">
        <v>103.48004607844632</v>
      </c>
      <c r="I43" s="373">
        <v>0.99978954318899327</v>
      </c>
    </row>
    <row r="44" spans="1:9" x14ac:dyDescent="0.25">
      <c r="A44" s="376">
        <v>14402</v>
      </c>
      <c r="B44" s="377" t="s">
        <v>503</v>
      </c>
      <c r="C44" s="439">
        <v>20856</v>
      </c>
      <c r="D44" s="439">
        <v>40020</v>
      </c>
      <c r="E44" s="440">
        <v>60876</v>
      </c>
      <c r="F44" s="439">
        <v>60876</v>
      </c>
      <c r="G44" s="439">
        <v>60876</v>
      </c>
      <c r="H44" s="440">
        <v>0</v>
      </c>
      <c r="I44" s="373">
        <v>1</v>
      </c>
    </row>
    <row r="45" spans="1:9" ht="22.5" x14ac:dyDescent="0.25">
      <c r="A45" s="376">
        <v>14403</v>
      </c>
      <c r="B45" s="377" t="s">
        <v>504</v>
      </c>
      <c r="C45" s="439">
        <v>4350394.3800460789</v>
      </c>
      <c r="D45" s="439">
        <v>-3922925.8300000005</v>
      </c>
      <c r="E45" s="440">
        <v>427468.5500460784</v>
      </c>
      <c r="F45" s="439">
        <v>427365.06999999995</v>
      </c>
      <c r="G45" s="439">
        <v>426685.64999999997</v>
      </c>
      <c r="H45" s="440">
        <v>103.48004607844632</v>
      </c>
      <c r="I45" s="373">
        <v>0.99975792360381299</v>
      </c>
    </row>
    <row r="46" spans="1:9" x14ac:dyDescent="0.25">
      <c r="A46" s="376">
        <v>14406</v>
      </c>
      <c r="B46" s="377" t="s">
        <v>505</v>
      </c>
      <c r="C46" s="439">
        <v>4698</v>
      </c>
      <c r="D46" s="439">
        <v>-1350</v>
      </c>
      <c r="E46" s="440">
        <v>3348</v>
      </c>
      <c r="F46" s="439">
        <v>3348</v>
      </c>
      <c r="G46" s="439">
        <v>3348</v>
      </c>
      <c r="H46" s="440">
        <v>0</v>
      </c>
      <c r="I46" s="373">
        <v>1</v>
      </c>
    </row>
    <row r="47" spans="1:9" ht="25.5" customHeight="1" x14ac:dyDescent="0.25">
      <c r="A47" s="374">
        <v>1500</v>
      </c>
      <c r="B47" s="372" t="s">
        <v>506</v>
      </c>
      <c r="C47" s="440">
        <v>36414157.083194152</v>
      </c>
      <c r="D47" s="440">
        <v>60188.140000000596</v>
      </c>
      <c r="E47" s="440">
        <v>36474345.223194152</v>
      </c>
      <c r="F47" s="440">
        <v>36464809.519999996</v>
      </c>
      <c r="G47" s="440">
        <v>34092861.209999993</v>
      </c>
      <c r="H47" s="440">
        <v>9535.7031941562891</v>
      </c>
      <c r="I47" s="373">
        <v>0.99973856410208861</v>
      </c>
    </row>
    <row r="48" spans="1:9" ht="22.5" customHeight="1" x14ac:dyDescent="0.25">
      <c r="A48" s="375">
        <v>151</v>
      </c>
      <c r="B48" s="372" t="s">
        <v>507</v>
      </c>
      <c r="C48" s="440">
        <v>7607785.3750730222</v>
      </c>
      <c r="D48" s="440">
        <v>-434189.29000000004</v>
      </c>
      <c r="E48" s="440">
        <v>7173596.0850730222</v>
      </c>
      <c r="F48" s="440">
        <v>7173595.6299999999</v>
      </c>
      <c r="G48" s="440">
        <v>6495050.3800000008</v>
      </c>
      <c r="H48" s="440">
        <v>0.45507302228361368</v>
      </c>
      <c r="I48" s="373">
        <v>0.99999993656277597</v>
      </c>
    </row>
    <row r="49" spans="1:9" ht="33.75" x14ac:dyDescent="0.25">
      <c r="A49" s="376">
        <v>15101</v>
      </c>
      <c r="B49" s="377" t="s">
        <v>508</v>
      </c>
      <c r="C49" s="439">
        <v>7607785.3750730222</v>
      </c>
      <c r="D49" s="439">
        <v>-434189.29000000004</v>
      </c>
      <c r="E49" s="440">
        <v>7173596.0850730222</v>
      </c>
      <c r="F49" s="439">
        <v>7173595.6299999999</v>
      </c>
      <c r="G49" s="439">
        <v>6495050.3800000008</v>
      </c>
      <c r="H49" s="440">
        <v>0.45507302228361368</v>
      </c>
      <c r="I49" s="373">
        <v>0.99999993656277597</v>
      </c>
    </row>
    <row r="50" spans="1:9" x14ac:dyDescent="0.25">
      <c r="A50" s="375">
        <v>152</v>
      </c>
      <c r="B50" s="372" t="s">
        <v>509</v>
      </c>
      <c r="C50" s="440">
        <v>4928.2679996987245</v>
      </c>
      <c r="D50" s="440">
        <v>5360969.5300000012</v>
      </c>
      <c r="E50" s="440">
        <v>5365897.7979996996</v>
      </c>
      <c r="F50" s="440">
        <v>5365898.209999999</v>
      </c>
      <c r="G50" s="440">
        <v>4623409.6199999992</v>
      </c>
      <c r="H50" s="440">
        <v>-0.41200029943138361</v>
      </c>
      <c r="I50" s="373">
        <v>1.0000000767812425</v>
      </c>
    </row>
    <row r="51" spans="1:9" x14ac:dyDescent="0.25">
      <c r="A51" s="376">
        <v>15201</v>
      </c>
      <c r="B51" s="377" t="s">
        <v>510</v>
      </c>
      <c r="C51" s="439">
        <v>0</v>
      </c>
      <c r="D51" s="439">
        <v>5365897.8000000007</v>
      </c>
      <c r="E51" s="440">
        <v>5365897.8000000007</v>
      </c>
      <c r="F51" s="439">
        <v>5365898.209999999</v>
      </c>
      <c r="G51" s="439">
        <v>4623409.6199999992</v>
      </c>
      <c r="H51" s="440">
        <v>-0.40999999828636646</v>
      </c>
      <c r="I51" s="373">
        <v>1.000000076408462</v>
      </c>
    </row>
    <row r="52" spans="1:9" x14ac:dyDescent="0.25">
      <c r="A52" s="376">
        <v>15202</v>
      </c>
      <c r="B52" s="377" t="s">
        <v>511</v>
      </c>
      <c r="C52" s="439">
        <v>4928.2679996987245</v>
      </c>
      <c r="D52" s="439">
        <v>-4928.2700000000004</v>
      </c>
      <c r="E52" s="440">
        <v>-2.0003012759843841E-3</v>
      </c>
      <c r="F52" s="439">
        <v>0</v>
      </c>
      <c r="G52" s="439">
        <v>0</v>
      </c>
      <c r="H52" s="440">
        <v>-2.0003012759843841E-3</v>
      </c>
      <c r="I52" s="373">
        <v>0</v>
      </c>
    </row>
    <row r="53" spans="1:9" hidden="1" x14ac:dyDescent="0.25">
      <c r="A53" s="376">
        <v>15203</v>
      </c>
      <c r="B53" s="377" t="s">
        <v>512</v>
      </c>
      <c r="C53" s="439">
        <v>0</v>
      </c>
      <c r="D53" s="439">
        <v>0</v>
      </c>
      <c r="E53" s="440">
        <v>0</v>
      </c>
      <c r="F53" s="439">
        <v>0</v>
      </c>
      <c r="G53" s="439">
        <v>0</v>
      </c>
      <c r="H53" s="440">
        <v>0</v>
      </c>
      <c r="I53" s="373" t="e">
        <v>#DIV/0!</v>
      </c>
    </row>
    <row r="54" spans="1:9" x14ac:dyDescent="0.25">
      <c r="A54" s="375">
        <v>154</v>
      </c>
      <c r="B54" s="372" t="s">
        <v>513</v>
      </c>
      <c r="C54" s="440">
        <v>8796785.9925813675</v>
      </c>
      <c r="D54" s="440">
        <v>1160806.3400000001</v>
      </c>
      <c r="E54" s="440">
        <v>9957592.3325813673</v>
      </c>
      <c r="F54" s="440">
        <v>9948056.5899999999</v>
      </c>
      <c r="G54" s="440">
        <v>9946808.4799999986</v>
      </c>
      <c r="H54" s="440">
        <v>9535.7425813674927</v>
      </c>
      <c r="I54" s="373">
        <v>0.99904236463365081</v>
      </c>
    </row>
    <row r="55" spans="1:9" ht="33.75" x14ac:dyDescent="0.25">
      <c r="A55" s="376">
        <v>15404</v>
      </c>
      <c r="B55" s="377" t="s">
        <v>514</v>
      </c>
      <c r="C55" s="439">
        <v>748092.34</v>
      </c>
      <c r="D55" s="439">
        <v>190904.58000000002</v>
      </c>
      <c r="E55" s="440">
        <v>938996.91999999993</v>
      </c>
      <c r="F55" s="439">
        <v>938996.91999999993</v>
      </c>
      <c r="G55" s="439">
        <v>938996.91999999993</v>
      </c>
      <c r="H55" s="440">
        <v>0</v>
      </c>
      <c r="I55" s="373">
        <v>1</v>
      </c>
    </row>
    <row r="56" spans="1:9" x14ac:dyDescent="0.25">
      <c r="A56" s="376">
        <v>15409</v>
      </c>
      <c r="B56" s="377" t="s">
        <v>515</v>
      </c>
      <c r="C56" s="439">
        <v>5057158.537623791</v>
      </c>
      <c r="D56" s="439">
        <v>698927.41999999993</v>
      </c>
      <c r="E56" s="440">
        <v>5756085.9576237909</v>
      </c>
      <c r="F56" s="439">
        <v>5756085.5200000005</v>
      </c>
      <c r="G56" s="439">
        <v>5754837.4100000001</v>
      </c>
      <c r="H56" s="440">
        <v>0.43762379046529531</v>
      </c>
      <c r="I56" s="373">
        <v>0.99999992397198478</v>
      </c>
    </row>
    <row r="57" spans="1:9" ht="22.5" x14ac:dyDescent="0.25">
      <c r="A57" s="376">
        <v>15413</v>
      </c>
      <c r="B57" s="377" t="s">
        <v>516</v>
      </c>
      <c r="C57" s="439">
        <v>17340</v>
      </c>
      <c r="D57" s="439">
        <v>540</v>
      </c>
      <c r="E57" s="440">
        <v>17880</v>
      </c>
      <c r="F57" s="439">
        <v>17880</v>
      </c>
      <c r="G57" s="439">
        <v>17880</v>
      </c>
      <c r="H57" s="440">
        <v>0</v>
      </c>
      <c r="I57" s="373">
        <v>1</v>
      </c>
    </row>
    <row r="58" spans="1:9" x14ac:dyDescent="0.25">
      <c r="A58" s="376">
        <v>15416</v>
      </c>
      <c r="B58" s="377" t="s">
        <v>517</v>
      </c>
      <c r="C58" s="439">
        <v>45600</v>
      </c>
      <c r="D58" s="439">
        <v>-18050</v>
      </c>
      <c r="E58" s="440">
        <v>27550</v>
      </c>
      <c r="F58" s="439">
        <v>27550</v>
      </c>
      <c r="G58" s="439">
        <v>27550</v>
      </c>
      <c r="H58" s="440">
        <v>0</v>
      </c>
      <c r="I58" s="373">
        <v>1</v>
      </c>
    </row>
    <row r="59" spans="1:9" x14ac:dyDescent="0.25">
      <c r="A59" s="376">
        <v>15417</v>
      </c>
      <c r="B59" s="377" t="s">
        <v>518</v>
      </c>
      <c r="C59" s="439">
        <v>403512</v>
      </c>
      <c r="D59" s="439">
        <v>111314.36</v>
      </c>
      <c r="E59" s="440">
        <v>514826.36</v>
      </c>
      <c r="F59" s="439">
        <v>514826.36</v>
      </c>
      <c r="G59" s="439">
        <v>514826.36</v>
      </c>
      <c r="H59" s="440">
        <v>0</v>
      </c>
      <c r="I59" s="373">
        <v>1</v>
      </c>
    </row>
    <row r="60" spans="1:9" ht="22.5" x14ac:dyDescent="0.25">
      <c r="A60" s="376">
        <v>15418</v>
      </c>
      <c r="B60" s="377" t="s">
        <v>519</v>
      </c>
      <c r="C60" s="439">
        <v>194585.49</v>
      </c>
      <c r="D60" s="439">
        <v>-15968.72</v>
      </c>
      <c r="E60" s="440">
        <v>178616.77</v>
      </c>
      <c r="F60" s="439">
        <v>178616.77</v>
      </c>
      <c r="G60" s="439">
        <v>178616.77</v>
      </c>
      <c r="H60" s="440">
        <v>0</v>
      </c>
      <c r="I60" s="373">
        <v>1</v>
      </c>
    </row>
    <row r="61" spans="1:9" x14ac:dyDescent="0.25">
      <c r="A61" s="376">
        <v>15419</v>
      </c>
      <c r="B61" s="377" t="s">
        <v>520</v>
      </c>
      <c r="C61" s="439">
        <v>1883606.6249575764</v>
      </c>
      <c r="D61" s="439">
        <v>182307</v>
      </c>
      <c r="E61" s="440">
        <v>2065913.6249575764</v>
      </c>
      <c r="F61" s="439">
        <v>2065913.32</v>
      </c>
      <c r="G61" s="439">
        <v>2065913.32</v>
      </c>
      <c r="H61" s="440">
        <v>0.30495757632888854</v>
      </c>
      <c r="I61" s="373">
        <v>0.99999985238609557</v>
      </c>
    </row>
    <row r="62" spans="1:9" ht="22.5" x14ac:dyDescent="0.25">
      <c r="A62" s="376">
        <v>15420</v>
      </c>
      <c r="B62" s="377" t="s">
        <v>521</v>
      </c>
      <c r="C62" s="439">
        <v>21000</v>
      </c>
      <c r="D62" s="439">
        <v>21720</v>
      </c>
      <c r="E62" s="440">
        <v>42720</v>
      </c>
      <c r="F62" s="439">
        <v>42720</v>
      </c>
      <c r="G62" s="439">
        <v>42720</v>
      </c>
      <c r="H62" s="440">
        <v>0</v>
      </c>
      <c r="I62" s="373">
        <v>1</v>
      </c>
    </row>
    <row r="63" spans="1:9" x14ac:dyDescent="0.25">
      <c r="A63" s="376">
        <v>15421</v>
      </c>
      <c r="B63" s="377" t="s">
        <v>522</v>
      </c>
      <c r="C63" s="439">
        <v>27455</v>
      </c>
      <c r="D63" s="439">
        <v>0</v>
      </c>
      <c r="E63" s="440">
        <v>27455</v>
      </c>
      <c r="F63" s="439">
        <v>17920</v>
      </c>
      <c r="G63" s="439">
        <v>17920</v>
      </c>
      <c r="H63" s="440">
        <v>9535</v>
      </c>
      <c r="I63" s="373">
        <v>0.65270442542342011</v>
      </c>
    </row>
    <row r="64" spans="1:9" x14ac:dyDescent="0.25">
      <c r="A64" s="376">
        <v>15423</v>
      </c>
      <c r="B64" s="377" t="s">
        <v>523</v>
      </c>
      <c r="C64" s="439">
        <v>28350</v>
      </c>
      <c r="D64" s="439">
        <v>-1340</v>
      </c>
      <c r="E64" s="440">
        <v>27010</v>
      </c>
      <c r="F64" s="439">
        <v>27010</v>
      </c>
      <c r="G64" s="439">
        <v>27010</v>
      </c>
      <c r="H64" s="440">
        <v>0</v>
      </c>
      <c r="I64" s="373">
        <v>1</v>
      </c>
    </row>
    <row r="65" spans="1:9" x14ac:dyDescent="0.25">
      <c r="A65" s="376">
        <v>15424</v>
      </c>
      <c r="B65" s="377" t="s">
        <v>524</v>
      </c>
      <c r="C65" s="439">
        <v>21600</v>
      </c>
      <c r="D65" s="439">
        <v>-5450</v>
      </c>
      <c r="E65" s="440">
        <v>16150</v>
      </c>
      <c r="F65" s="439">
        <v>16150</v>
      </c>
      <c r="G65" s="439">
        <v>16150</v>
      </c>
      <c r="H65" s="440">
        <v>0</v>
      </c>
      <c r="I65" s="373">
        <v>1</v>
      </c>
    </row>
    <row r="66" spans="1:9" ht="22.5" x14ac:dyDescent="0.25">
      <c r="A66" s="376">
        <v>15425</v>
      </c>
      <c r="B66" s="377" t="s">
        <v>525</v>
      </c>
      <c r="C66" s="439">
        <v>220176</v>
      </c>
      <c r="D66" s="439">
        <v>11439.2</v>
      </c>
      <c r="E66" s="440">
        <v>231615.2</v>
      </c>
      <c r="F66" s="439">
        <v>231615.2</v>
      </c>
      <c r="G66" s="439">
        <v>231615.2</v>
      </c>
      <c r="H66" s="440">
        <v>0</v>
      </c>
      <c r="I66" s="373">
        <v>1</v>
      </c>
    </row>
    <row r="67" spans="1:9" ht="33.75" x14ac:dyDescent="0.25">
      <c r="A67" s="376">
        <v>15426</v>
      </c>
      <c r="B67" s="377" t="s">
        <v>526</v>
      </c>
      <c r="C67" s="439">
        <v>13560</v>
      </c>
      <c r="D67" s="439">
        <v>1412.5</v>
      </c>
      <c r="E67" s="440">
        <v>14972.5</v>
      </c>
      <c r="F67" s="439">
        <v>14972.5</v>
      </c>
      <c r="G67" s="439">
        <v>14972.5</v>
      </c>
      <c r="H67" s="440">
        <v>0</v>
      </c>
      <c r="I67" s="373">
        <v>1</v>
      </c>
    </row>
    <row r="68" spans="1:9" ht="22.5" x14ac:dyDescent="0.25">
      <c r="A68" s="376">
        <v>15427</v>
      </c>
      <c r="B68" s="377" t="s">
        <v>527</v>
      </c>
      <c r="C68" s="439">
        <v>81000</v>
      </c>
      <c r="D68" s="439">
        <v>-14400</v>
      </c>
      <c r="E68" s="440">
        <v>66600</v>
      </c>
      <c r="F68" s="439">
        <v>66600</v>
      </c>
      <c r="G68" s="439">
        <v>66600</v>
      </c>
      <c r="H68" s="440">
        <v>0</v>
      </c>
      <c r="I68" s="373">
        <v>1</v>
      </c>
    </row>
    <row r="69" spans="1:9" x14ac:dyDescent="0.25">
      <c r="A69" s="376">
        <v>15430</v>
      </c>
      <c r="B69" s="377" t="s">
        <v>528</v>
      </c>
      <c r="C69" s="439">
        <v>33750</v>
      </c>
      <c r="D69" s="439">
        <v>-2550</v>
      </c>
      <c r="E69" s="440">
        <v>31200</v>
      </c>
      <c r="F69" s="439">
        <v>31200</v>
      </c>
      <c r="G69" s="439">
        <v>31200</v>
      </c>
      <c r="H69" s="440">
        <v>0</v>
      </c>
      <c r="I69" s="373">
        <v>1</v>
      </c>
    </row>
    <row r="70" spans="1:9" ht="26.25" customHeight="1" x14ac:dyDescent="0.25">
      <c r="A70" s="375">
        <v>159</v>
      </c>
      <c r="B70" s="372" t="s">
        <v>506</v>
      </c>
      <c r="C70" s="440">
        <v>20004657.447540067</v>
      </c>
      <c r="D70" s="440">
        <v>-6027398.4400000004</v>
      </c>
      <c r="E70" s="440">
        <v>13977259.007540066</v>
      </c>
      <c r="F70" s="440">
        <v>13977259.09</v>
      </c>
      <c r="G70" s="440">
        <v>13027592.73</v>
      </c>
      <c r="H70" s="440">
        <v>-8.2459934055805206E-2</v>
      </c>
      <c r="I70" s="373">
        <v>1.0000000058995784</v>
      </c>
    </row>
    <row r="71" spans="1:9" x14ac:dyDescent="0.25">
      <c r="A71" s="376">
        <v>15901</v>
      </c>
      <c r="B71" s="377" t="s">
        <v>529</v>
      </c>
      <c r="C71" s="439">
        <v>20004657.447540067</v>
      </c>
      <c r="D71" s="439">
        <v>-6027398.4400000004</v>
      </c>
      <c r="E71" s="440">
        <v>13977259.007540066</v>
      </c>
      <c r="F71" s="439">
        <v>13977259.09</v>
      </c>
      <c r="G71" s="439">
        <v>13027592.73</v>
      </c>
      <c r="H71" s="440">
        <v>-8.2459934055805206E-2</v>
      </c>
      <c r="I71" s="373">
        <v>1.0000000058995784</v>
      </c>
    </row>
    <row r="72" spans="1:9" ht="34.5" hidden="1" customHeight="1" x14ac:dyDescent="0.25">
      <c r="A72" s="378">
        <v>1600</v>
      </c>
      <c r="B72" s="372" t="s">
        <v>530</v>
      </c>
      <c r="C72" s="440">
        <v>0</v>
      </c>
      <c r="D72" s="440">
        <v>0</v>
      </c>
      <c r="E72" s="440">
        <v>0</v>
      </c>
      <c r="F72" s="440">
        <v>0</v>
      </c>
      <c r="G72" s="440">
        <v>0</v>
      </c>
      <c r="H72" s="440">
        <v>0</v>
      </c>
      <c r="I72" s="373" t="e">
        <v>#DIV/0!</v>
      </c>
    </row>
    <row r="73" spans="1:9" ht="45.75" hidden="1" customHeight="1" x14ac:dyDescent="0.25">
      <c r="A73" s="378">
        <v>161</v>
      </c>
      <c r="B73" s="372" t="s">
        <v>531</v>
      </c>
      <c r="C73" s="440">
        <v>0</v>
      </c>
      <c r="D73" s="440">
        <v>0</v>
      </c>
      <c r="E73" s="440">
        <v>0</v>
      </c>
      <c r="F73" s="440">
        <v>0</v>
      </c>
      <c r="G73" s="440">
        <v>0</v>
      </c>
      <c r="H73" s="440">
        <v>0</v>
      </c>
      <c r="I73" s="373" t="e">
        <v>#DIV/0!</v>
      </c>
    </row>
    <row r="74" spans="1:9" hidden="1" x14ac:dyDescent="0.25">
      <c r="A74" s="376">
        <v>16101</v>
      </c>
      <c r="B74" s="377" t="s">
        <v>532</v>
      </c>
      <c r="C74" s="439">
        <v>0</v>
      </c>
      <c r="D74" s="439">
        <v>0</v>
      </c>
      <c r="E74" s="440">
        <v>0</v>
      </c>
      <c r="F74" s="439"/>
      <c r="G74" s="439"/>
      <c r="H74" s="440">
        <v>0</v>
      </c>
      <c r="I74" s="373" t="e">
        <v>#DIV/0!</v>
      </c>
    </row>
    <row r="75" spans="1:9" ht="22.5" x14ac:dyDescent="0.25">
      <c r="A75" s="378">
        <v>1700</v>
      </c>
      <c r="B75" s="372" t="s">
        <v>533</v>
      </c>
      <c r="C75" s="440">
        <v>2924050.7575055668</v>
      </c>
      <c r="D75" s="440">
        <v>-1721.5899999999674</v>
      </c>
      <c r="E75" s="440">
        <v>2922329.167505567</v>
      </c>
      <c r="F75" s="440">
        <v>2922329.0300000003</v>
      </c>
      <c r="G75" s="440">
        <v>2771594.0300000003</v>
      </c>
      <c r="H75" s="440">
        <v>0.13750556670129299</v>
      </c>
      <c r="I75" s="373">
        <v>0.99999995294658517</v>
      </c>
    </row>
    <row r="76" spans="1:9" x14ac:dyDescent="0.25">
      <c r="A76" s="378">
        <v>171</v>
      </c>
      <c r="B76" s="372" t="s">
        <v>534</v>
      </c>
      <c r="C76" s="440">
        <v>2924050.7575055668</v>
      </c>
      <c r="D76" s="440">
        <v>-1721.5899999999674</v>
      </c>
      <c r="E76" s="440">
        <v>2922329.167505567</v>
      </c>
      <c r="F76" s="440">
        <v>2922329.0300000003</v>
      </c>
      <c r="G76" s="440">
        <v>2771594.0300000003</v>
      </c>
      <c r="H76" s="440">
        <v>0.13750556670129299</v>
      </c>
      <c r="I76" s="373">
        <v>0.99999995294658517</v>
      </c>
    </row>
    <row r="77" spans="1:9" x14ac:dyDescent="0.25">
      <c r="A77" s="376">
        <v>17102</v>
      </c>
      <c r="B77" s="377" t="s">
        <v>535</v>
      </c>
      <c r="C77" s="439">
        <v>1957107.8399999999</v>
      </c>
      <c r="D77" s="439">
        <v>-201322.66999999998</v>
      </c>
      <c r="E77" s="440">
        <v>1755785.17</v>
      </c>
      <c r="F77" s="439">
        <v>1755785.03</v>
      </c>
      <c r="G77" s="439">
        <v>1755785.03</v>
      </c>
      <c r="H77" s="440">
        <v>0.13999999989755452</v>
      </c>
      <c r="I77" s="373">
        <v>0.99999992026359363</v>
      </c>
    </row>
    <row r="78" spans="1:9" x14ac:dyDescent="0.25">
      <c r="A78" s="379">
        <v>17104</v>
      </c>
      <c r="B78" s="379" t="s">
        <v>536</v>
      </c>
      <c r="C78" s="439">
        <v>724169.23750556691</v>
      </c>
      <c r="D78" s="439">
        <v>10305.759999999995</v>
      </c>
      <c r="E78" s="440">
        <v>734474.99750556692</v>
      </c>
      <c r="F78" s="439">
        <v>734475</v>
      </c>
      <c r="G78" s="439">
        <v>587350</v>
      </c>
      <c r="H78" s="440">
        <v>-2.4944330798462033E-3</v>
      </c>
      <c r="I78" s="373">
        <v>1.0000000033962124</v>
      </c>
    </row>
    <row r="79" spans="1:9" ht="22.5" x14ac:dyDescent="0.25">
      <c r="A79" s="379">
        <v>17105</v>
      </c>
      <c r="B79" s="377" t="s">
        <v>537</v>
      </c>
      <c r="C79" s="439">
        <v>242773.68</v>
      </c>
      <c r="D79" s="439">
        <v>189295.32</v>
      </c>
      <c r="E79" s="440">
        <v>432069</v>
      </c>
      <c r="F79" s="439">
        <v>432069</v>
      </c>
      <c r="G79" s="439">
        <v>428459</v>
      </c>
      <c r="H79" s="440">
        <v>0</v>
      </c>
      <c r="I79" s="373">
        <v>1</v>
      </c>
    </row>
    <row r="80" spans="1:9" x14ac:dyDescent="0.25">
      <c r="A80" s="379"/>
      <c r="B80" s="377"/>
      <c r="C80" s="439"/>
      <c r="D80" s="439"/>
      <c r="E80" s="440"/>
      <c r="F80" s="439"/>
      <c r="G80" s="439"/>
      <c r="H80" s="440"/>
      <c r="I80" s="373"/>
    </row>
    <row r="81" spans="1:9" x14ac:dyDescent="0.25">
      <c r="A81" s="371">
        <v>2000</v>
      </c>
      <c r="B81" s="372" t="s">
        <v>538</v>
      </c>
      <c r="C81" s="429">
        <v>25483978.082213655</v>
      </c>
      <c r="D81" s="429">
        <v>25742681.009999998</v>
      </c>
      <c r="E81" s="427">
        <v>51226659.092213653</v>
      </c>
      <c r="F81" s="427">
        <v>27168168.659999996</v>
      </c>
      <c r="G81" s="427">
        <v>24828425.310000002</v>
      </c>
      <c r="H81" s="427">
        <v>24058490.432213657</v>
      </c>
      <c r="I81" s="373">
        <v>0.53035214752330984</v>
      </c>
    </row>
    <row r="82" spans="1:9" ht="33.75" x14ac:dyDescent="0.25">
      <c r="A82" s="374">
        <v>2100</v>
      </c>
      <c r="B82" s="372" t="s">
        <v>539</v>
      </c>
      <c r="C82" s="427">
        <v>2248291.971737816</v>
      </c>
      <c r="D82" s="427">
        <v>-429139.43</v>
      </c>
      <c r="E82" s="427">
        <v>1819152.5417378161</v>
      </c>
      <c r="F82" s="427">
        <v>1482602.5400000003</v>
      </c>
      <c r="G82" s="427">
        <v>1479628.57</v>
      </c>
      <c r="H82" s="427">
        <v>336550.00173781579</v>
      </c>
      <c r="I82" s="373">
        <v>0.81499627215631221</v>
      </c>
    </row>
    <row r="83" spans="1:9" ht="22.5" x14ac:dyDescent="0.25">
      <c r="A83" s="375">
        <v>211</v>
      </c>
      <c r="B83" s="372" t="s">
        <v>540</v>
      </c>
      <c r="C83" s="427">
        <v>1094116.546858507</v>
      </c>
      <c r="D83" s="427">
        <v>-253967.56</v>
      </c>
      <c r="E83" s="427">
        <v>840148.98685850692</v>
      </c>
      <c r="F83" s="427">
        <v>736303.67</v>
      </c>
      <c r="G83" s="427">
        <v>659721.76</v>
      </c>
      <c r="H83" s="427">
        <v>103845.31685850688</v>
      </c>
      <c r="I83" s="373">
        <v>0.87639654575219295</v>
      </c>
    </row>
    <row r="84" spans="1:9" ht="22.5" x14ac:dyDescent="0.25">
      <c r="A84" s="376">
        <v>21101</v>
      </c>
      <c r="B84" s="377" t="s">
        <v>540</v>
      </c>
      <c r="C84" s="428">
        <v>1094116.546858507</v>
      </c>
      <c r="D84" s="428">
        <v>-253967.56</v>
      </c>
      <c r="E84" s="427">
        <v>840148.98685850692</v>
      </c>
      <c r="F84" s="428">
        <v>736303.67</v>
      </c>
      <c r="G84" s="428">
        <v>659721.76</v>
      </c>
      <c r="H84" s="427">
        <v>103845.31685850688</v>
      </c>
      <c r="I84" s="373">
        <v>0.87639654575219295</v>
      </c>
    </row>
    <row r="85" spans="1:9" ht="22.5" x14ac:dyDescent="0.25">
      <c r="A85" s="375">
        <v>212</v>
      </c>
      <c r="B85" s="372" t="s">
        <v>541</v>
      </c>
      <c r="C85" s="427">
        <v>197754.5260726586</v>
      </c>
      <c r="D85" s="427">
        <v>-60430.400000000001</v>
      </c>
      <c r="E85" s="427">
        <v>137324.1260726586</v>
      </c>
      <c r="F85" s="427">
        <v>75817.27</v>
      </c>
      <c r="G85" s="427">
        <v>75817.27</v>
      </c>
      <c r="H85" s="427">
        <v>61506.8560726586</v>
      </c>
      <c r="I85" s="373">
        <v>0.55210451483146417</v>
      </c>
    </row>
    <row r="86" spans="1:9" ht="25.5" customHeight="1" x14ac:dyDescent="0.25">
      <c r="A86" s="376">
        <v>21201</v>
      </c>
      <c r="B86" s="377" t="s">
        <v>542</v>
      </c>
      <c r="C86" s="428">
        <v>197754.5260726586</v>
      </c>
      <c r="D86" s="428">
        <v>-60430.400000000001</v>
      </c>
      <c r="E86" s="427">
        <v>137324.1260726586</v>
      </c>
      <c r="F86" s="428">
        <v>75817.27</v>
      </c>
      <c r="G86" s="428">
        <v>75817.27</v>
      </c>
      <c r="H86" s="427">
        <v>61506.8560726586</v>
      </c>
      <c r="I86" s="373">
        <v>0.55210451483146417</v>
      </c>
    </row>
    <row r="87" spans="1:9" ht="38.25" customHeight="1" x14ac:dyDescent="0.25">
      <c r="A87" s="375">
        <v>214</v>
      </c>
      <c r="B87" s="372" t="s">
        <v>543</v>
      </c>
      <c r="C87" s="427">
        <v>361996.10178076691</v>
      </c>
      <c r="D87" s="427">
        <v>-74674.570000000007</v>
      </c>
      <c r="E87" s="427">
        <v>287321.53178076691</v>
      </c>
      <c r="F87" s="427">
        <v>263027.28000000003</v>
      </c>
      <c r="G87" s="427">
        <v>260747.88</v>
      </c>
      <c r="H87" s="427">
        <v>24294.251780766877</v>
      </c>
      <c r="I87" s="373">
        <v>0.91544576687241119</v>
      </c>
    </row>
    <row r="88" spans="1:9" ht="34.5" customHeight="1" x14ac:dyDescent="0.25">
      <c r="A88" s="376">
        <v>21401</v>
      </c>
      <c r="B88" s="377" t="s">
        <v>544</v>
      </c>
      <c r="C88" s="428">
        <v>361996.10178076691</v>
      </c>
      <c r="D88" s="428">
        <v>-74674.570000000007</v>
      </c>
      <c r="E88" s="427">
        <v>287321.53178076691</v>
      </c>
      <c r="F88" s="428">
        <v>263027.28000000003</v>
      </c>
      <c r="G88" s="428">
        <v>260747.88</v>
      </c>
      <c r="H88" s="427">
        <v>24294.251780766877</v>
      </c>
      <c r="I88" s="373">
        <v>0.91544576687241119</v>
      </c>
    </row>
    <row r="89" spans="1:9" ht="24" customHeight="1" x14ac:dyDescent="0.25">
      <c r="A89" s="375">
        <v>215</v>
      </c>
      <c r="B89" s="372" t="s">
        <v>545</v>
      </c>
      <c r="C89" s="427">
        <v>29639.360000000001</v>
      </c>
      <c r="D89" s="427">
        <v>6700</v>
      </c>
      <c r="E89" s="427">
        <v>36339.360000000001</v>
      </c>
      <c r="F89" s="427">
        <v>36270.28</v>
      </c>
      <c r="G89" s="427">
        <v>36270.28</v>
      </c>
      <c r="H89" s="427">
        <v>69.080000000001746</v>
      </c>
      <c r="I89" s="373">
        <v>0.99809903091303753</v>
      </c>
    </row>
    <row r="90" spans="1:9" hidden="1" x14ac:dyDescent="0.25">
      <c r="A90" s="376">
        <v>21501</v>
      </c>
      <c r="B90" s="377" t="s">
        <v>546</v>
      </c>
      <c r="C90" s="428">
        <v>0</v>
      </c>
      <c r="D90" s="428">
        <v>0</v>
      </c>
      <c r="E90" s="427">
        <v>0</v>
      </c>
      <c r="F90" s="428">
        <v>0</v>
      </c>
      <c r="G90" s="428">
        <v>0</v>
      </c>
      <c r="H90" s="427">
        <v>0</v>
      </c>
      <c r="I90" s="373" t="e">
        <v>#DIV/0!</v>
      </c>
    </row>
    <row r="91" spans="1:9" x14ac:dyDescent="0.25">
      <c r="A91" s="376">
        <v>21502</v>
      </c>
      <c r="B91" s="377" t="s">
        <v>547</v>
      </c>
      <c r="C91" s="428">
        <v>29639.360000000001</v>
      </c>
      <c r="D91" s="428">
        <v>6700</v>
      </c>
      <c r="E91" s="427">
        <v>36339.360000000001</v>
      </c>
      <c r="F91" s="428">
        <v>36270.28</v>
      </c>
      <c r="G91" s="428">
        <v>36270.28</v>
      </c>
      <c r="H91" s="427">
        <v>69.080000000001746</v>
      </c>
      <c r="I91" s="373">
        <v>0.99809903091303753</v>
      </c>
    </row>
    <row r="92" spans="1:9" x14ac:dyDescent="0.25">
      <c r="A92" s="375">
        <v>216</v>
      </c>
      <c r="B92" s="372" t="s">
        <v>548</v>
      </c>
      <c r="C92" s="427">
        <v>283794.85859059572</v>
      </c>
      <c r="D92" s="427">
        <v>-29662.97</v>
      </c>
      <c r="E92" s="427">
        <v>254131.88859059571</v>
      </c>
      <c r="F92" s="427">
        <v>130447.03999999999</v>
      </c>
      <c r="G92" s="427">
        <v>206334.38000000003</v>
      </c>
      <c r="H92" s="427">
        <v>123684.84859059572</v>
      </c>
      <c r="I92" s="373">
        <v>0.51330449210232354</v>
      </c>
    </row>
    <row r="93" spans="1:9" x14ac:dyDescent="0.25">
      <c r="A93" s="376">
        <v>21601</v>
      </c>
      <c r="B93" s="377" t="s">
        <v>548</v>
      </c>
      <c r="C93" s="428">
        <v>283794.85859059572</v>
      </c>
      <c r="D93" s="428">
        <v>-29662.97</v>
      </c>
      <c r="E93" s="427">
        <v>254131.88859059571</v>
      </c>
      <c r="F93" s="428">
        <v>130447.03999999999</v>
      </c>
      <c r="G93" s="428">
        <v>206334.38000000003</v>
      </c>
      <c r="H93" s="427">
        <v>123684.84859059572</v>
      </c>
      <c r="I93" s="373">
        <v>0.51330449210232354</v>
      </c>
    </row>
    <row r="94" spans="1:9" hidden="1" x14ac:dyDescent="0.25">
      <c r="A94" s="375">
        <v>217</v>
      </c>
      <c r="B94" s="372" t="s">
        <v>549</v>
      </c>
      <c r="C94" s="427">
        <v>0</v>
      </c>
      <c r="D94" s="427">
        <v>0</v>
      </c>
      <c r="E94" s="427">
        <v>0</v>
      </c>
      <c r="F94" s="427">
        <v>0</v>
      </c>
      <c r="G94" s="427">
        <v>0</v>
      </c>
      <c r="H94" s="427">
        <v>0</v>
      </c>
      <c r="I94" s="373" t="e">
        <v>#DIV/0!</v>
      </c>
    </row>
    <row r="95" spans="1:9" hidden="1" x14ac:dyDescent="0.25">
      <c r="A95" s="376">
        <v>21701</v>
      </c>
      <c r="B95" s="377" t="s">
        <v>550</v>
      </c>
      <c r="C95" s="428">
        <v>0</v>
      </c>
      <c r="D95" s="428">
        <v>0</v>
      </c>
      <c r="E95" s="427">
        <v>0</v>
      </c>
      <c r="F95" s="428">
        <v>0</v>
      </c>
      <c r="G95" s="428">
        <v>0</v>
      </c>
      <c r="H95" s="427">
        <v>0</v>
      </c>
      <c r="I95" s="373" t="e">
        <v>#DIV/0!</v>
      </c>
    </row>
    <row r="96" spans="1:9" ht="33.75" x14ac:dyDescent="0.25">
      <c r="A96" s="375">
        <v>218</v>
      </c>
      <c r="B96" s="372" t="s">
        <v>551</v>
      </c>
      <c r="C96" s="427">
        <v>280990.57843528775</v>
      </c>
      <c r="D96" s="427">
        <v>-17103.93</v>
      </c>
      <c r="E96" s="427">
        <v>263886.64843528776</v>
      </c>
      <c r="F96" s="427">
        <v>240737</v>
      </c>
      <c r="G96" s="427">
        <v>240737</v>
      </c>
      <c r="H96" s="427">
        <v>23149.64843528776</v>
      </c>
      <c r="I96" s="373">
        <v>0.91227427165203967</v>
      </c>
    </row>
    <row r="97" spans="1:9" ht="33.75" x14ac:dyDescent="0.25">
      <c r="A97" s="376">
        <v>21801</v>
      </c>
      <c r="B97" s="377" t="s">
        <v>552</v>
      </c>
      <c r="C97" s="428">
        <v>280990.57843528775</v>
      </c>
      <c r="D97" s="428">
        <v>-17103.93</v>
      </c>
      <c r="E97" s="427">
        <v>263886.64843528776</v>
      </c>
      <c r="F97" s="428">
        <v>240737</v>
      </c>
      <c r="G97" s="428">
        <v>240737</v>
      </c>
      <c r="H97" s="427">
        <v>23149.64843528776</v>
      </c>
      <c r="I97" s="373">
        <v>0.91227427165203967</v>
      </c>
    </row>
    <row r="98" spans="1:9" x14ac:dyDescent="0.25">
      <c r="A98" s="376">
        <v>21802</v>
      </c>
      <c r="B98" s="377" t="s">
        <v>553</v>
      </c>
      <c r="C98" s="428">
        <v>0</v>
      </c>
      <c r="D98" s="428">
        <v>0</v>
      </c>
      <c r="E98" s="427">
        <v>0</v>
      </c>
      <c r="F98" s="428">
        <v>0</v>
      </c>
      <c r="G98" s="428">
        <v>0</v>
      </c>
      <c r="H98" s="427">
        <v>0</v>
      </c>
      <c r="I98" s="373" t="e">
        <v>#DIV/0!</v>
      </c>
    </row>
    <row r="99" spans="1:9" x14ac:dyDescent="0.25">
      <c r="A99" s="374">
        <v>2200</v>
      </c>
      <c r="B99" s="372" t="s">
        <v>554</v>
      </c>
      <c r="C99" s="427">
        <v>612802.39880192175</v>
      </c>
      <c r="D99" s="427">
        <v>-147839.09000000003</v>
      </c>
      <c r="E99" s="427">
        <v>464963.30880192172</v>
      </c>
      <c r="F99" s="427">
        <v>402077.98</v>
      </c>
      <c r="G99" s="427">
        <v>321409.37999999995</v>
      </c>
      <c r="H99" s="427">
        <v>62885.328801921743</v>
      </c>
      <c r="I99" s="373">
        <v>0.8647520619122413</v>
      </c>
    </row>
    <row r="100" spans="1:9" ht="22.5" x14ac:dyDescent="0.25">
      <c r="A100" s="375">
        <v>221</v>
      </c>
      <c r="B100" s="372" t="s">
        <v>555</v>
      </c>
      <c r="C100" s="427">
        <v>605993.78702592175</v>
      </c>
      <c r="D100" s="427">
        <v>-145839.09000000003</v>
      </c>
      <c r="E100" s="427">
        <v>460154.69702592172</v>
      </c>
      <c r="F100" s="427">
        <v>397451.44</v>
      </c>
      <c r="G100" s="427">
        <v>316782.83999999997</v>
      </c>
      <c r="H100" s="427">
        <v>62703.257025921717</v>
      </c>
      <c r="I100" s="373">
        <v>0.86373439751634329</v>
      </c>
    </row>
    <row r="101" spans="1:9" ht="33.75" x14ac:dyDescent="0.25">
      <c r="A101" s="376">
        <v>22101</v>
      </c>
      <c r="B101" s="377" t="s">
        <v>556</v>
      </c>
      <c r="C101" s="428">
        <v>377699.57399164216</v>
      </c>
      <c r="D101" s="428">
        <v>-91931.32</v>
      </c>
      <c r="E101" s="427">
        <v>285768.25399164215</v>
      </c>
      <c r="F101" s="428">
        <v>259870.84</v>
      </c>
      <c r="G101" s="428">
        <v>259870.84</v>
      </c>
      <c r="H101" s="427">
        <v>25897.413991642155</v>
      </c>
      <c r="I101" s="373">
        <v>0.90937616887143957</v>
      </c>
    </row>
    <row r="102" spans="1:9" x14ac:dyDescent="0.25">
      <c r="A102" s="376">
        <v>22106</v>
      </c>
      <c r="B102" s="377" t="s">
        <v>557</v>
      </c>
      <c r="C102" s="428">
        <v>228294.21303427962</v>
      </c>
      <c r="D102" s="428">
        <v>-53907.770000000004</v>
      </c>
      <c r="E102" s="427">
        <v>174386.44303427963</v>
      </c>
      <c r="F102" s="428">
        <v>137580.6</v>
      </c>
      <c r="G102" s="428">
        <v>56912</v>
      </c>
      <c r="H102" s="427">
        <v>36805.84303427962</v>
      </c>
      <c r="I102" s="373">
        <v>0.78894091539532929</v>
      </c>
    </row>
    <row r="103" spans="1:9" ht="22.5" customHeight="1" x14ac:dyDescent="0.25">
      <c r="A103" s="375">
        <v>223</v>
      </c>
      <c r="B103" s="372" t="s">
        <v>558</v>
      </c>
      <c r="C103" s="427">
        <v>6808.6117759999997</v>
      </c>
      <c r="D103" s="427">
        <v>-2000</v>
      </c>
      <c r="E103" s="427">
        <v>4808.6117759999997</v>
      </c>
      <c r="F103" s="427">
        <v>4626.54</v>
      </c>
      <c r="G103" s="427">
        <v>4626.54</v>
      </c>
      <c r="H103" s="427">
        <v>182.07177599999977</v>
      </c>
      <c r="I103" s="373">
        <v>0.96213631199991478</v>
      </c>
    </row>
    <row r="104" spans="1:9" ht="22.5" x14ac:dyDescent="0.25">
      <c r="A104" s="376">
        <v>22301</v>
      </c>
      <c r="B104" s="377" t="s">
        <v>558</v>
      </c>
      <c r="C104" s="428">
        <v>6808.6117759999997</v>
      </c>
      <c r="D104" s="428">
        <v>-2000</v>
      </c>
      <c r="E104" s="427">
        <v>4808.6117759999997</v>
      </c>
      <c r="F104" s="428">
        <v>4626.54</v>
      </c>
      <c r="G104" s="428">
        <v>4626.54</v>
      </c>
      <c r="H104" s="427">
        <v>182.07177599999977</v>
      </c>
      <c r="I104" s="373">
        <v>0.96213631199991478</v>
      </c>
    </row>
    <row r="105" spans="1:9" ht="22.5" x14ac:dyDescent="0.25">
      <c r="A105" s="374">
        <v>2300</v>
      </c>
      <c r="B105" s="372" t="s">
        <v>559</v>
      </c>
      <c r="C105" s="427">
        <v>2245216.0910823718</v>
      </c>
      <c r="D105" s="427">
        <v>6598564.0999999996</v>
      </c>
      <c r="E105" s="427">
        <v>8843780.1910823714</v>
      </c>
      <c r="F105" s="427">
        <v>6692647.6399999997</v>
      </c>
      <c r="G105" s="427">
        <v>6182328.3700000001</v>
      </c>
      <c r="H105" s="427">
        <v>2151132.5510823717</v>
      </c>
      <c r="I105" s="373">
        <v>0.75676322742038893</v>
      </c>
    </row>
    <row r="106" spans="1:9" ht="22.5" x14ac:dyDescent="0.25">
      <c r="A106" s="375">
        <v>239</v>
      </c>
      <c r="B106" s="372" t="s">
        <v>560</v>
      </c>
      <c r="C106" s="427">
        <v>2245216.0910823718</v>
      </c>
      <c r="D106" s="427">
        <v>6598564.0999999996</v>
      </c>
      <c r="E106" s="427">
        <v>8843780.1910823714</v>
      </c>
      <c r="F106" s="427">
        <v>6692647.6399999997</v>
      </c>
      <c r="G106" s="427">
        <v>6182328.3700000001</v>
      </c>
      <c r="H106" s="427">
        <v>2151132.5510823717</v>
      </c>
      <c r="I106" s="373">
        <v>0.75676322742038893</v>
      </c>
    </row>
    <row r="107" spans="1:9" ht="33.75" x14ac:dyDescent="0.25">
      <c r="A107" s="376">
        <v>23901</v>
      </c>
      <c r="B107" s="377" t="s">
        <v>561</v>
      </c>
      <c r="C107" s="428">
        <v>2245216.0910823718</v>
      </c>
      <c r="D107" s="428">
        <v>6598564.0999999996</v>
      </c>
      <c r="E107" s="427">
        <v>8843780.1910823714</v>
      </c>
      <c r="F107" s="428">
        <v>6692647.6399999997</v>
      </c>
      <c r="G107" s="428">
        <v>6182328.3700000001</v>
      </c>
      <c r="H107" s="427">
        <v>2151132.5510823717</v>
      </c>
      <c r="I107" s="373">
        <v>0.75676322742038893</v>
      </c>
    </row>
    <row r="108" spans="1:9" ht="22.5" x14ac:dyDescent="0.25">
      <c r="A108" s="374">
        <v>2400</v>
      </c>
      <c r="B108" s="372" t="s">
        <v>562</v>
      </c>
      <c r="C108" s="427">
        <v>877366.97313757439</v>
      </c>
      <c r="D108" s="427">
        <v>-152104.91999999998</v>
      </c>
      <c r="E108" s="427">
        <v>725262.05313757434</v>
      </c>
      <c r="F108" s="427">
        <v>639767.05000000005</v>
      </c>
      <c r="G108" s="427">
        <v>637016.99</v>
      </c>
      <c r="H108" s="427">
        <v>85495.003137574298</v>
      </c>
      <c r="I108" s="373">
        <v>0.88211846632853297</v>
      </c>
    </row>
    <row r="109" spans="1:9" x14ac:dyDescent="0.25">
      <c r="A109" s="375">
        <v>242</v>
      </c>
      <c r="B109" s="372" t="s">
        <v>563</v>
      </c>
      <c r="C109" s="427">
        <v>163493.84939414894</v>
      </c>
      <c r="D109" s="427">
        <v>-52992.81</v>
      </c>
      <c r="E109" s="427">
        <v>110501.03939414895</v>
      </c>
      <c r="F109" s="427">
        <v>81869.87</v>
      </c>
      <c r="G109" s="427">
        <v>81869.87</v>
      </c>
      <c r="H109" s="427">
        <v>28631.16939414895</v>
      </c>
      <c r="I109" s="373">
        <v>0.74089683182052513</v>
      </c>
    </row>
    <row r="110" spans="1:9" x14ac:dyDescent="0.25">
      <c r="A110" s="376">
        <v>24201</v>
      </c>
      <c r="B110" s="377" t="s">
        <v>563</v>
      </c>
      <c r="C110" s="428">
        <v>163493.84939414894</v>
      </c>
      <c r="D110" s="428">
        <v>-52992.81</v>
      </c>
      <c r="E110" s="427">
        <v>110501.03939414895</v>
      </c>
      <c r="F110" s="428">
        <v>81869.87</v>
      </c>
      <c r="G110" s="428">
        <v>81869.87</v>
      </c>
      <c r="H110" s="427">
        <v>28631.16939414895</v>
      </c>
      <c r="I110" s="373">
        <v>0.74089683182052513</v>
      </c>
    </row>
    <row r="111" spans="1:9" hidden="1" x14ac:dyDescent="0.25">
      <c r="A111" s="375">
        <v>243</v>
      </c>
      <c r="B111" s="372" t="s">
        <v>564</v>
      </c>
      <c r="C111" s="427">
        <v>0</v>
      </c>
      <c r="D111" s="427">
        <v>0</v>
      </c>
      <c r="E111" s="427">
        <v>0</v>
      </c>
      <c r="F111" s="427">
        <v>0</v>
      </c>
      <c r="G111" s="427">
        <v>0</v>
      </c>
      <c r="H111" s="427">
        <v>0</v>
      </c>
      <c r="I111" s="373" t="e">
        <v>#DIV/0!</v>
      </c>
    </row>
    <row r="112" spans="1:9" hidden="1" x14ac:dyDescent="0.25">
      <c r="A112" s="376">
        <v>24301</v>
      </c>
      <c r="B112" s="377" t="s">
        <v>564</v>
      </c>
      <c r="C112" s="428">
        <v>0</v>
      </c>
      <c r="D112" s="428">
        <v>0</v>
      </c>
      <c r="E112" s="427">
        <v>0</v>
      </c>
      <c r="F112" s="428">
        <v>0</v>
      </c>
      <c r="G112" s="428">
        <v>0</v>
      </c>
      <c r="H112" s="427">
        <v>0</v>
      </c>
      <c r="I112" s="373" t="e">
        <v>#DIV/0!</v>
      </c>
    </row>
    <row r="113" spans="1:9" hidden="1" x14ac:dyDescent="0.25">
      <c r="A113" s="375">
        <v>244</v>
      </c>
      <c r="B113" s="372" t="s">
        <v>565</v>
      </c>
      <c r="C113" s="427">
        <v>0</v>
      </c>
      <c r="D113" s="427">
        <v>0</v>
      </c>
      <c r="E113" s="427">
        <v>0</v>
      </c>
      <c r="F113" s="427">
        <v>0</v>
      </c>
      <c r="G113" s="427">
        <v>0</v>
      </c>
      <c r="H113" s="427">
        <v>0</v>
      </c>
      <c r="I113" s="373" t="e">
        <v>#DIV/0!</v>
      </c>
    </row>
    <row r="114" spans="1:9" hidden="1" x14ac:dyDescent="0.25">
      <c r="A114" s="376">
        <v>24401</v>
      </c>
      <c r="B114" s="377" t="s">
        <v>565</v>
      </c>
      <c r="C114" s="428">
        <v>0</v>
      </c>
      <c r="D114" s="428">
        <v>0</v>
      </c>
      <c r="E114" s="427">
        <v>0</v>
      </c>
      <c r="F114" s="428">
        <v>0</v>
      </c>
      <c r="G114" s="428">
        <v>0</v>
      </c>
      <c r="H114" s="427">
        <v>0</v>
      </c>
      <c r="I114" s="373" t="e">
        <v>#DIV/0!</v>
      </c>
    </row>
    <row r="115" spans="1:9" hidden="1" x14ac:dyDescent="0.25">
      <c r="A115" s="375">
        <v>245</v>
      </c>
      <c r="B115" s="372" t="s">
        <v>566</v>
      </c>
      <c r="C115" s="427">
        <v>0</v>
      </c>
      <c r="D115" s="427">
        <v>0</v>
      </c>
      <c r="E115" s="427">
        <v>0</v>
      </c>
      <c r="F115" s="427">
        <v>0</v>
      </c>
      <c r="G115" s="427">
        <v>0</v>
      </c>
      <c r="H115" s="427">
        <v>0</v>
      </c>
      <c r="I115" s="373" t="e">
        <v>#DIV/0!</v>
      </c>
    </row>
    <row r="116" spans="1:9" hidden="1" x14ac:dyDescent="0.25">
      <c r="A116" s="376">
        <v>24501</v>
      </c>
      <c r="B116" s="377" t="s">
        <v>566</v>
      </c>
      <c r="C116" s="428">
        <v>0</v>
      </c>
      <c r="D116" s="428">
        <v>0</v>
      </c>
      <c r="E116" s="427">
        <v>0</v>
      </c>
      <c r="F116" s="428">
        <v>0</v>
      </c>
      <c r="G116" s="428">
        <v>0</v>
      </c>
      <c r="H116" s="427">
        <v>0</v>
      </c>
      <c r="I116" s="373" t="e">
        <v>#DIV/0!</v>
      </c>
    </row>
    <row r="117" spans="1:9" x14ac:dyDescent="0.25">
      <c r="A117" s="375">
        <v>246</v>
      </c>
      <c r="B117" s="372" t="s">
        <v>567</v>
      </c>
      <c r="C117" s="427">
        <v>713873.12374342547</v>
      </c>
      <c r="D117" s="427">
        <v>-99112.109999999986</v>
      </c>
      <c r="E117" s="427">
        <v>614761.01374342549</v>
      </c>
      <c r="F117" s="427">
        <v>557897.18000000005</v>
      </c>
      <c r="G117" s="427">
        <v>555147.12</v>
      </c>
      <c r="H117" s="427">
        <v>56863.833743425435</v>
      </c>
      <c r="I117" s="373">
        <v>0.90750253761674304</v>
      </c>
    </row>
    <row r="118" spans="1:9" x14ac:dyDescent="0.25">
      <c r="A118" s="376">
        <v>24601</v>
      </c>
      <c r="B118" s="377" t="s">
        <v>567</v>
      </c>
      <c r="C118" s="428">
        <v>713873.12374342547</v>
      </c>
      <c r="D118" s="428">
        <v>-99112.109999999986</v>
      </c>
      <c r="E118" s="427">
        <v>614761.01374342549</v>
      </c>
      <c r="F118" s="428">
        <v>557897.18000000005</v>
      </c>
      <c r="G118" s="428">
        <v>555147.12</v>
      </c>
      <c r="H118" s="427">
        <v>56863.833743425435</v>
      </c>
      <c r="I118" s="373">
        <v>0.90750253761674304</v>
      </c>
    </row>
    <row r="119" spans="1:9" hidden="1" x14ac:dyDescent="0.25">
      <c r="A119" s="375">
        <v>248</v>
      </c>
      <c r="B119" s="372" t="s">
        <v>568</v>
      </c>
      <c r="C119" s="427">
        <v>0</v>
      </c>
      <c r="D119" s="428">
        <v>0</v>
      </c>
      <c r="E119" s="427">
        <v>0</v>
      </c>
      <c r="F119" s="427">
        <v>0</v>
      </c>
      <c r="G119" s="427">
        <v>0</v>
      </c>
      <c r="H119" s="427">
        <v>0</v>
      </c>
      <c r="I119" s="373" t="e">
        <v>#DIV/0!</v>
      </c>
    </row>
    <row r="120" spans="1:9" hidden="1" x14ac:dyDescent="0.25">
      <c r="A120" s="376">
        <v>24801</v>
      </c>
      <c r="B120" s="377" t="s">
        <v>568</v>
      </c>
      <c r="C120" s="428">
        <v>0</v>
      </c>
      <c r="D120" s="428">
        <v>0</v>
      </c>
      <c r="E120" s="427">
        <v>0</v>
      </c>
      <c r="F120" s="428">
        <v>0</v>
      </c>
      <c r="G120" s="428">
        <v>0</v>
      </c>
      <c r="H120" s="427">
        <v>0</v>
      </c>
      <c r="I120" s="373" t="e">
        <v>#DIV/0!</v>
      </c>
    </row>
    <row r="121" spans="1:9" ht="33.75" hidden="1" customHeight="1" x14ac:dyDescent="0.25">
      <c r="A121" s="375">
        <v>249</v>
      </c>
      <c r="B121" s="372" t="s">
        <v>569</v>
      </c>
      <c r="C121" s="427">
        <v>0</v>
      </c>
      <c r="D121" s="427">
        <v>0</v>
      </c>
      <c r="E121" s="427">
        <v>0</v>
      </c>
      <c r="F121" s="427">
        <v>0</v>
      </c>
      <c r="G121" s="427">
        <v>0</v>
      </c>
      <c r="H121" s="427">
        <v>0</v>
      </c>
      <c r="I121" s="373" t="e">
        <v>#DIV/0!</v>
      </c>
    </row>
    <row r="122" spans="1:9" ht="22.5" hidden="1" x14ac:dyDescent="0.25">
      <c r="A122" s="376">
        <v>24901</v>
      </c>
      <c r="B122" s="377" t="s">
        <v>569</v>
      </c>
      <c r="C122" s="428">
        <v>0</v>
      </c>
      <c r="D122" s="428">
        <v>0</v>
      </c>
      <c r="E122" s="427">
        <v>0</v>
      </c>
      <c r="F122" s="428">
        <v>0</v>
      </c>
      <c r="G122" s="428">
        <v>0</v>
      </c>
      <c r="H122" s="427">
        <v>0</v>
      </c>
      <c r="I122" s="373" t="e">
        <v>#DIV/0!</v>
      </c>
    </row>
    <row r="123" spans="1:9" ht="22.5" x14ac:dyDescent="0.25">
      <c r="A123" s="374">
        <v>2500</v>
      </c>
      <c r="B123" s="372" t="s">
        <v>570</v>
      </c>
      <c r="C123" s="427">
        <v>3655443.332885351</v>
      </c>
      <c r="D123" s="427">
        <v>1867105.29</v>
      </c>
      <c r="E123" s="427">
        <v>5522548.6228853511</v>
      </c>
      <c r="F123" s="427">
        <v>1923630.1199999999</v>
      </c>
      <c r="G123" s="427">
        <v>1577741.3199999998</v>
      </c>
      <c r="H123" s="427">
        <v>3598918.502885351</v>
      </c>
      <c r="I123" s="373">
        <v>0.34832289425728336</v>
      </c>
    </row>
    <row r="124" spans="1:9" hidden="1" x14ac:dyDescent="0.25">
      <c r="A124" s="375">
        <v>251</v>
      </c>
      <c r="B124" s="372" t="s">
        <v>571</v>
      </c>
      <c r="C124" s="427">
        <v>0</v>
      </c>
      <c r="D124" s="427">
        <v>65000</v>
      </c>
      <c r="E124" s="427">
        <v>65000</v>
      </c>
      <c r="F124" s="427">
        <v>65000</v>
      </c>
      <c r="G124" s="427">
        <v>65000</v>
      </c>
      <c r="H124" s="427">
        <v>0</v>
      </c>
      <c r="I124" s="373">
        <v>1</v>
      </c>
    </row>
    <row r="125" spans="1:9" hidden="1" x14ac:dyDescent="0.25">
      <c r="A125" s="376">
        <v>25101</v>
      </c>
      <c r="B125" s="377" t="s">
        <v>571</v>
      </c>
      <c r="C125" s="427">
        <v>0</v>
      </c>
      <c r="D125" s="428">
        <v>65000</v>
      </c>
      <c r="E125" s="427">
        <v>65000</v>
      </c>
      <c r="F125" s="427">
        <v>65000</v>
      </c>
      <c r="G125" s="427">
        <v>65000</v>
      </c>
      <c r="H125" s="427">
        <v>0</v>
      </c>
      <c r="I125" s="373">
        <v>1</v>
      </c>
    </row>
    <row r="126" spans="1:9" ht="22.5" x14ac:dyDescent="0.25">
      <c r="A126" s="375">
        <v>252</v>
      </c>
      <c r="B126" s="372" t="s">
        <v>572</v>
      </c>
      <c r="C126" s="427">
        <v>5000</v>
      </c>
      <c r="D126" s="427">
        <v>0</v>
      </c>
      <c r="E126" s="427">
        <v>5000</v>
      </c>
      <c r="F126" s="427">
        <v>699</v>
      </c>
      <c r="G126" s="427">
        <v>699</v>
      </c>
      <c r="H126" s="427">
        <v>4301</v>
      </c>
      <c r="I126" s="373">
        <v>0.13980000000000001</v>
      </c>
    </row>
    <row r="127" spans="1:9" ht="28.5" customHeight="1" x14ac:dyDescent="0.25">
      <c r="A127" s="376">
        <v>25201</v>
      </c>
      <c r="B127" s="377" t="s">
        <v>572</v>
      </c>
      <c r="C127" s="428">
        <v>5000</v>
      </c>
      <c r="D127" s="428">
        <v>0</v>
      </c>
      <c r="E127" s="427">
        <v>5000</v>
      </c>
      <c r="F127" s="428">
        <v>699</v>
      </c>
      <c r="G127" s="428">
        <v>699</v>
      </c>
      <c r="H127" s="427">
        <v>4301</v>
      </c>
      <c r="I127" s="373">
        <v>0.13980000000000001</v>
      </c>
    </row>
    <row r="128" spans="1:9" x14ac:dyDescent="0.25">
      <c r="A128" s="375">
        <v>253</v>
      </c>
      <c r="B128" s="372" t="s">
        <v>573</v>
      </c>
      <c r="C128" s="427">
        <v>72901.563938351086</v>
      </c>
      <c r="D128" s="427">
        <v>-49138.43</v>
      </c>
      <c r="E128" s="427">
        <v>23763.133938351086</v>
      </c>
      <c r="F128" s="427">
        <v>3686.16</v>
      </c>
      <c r="G128" s="427">
        <v>3686.16</v>
      </c>
      <c r="H128" s="427">
        <v>20076.973938351086</v>
      </c>
      <c r="I128" s="373">
        <v>0.15512095372449772</v>
      </c>
    </row>
    <row r="129" spans="1:9" x14ac:dyDescent="0.25">
      <c r="A129" s="376">
        <v>25301</v>
      </c>
      <c r="B129" s="377" t="s">
        <v>573</v>
      </c>
      <c r="C129" s="428">
        <v>72901.563938351086</v>
      </c>
      <c r="D129" s="428">
        <v>-49138.43</v>
      </c>
      <c r="E129" s="427">
        <v>23763.133938351086</v>
      </c>
      <c r="F129" s="428">
        <v>3686.16</v>
      </c>
      <c r="G129" s="428">
        <v>3686.16</v>
      </c>
      <c r="H129" s="427">
        <v>20076.973938351086</v>
      </c>
      <c r="I129" s="373">
        <v>0.15512095372449772</v>
      </c>
    </row>
    <row r="130" spans="1:9" ht="23.25" hidden="1" customHeight="1" x14ac:dyDescent="0.25">
      <c r="A130" s="375">
        <v>255</v>
      </c>
      <c r="B130" s="372" t="s">
        <v>574</v>
      </c>
      <c r="C130" s="427">
        <v>0</v>
      </c>
      <c r="D130" s="427">
        <v>0</v>
      </c>
      <c r="E130" s="427">
        <v>0</v>
      </c>
      <c r="F130" s="427">
        <v>0</v>
      </c>
      <c r="G130" s="427">
        <v>0</v>
      </c>
      <c r="H130" s="427">
        <v>0</v>
      </c>
      <c r="I130" s="373" t="e">
        <v>#DIV/0!</v>
      </c>
    </row>
    <row r="131" spans="1:9" ht="22.5" hidden="1" customHeight="1" x14ac:dyDescent="0.25">
      <c r="A131" s="376">
        <v>25501</v>
      </c>
      <c r="B131" s="377" t="s">
        <v>574</v>
      </c>
      <c r="C131" s="428">
        <v>0</v>
      </c>
      <c r="D131" s="428">
        <v>0</v>
      </c>
      <c r="E131" s="427">
        <v>0</v>
      </c>
      <c r="F131" s="428">
        <v>0</v>
      </c>
      <c r="G131" s="428">
        <v>0</v>
      </c>
      <c r="H131" s="427">
        <v>0</v>
      </c>
      <c r="I131" s="373" t="e">
        <v>#DIV/0!</v>
      </c>
    </row>
    <row r="132" spans="1:9" x14ac:dyDescent="0.25">
      <c r="A132" s="375">
        <v>259</v>
      </c>
      <c r="B132" s="372" t="s">
        <v>575</v>
      </c>
      <c r="C132" s="427">
        <v>3577541.7689470001</v>
      </c>
      <c r="D132" s="427">
        <v>1851243.72</v>
      </c>
      <c r="E132" s="427">
        <v>5428785.4889470004</v>
      </c>
      <c r="F132" s="427">
        <v>1854244.96</v>
      </c>
      <c r="G132" s="427">
        <v>1508356.16</v>
      </c>
      <c r="H132" s="427">
        <v>3574540.5289470004</v>
      </c>
      <c r="I132" s="373">
        <v>0.34155797162647888</v>
      </c>
    </row>
    <row r="133" spans="1:9" x14ac:dyDescent="0.25">
      <c r="A133" s="376">
        <v>25901</v>
      </c>
      <c r="B133" s="377" t="s">
        <v>575</v>
      </c>
      <c r="C133" s="428">
        <v>3577541.7689470001</v>
      </c>
      <c r="D133" s="428">
        <v>1851243.72</v>
      </c>
      <c r="E133" s="427">
        <v>5428785.4889470004</v>
      </c>
      <c r="F133" s="428">
        <v>1854244.96</v>
      </c>
      <c r="G133" s="428">
        <v>1508356.16</v>
      </c>
      <c r="H133" s="427">
        <v>3574540.5289470004</v>
      </c>
      <c r="I133" s="373">
        <v>0.34155797162647888</v>
      </c>
    </row>
    <row r="134" spans="1:9" ht="23.25" customHeight="1" x14ac:dyDescent="0.25">
      <c r="A134" s="374">
        <v>2600</v>
      </c>
      <c r="B134" s="372" t="s">
        <v>576</v>
      </c>
      <c r="C134" s="427">
        <v>10294453.783337705</v>
      </c>
      <c r="D134" s="427">
        <v>2886437.1599999997</v>
      </c>
      <c r="E134" s="427">
        <v>13180890.943337705</v>
      </c>
      <c r="F134" s="427">
        <v>11629472.039999999</v>
      </c>
      <c r="G134" s="427">
        <v>10980847.33</v>
      </c>
      <c r="H134" s="427">
        <v>1551418.9033377059</v>
      </c>
      <c r="I134" s="373">
        <v>0.88229787273053251</v>
      </c>
    </row>
    <row r="135" spans="1:9" ht="21" customHeight="1" x14ac:dyDescent="0.25">
      <c r="A135" s="375">
        <v>261</v>
      </c>
      <c r="B135" s="372" t="s">
        <v>576</v>
      </c>
      <c r="C135" s="427">
        <v>10294453.783337705</v>
      </c>
      <c r="D135" s="427">
        <v>2886437.1599999997</v>
      </c>
      <c r="E135" s="427">
        <v>13180890.943337705</v>
      </c>
      <c r="F135" s="427">
        <v>11629472.039999999</v>
      </c>
      <c r="G135" s="427">
        <v>10980847.33</v>
      </c>
      <c r="H135" s="427">
        <v>1551418.9033377059</v>
      </c>
      <c r="I135" s="373">
        <v>0.88229787273053251</v>
      </c>
    </row>
    <row r="136" spans="1:9" x14ac:dyDescent="0.25">
      <c r="A136" s="376">
        <v>26101</v>
      </c>
      <c r="B136" s="377" t="s">
        <v>577</v>
      </c>
      <c r="C136" s="428">
        <v>9465396.6127386317</v>
      </c>
      <c r="D136" s="428">
        <v>2571382.0499999998</v>
      </c>
      <c r="E136" s="427">
        <v>12036778.662738632</v>
      </c>
      <c r="F136" s="428">
        <v>10491978.52</v>
      </c>
      <c r="G136" s="428">
        <v>10029030.59</v>
      </c>
      <c r="H136" s="427">
        <v>1544800.1427386329</v>
      </c>
      <c r="I136" s="373">
        <v>0.87166000256191822</v>
      </c>
    </row>
    <row r="137" spans="1:9" x14ac:dyDescent="0.25">
      <c r="A137" s="376">
        <v>26102</v>
      </c>
      <c r="B137" s="377" t="s">
        <v>578</v>
      </c>
      <c r="C137" s="428">
        <v>829057.17059907247</v>
      </c>
      <c r="D137" s="428">
        <v>315055.11</v>
      </c>
      <c r="E137" s="427">
        <v>1144112.2805990726</v>
      </c>
      <c r="F137" s="428">
        <v>1137493.52</v>
      </c>
      <c r="G137" s="428">
        <v>951816.74</v>
      </c>
      <c r="H137" s="427">
        <v>6618.7605990725569</v>
      </c>
      <c r="I137" s="373">
        <v>0.99421493789437621</v>
      </c>
    </row>
    <row r="138" spans="1:9" ht="33.75" customHeight="1" x14ac:dyDescent="0.25">
      <c r="A138" s="374">
        <v>2700</v>
      </c>
      <c r="B138" s="372" t="s">
        <v>579</v>
      </c>
      <c r="C138" s="427">
        <v>2625781.0166685618</v>
      </c>
      <c r="D138" s="427">
        <v>-994673.5199999999</v>
      </c>
      <c r="E138" s="427">
        <v>1631107.4966685618</v>
      </c>
      <c r="F138" s="427">
        <v>1061972.2</v>
      </c>
      <c r="G138" s="427">
        <v>463885.03000000009</v>
      </c>
      <c r="H138" s="427">
        <v>569135.29666856187</v>
      </c>
      <c r="I138" s="373">
        <v>0.65107431740030242</v>
      </c>
    </row>
    <row r="139" spans="1:9" x14ac:dyDescent="0.25">
      <c r="A139" s="375">
        <v>271</v>
      </c>
      <c r="B139" s="372" t="s">
        <v>580</v>
      </c>
      <c r="C139" s="427">
        <v>2424289.7799831475</v>
      </c>
      <c r="D139" s="427">
        <v>-911027.16999999993</v>
      </c>
      <c r="E139" s="427">
        <v>1513262.6099831476</v>
      </c>
      <c r="F139" s="427">
        <v>972994.32</v>
      </c>
      <c r="G139" s="427">
        <v>379436.20000000007</v>
      </c>
      <c r="H139" s="427">
        <v>540268.28998314764</v>
      </c>
      <c r="I139" s="373">
        <v>0.64297783714542167</v>
      </c>
    </row>
    <row r="140" spans="1:9" x14ac:dyDescent="0.25">
      <c r="A140" s="376">
        <v>27101</v>
      </c>
      <c r="B140" s="377" t="s">
        <v>580</v>
      </c>
      <c r="C140" s="428">
        <v>2424289.7799831475</v>
      </c>
      <c r="D140" s="428">
        <v>-911027.16999999993</v>
      </c>
      <c r="E140" s="427">
        <v>1513262.6099831476</v>
      </c>
      <c r="F140" s="428">
        <v>972994.32</v>
      </c>
      <c r="G140" s="428">
        <v>379436.20000000007</v>
      </c>
      <c r="H140" s="427">
        <v>540268.28998314764</v>
      </c>
      <c r="I140" s="373">
        <v>0.64297783714542167</v>
      </c>
    </row>
    <row r="141" spans="1:9" ht="26.25" customHeight="1" x14ac:dyDescent="0.25">
      <c r="A141" s="375">
        <v>272</v>
      </c>
      <c r="B141" s="372" t="s">
        <v>581</v>
      </c>
      <c r="C141" s="427">
        <v>201491.23668541433</v>
      </c>
      <c r="D141" s="427">
        <v>-83646.350000000006</v>
      </c>
      <c r="E141" s="427">
        <v>117844.88668541433</v>
      </c>
      <c r="F141" s="427">
        <v>88977.88</v>
      </c>
      <c r="G141" s="427">
        <v>84448.83</v>
      </c>
      <c r="H141" s="427">
        <v>28867.006685414322</v>
      </c>
      <c r="I141" s="373">
        <v>0.7550423484858152</v>
      </c>
    </row>
    <row r="142" spans="1:9" ht="20.25" customHeight="1" x14ac:dyDescent="0.25">
      <c r="A142" s="376">
        <v>27201</v>
      </c>
      <c r="B142" s="377" t="s">
        <v>581</v>
      </c>
      <c r="C142" s="428">
        <v>201491.23668541433</v>
      </c>
      <c r="D142" s="428">
        <v>-83646.350000000006</v>
      </c>
      <c r="E142" s="427">
        <v>117844.88668541433</v>
      </c>
      <c r="F142" s="428">
        <v>88977.88</v>
      </c>
      <c r="G142" s="428">
        <v>84448.83</v>
      </c>
      <c r="H142" s="427">
        <v>28867.006685414322</v>
      </c>
      <c r="I142" s="373">
        <v>0.7550423484858152</v>
      </c>
    </row>
    <row r="143" spans="1:9" ht="22.5" x14ac:dyDescent="0.25">
      <c r="A143" s="374">
        <v>2800</v>
      </c>
      <c r="B143" s="372" t="s">
        <v>582</v>
      </c>
      <c r="C143" s="427">
        <v>6500</v>
      </c>
      <c r="D143" s="427">
        <v>-5400</v>
      </c>
      <c r="E143" s="427">
        <v>1100</v>
      </c>
      <c r="F143" s="427">
        <v>0</v>
      </c>
      <c r="G143" s="427">
        <v>0</v>
      </c>
      <c r="H143" s="427">
        <v>1100</v>
      </c>
      <c r="I143" s="373">
        <v>0</v>
      </c>
    </row>
    <row r="144" spans="1:9" ht="23.25" customHeight="1" x14ac:dyDescent="0.25">
      <c r="A144" s="375">
        <v>280</v>
      </c>
      <c r="B144" s="372" t="s">
        <v>583</v>
      </c>
      <c r="C144" s="427">
        <v>6500</v>
      </c>
      <c r="D144" s="427">
        <v>-5400</v>
      </c>
      <c r="E144" s="427">
        <v>1100</v>
      </c>
      <c r="F144" s="427">
        <v>0</v>
      </c>
      <c r="G144" s="427">
        <v>0</v>
      </c>
      <c r="H144" s="427">
        <v>1100</v>
      </c>
      <c r="I144" s="373">
        <v>0</v>
      </c>
    </row>
    <row r="145" spans="1:9" ht="30.75" customHeight="1" x14ac:dyDescent="0.25">
      <c r="A145" s="376">
        <v>28301</v>
      </c>
      <c r="B145" s="377" t="s">
        <v>583</v>
      </c>
      <c r="C145" s="428">
        <v>6500</v>
      </c>
      <c r="D145" s="428">
        <v>-5400</v>
      </c>
      <c r="E145" s="427">
        <v>1100</v>
      </c>
      <c r="F145" s="428">
        <v>0</v>
      </c>
      <c r="G145" s="428">
        <v>0</v>
      </c>
      <c r="H145" s="427">
        <v>1100</v>
      </c>
      <c r="I145" s="373">
        <v>0</v>
      </c>
    </row>
    <row r="146" spans="1:9" ht="22.5" customHeight="1" x14ac:dyDescent="0.25">
      <c r="A146" s="374">
        <v>2900</v>
      </c>
      <c r="B146" s="372" t="s">
        <v>584</v>
      </c>
      <c r="C146" s="427">
        <v>2918122.5145623544</v>
      </c>
      <c r="D146" s="427">
        <v>16119731.42</v>
      </c>
      <c r="E146" s="427">
        <v>19037853.934562355</v>
      </c>
      <c r="F146" s="427">
        <v>3335999.09</v>
      </c>
      <c r="G146" s="427">
        <v>3185568.3200000003</v>
      </c>
      <c r="H146" s="427">
        <v>15701854.844562355</v>
      </c>
      <c r="I146" s="373">
        <v>0.17522978700575309</v>
      </c>
    </row>
    <row r="147" spans="1:9" x14ac:dyDescent="0.25">
      <c r="A147" s="375">
        <v>291</v>
      </c>
      <c r="B147" s="372" t="s">
        <v>585</v>
      </c>
      <c r="C147" s="427">
        <v>309780.07124442363</v>
      </c>
      <c r="D147" s="427">
        <v>-73208.149999999994</v>
      </c>
      <c r="E147" s="427">
        <v>236571.92124442363</v>
      </c>
      <c r="F147" s="427">
        <v>210077.44</v>
      </c>
      <c r="G147" s="427">
        <v>203596.46999999997</v>
      </c>
      <c r="H147" s="427">
        <v>26494.48124442363</v>
      </c>
      <c r="I147" s="373">
        <v>0.888006653092825</v>
      </c>
    </row>
    <row r="148" spans="1:9" x14ac:dyDescent="0.25">
      <c r="A148" s="376">
        <v>29101</v>
      </c>
      <c r="B148" s="377" t="s">
        <v>585</v>
      </c>
      <c r="C148" s="428">
        <v>309780.07124442363</v>
      </c>
      <c r="D148" s="428">
        <v>-73208.149999999994</v>
      </c>
      <c r="E148" s="427">
        <v>236571.92124442363</v>
      </c>
      <c r="F148" s="428">
        <v>210077.44</v>
      </c>
      <c r="G148" s="428">
        <v>203596.46999999997</v>
      </c>
      <c r="H148" s="427">
        <v>26494.48124442363</v>
      </c>
      <c r="I148" s="373">
        <v>0.888006653092825</v>
      </c>
    </row>
    <row r="149" spans="1:9" ht="22.5" x14ac:dyDescent="0.25">
      <c r="A149" s="375">
        <v>292</v>
      </c>
      <c r="B149" s="372" t="s">
        <v>586</v>
      </c>
      <c r="C149" s="427">
        <v>45929.478810679859</v>
      </c>
      <c r="D149" s="427">
        <v>-5500</v>
      </c>
      <c r="E149" s="427">
        <v>40429.478810679859</v>
      </c>
      <c r="F149" s="427">
        <v>35268.1</v>
      </c>
      <c r="G149" s="427">
        <v>35268.1</v>
      </c>
      <c r="H149" s="427">
        <v>5161.3788106798602</v>
      </c>
      <c r="I149" s="373">
        <v>0.87233625160370776</v>
      </c>
    </row>
    <row r="150" spans="1:9" ht="27.75" customHeight="1" x14ac:dyDescent="0.25">
      <c r="A150" s="376">
        <v>29201</v>
      </c>
      <c r="B150" s="377" t="s">
        <v>586</v>
      </c>
      <c r="C150" s="428">
        <v>45929.478810679859</v>
      </c>
      <c r="D150" s="428">
        <v>-5500</v>
      </c>
      <c r="E150" s="427">
        <v>40429.478810679859</v>
      </c>
      <c r="F150" s="428">
        <v>35268.1</v>
      </c>
      <c r="G150" s="428">
        <v>35268.1</v>
      </c>
      <c r="H150" s="427">
        <v>5161.3788106798602</v>
      </c>
      <c r="I150" s="373">
        <v>0.87233625160370776</v>
      </c>
    </row>
    <row r="151" spans="1:9" ht="39.75" customHeight="1" x14ac:dyDescent="0.25">
      <c r="A151" s="375">
        <v>293</v>
      </c>
      <c r="B151" s="372" t="s">
        <v>587</v>
      </c>
      <c r="C151" s="427">
        <v>29168.300723114979</v>
      </c>
      <c r="D151" s="427">
        <v>-11353.01</v>
      </c>
      <c r="E151" s="427">
        <v>17815.29072311498</v>
      </c>
      <c r="F151" s="427">
        <v>16093.99</v>
      </c>
      <c r="G151" s="427">
        <v>16093.99</v>
      </c>
      <c r="H151" s="427">
        <v>1721.3007231149804</v>
      </c>
      <c r="I151" s="373">
        <v>0.90338071099330264</v>
      </c>
    </row>
    <row r="152" spans="1:9" ht="33.75" x14ac:dyDescent="0.25">
      <c r="A152" s="376">
        <v>29301</v>
      </c>
      <c r="B152" s="377" t="s">
        <v>588</v>
      </c>
      <c r="C152" s="428">
        <v>29168.300723114979</v>
      </c>
      <c r="D152" s="428">
        <v>-11353.01</v>
      </c>
      <c r="E152" s="427">
        <v>17815.29072311498</v>
      </c>
      <c r="F152" s="428">
        <v>16093.99</v>
      </c>
      <c r="G152" s="428">
        <v>16093.99</v>
      </c>
      <c r="H152" s="427">
        <v>1721.3007231149804</v>
      </c>
      <c r="I152" s="373">
        <v>0.90338071099330264</v>
      </c>
    </row>
    <row r="153" spans="1:9" ht="40.5" customHeight="1" x14ac:dyDescent="0.25">
      <c r="A153" s="375">
        <v>294</v>
      </c>
      <c r="B153" s="372" t="s">
        <v>589</v>
      </c>
      <c r="C153" s="427">
        <v>110792.06572273161</v>
      </c>
      <c r="D153" s="427">
        <v>108383.59</v>
      </c>
      <c r="E153" s="427">
        <v>219175.65572273161</v>
      </c>
      <c r="F153" s="427">
        <v>132413.82</v>
      </c>
      <c r="G153" s="427">
        <v>132413.82</v>
      </c>
      <c r="H153" s="427">
        <v>86761.835722731601</v>
      </c>
      <c r="I153" s="373">
        <v>0.6041447420944881</v>
      </c>
    </row>
    <row r="154" spans="1:9" ht="33.75" x14ac:dyDescent="0.25">
      <c r="A154" s="376">
        <v>29401</v>
      </c>
      <c r="B154" s="377" t="s">
        <v>590</v>
      </c>
      <c r="C154" s="428">
        <v>110792.06572273161</v>
      </c>
      <c r="D154" s="428">
        <v>108383.59</v>
      </c>
      <c r="E154" s="427">
        <v>219175.65572273161</v>
      </c>
      <c r="F154" s="428">
        <v>132413.82</v>
      </c>
      <c r="G154" s="428">
        <v>132413.82</v>
      </c>
      <c r="H154" s="427">
        <v>86761.835722731601</v>
      </c>
      <c r="I154" s="373">
        <v>0.6041447420944881</v>
      </c>
    </row>
    <row r="155" spans="1:9" ht="45" hidden="1" customHeight="1" x14ac:dyDescent="0.25">
      <c r="A155" s="375">
        <v>295</v>
      </c>
      <c r="B155" s="372" t="s">
        <v>591</v>
      </c>
      <c r="C155" s="427">
        <v>0</v>
      </c>
      <c r="D155" s="427">
        <v>0</v>
      </c>
      <c r="E155" s="427">
        <v>0</v>
      </c>
      <c r="F155" s="427">
        <v>0</v>
      </c>
      <c r="G155" s="427">
        <v>0</v>
      </c>
      <c r="H155" s="427">
        <v>0</v>
      </c>
      <c r="I155" s="373" t="e">
        <v>#DIV/0!</v>
      </c>
    </row>
    <row r="156" spans="1:9" ht="33.75" hidden="1" x14ac:dyDescent="0.25">
      <c r="A156" s="376">
        <v>29501</v>
      </c>
      <c r="B156" s="377" t="s">
        <v>592</v>
      </c>
      <c r="C156" s="428">
        <v>0</v>
      </c>
      <c r="D156" s="428">
        <v>0</v>
      </c>
      <c r="E156" s="427">
        <v>0</v>
      </c>
      <c r="F156" s="428">
        <v>0</v>
      </c>
      <c r="G156" s="428">
        <v>0</v>
      </c>
      <c r="H156" s="427">
        <v>0</v>
      </c>
      <c r="I156" s="373" t="e">
        <v>#DIV/0!</v>
      </c>
    </row>
    <row r="157" spans="1:9" ht="22.5" x14ac:dyDescent="0.25">
      <c r="A157" s="375">
        <v>296</v>
      </c>
      <c r="B157" s="372" t="s">
        <v>593</v>
      </c>
      <c r="C157" s="427">
        <v>1057663.4063395988</v>
      </c>
      <c r="D157" s="427">
        <v>16685009.85</v>
      </c>
      <c r="E157" s="427">
        <v>17742673.256339598</v>
      </c>
      <c r="F157" s="427">
        <v>2294837.17</v>
      </c>
      <c r="G157" s="427">
        <v>2167339.37</v>
      </c>
      <c r="H157" s="427">
        <v>15447836.086339599</v>
      </c>
      <c r="I157" s="373">
        <v>0.12933998934912677</v>
      </c>
    </row>
    <row r="158" spans="1:9" ht="27" customHeight="1" x14ac:dyDescent="0.25">
      <c r="A158" s="376">
        <v>29601</v>
      </c>
      <c r="B158" s="377" t="s">
        <v>593</v>
      </c>
      <c r="C158" s="428">
        <v>1057663.4063395988</v>
      </c>
      <c r="D158" s="428">
        <v>16685009.85</v>
      </c>
      <c r="E158" s="427">
        <v>17742673.256339598</v>
      </c>
      <c r="F158" s="428">
        <v>2294837.17</v>
      </c>
      <c r="G158" s="428">
        <v>2167339.37</v>
      </c>
      <c r="H158" s="427">
        <v>15447836.086339599</v>
      </c>
      <c r="I158" s="373">
        <v>0.12933998934912677</v>
      </c>
    </row>
    <row r="159" spans="1:9" ht="33.75" x14ac:dyDescent="0.25">
      <c r="A159" s="375">
        <v>298</v>
      </c>
      <c r="B159" s="372" t="s">
        <v>594</v>
      </c>
      <c r="C159" s="427">
        <v>1364789.1917218056</v>
      </c>
      <c r="D159" s="427">
        <v>-583600.86</v>
      </c>
      <c r="E159" s="427">
        <v>781188.33172180562</v>
      </c>
      <c r="F159" s="427">
        <v>647308.57000000007</v>
      </c>
      <c r="G159" s="427">
        <v>630856.57000000007</v>
      </c>
      <c r="H159" s="427">
        <v>133879.76172180555</v>
      </c>
      <c r="I159" s="373">
        <v>0.828620377077672</v>
      </c>
    </row>
    <row r="160" spans="1:9" ht="33.75" x14ac:dyDescent="0.25">
      <c r="A160" s="376">
        <v>29801</v>
      </c>
      <c r="B160" s="377" t="s">
        <v>594</v>
      </c>
      <c r="C160" s="428">
        <v>1364789.1917218056</v>
      </c>
      <c r="D160" s="428">
        <v>-583600.86</v>
      </c>
      <c r="E160" s="427">
        <v>781188.33172180562</v>
      </c>
      <c r="F160" s="428">
        <v>647308.57000000007</v>
      </c>
      <c r="G160" s="428">
        <v>630856.57000000007</v>
      </c>
      <c r="H160" s="427">
        <v>133879.76172180555</v>
      </c>
      <c r="I160" s="373">
        <v>0.828620377077672</v>
      </c>
    </row>
    <row r="161" spans="1:9" x14ac:dyDescent="0.25">
      <c r="A161" s="376"/>
      <c r="B161" s="377"/>
      <c r="C161" s="428"/>
      <c r="D161" s="428"/>
      <c r="E161" s="427"/>
      <c r="F161" s="428"/>
      <c r="G161" s="428"/>
      <c r="H161" s="427"/>
      <c r="I161" s="373"/>
    </row>
    <row r="162" spans="1:9" x14ac:dyDescent="0.25">
      <c r="A162" s="371">
        <v>3000</v>
      </c>
      <c r="B162" s="372" t="s">
        <v>595</v>
      </c>
      <c r="C162" s="427">
        <v>147233209.45890099</v>
      </c>
      <c r="D162" s="427">
        <v>167699943.33000001</v>
      </c>
      <c r="E162" s="427">
        <v>314933152.78890097</v>
      </c>
      <c r="F162" s="427">
        <v>262049563.19999999</v>
      </c>
      <c r="G162" s="427">
        <v>239134510.09999999</v>
      </c>
      <c r="H162" s="427">
        <v>52883589.588900983</v>
      </c>
      <c r="I162" s="373">
        <v>0.83207995372799404</v>
      </c>
    </row>
    <row r="163" spans="1:9" x14ac:dyDescent="0.25">
      <c r="A163" s="374">
        <v>3100</v>
      </c>
      <c r="B163" s="372" t="s">
        <v>596</v>
      </c>
      <c r="C163" s="427">
        <v>61038412.895877376</v>
      </c>
      <c r="D163" s="427">
        <v>72606782.280000001</v>
      </c>
      <c r="E163" s="427">
        <v>133645195.17587738</v>
      </c>
      <c r="F163" s="427">
        <v>128237716.24999999</v>
      </c>
      <c r="G163" s="427">
        <v>127489716.44999999</v>
      </c>
      <c r="H163" s="427">
        <v>5407478.9258773923</v>
      </c>
      <c r="I163" s="373">
        <v>0.95953854593304955</v>
      </c>
    </row>
    <row r="164" spans="1:9" x14ac:dyDescent="0.25">
      <c r="A164" s="375">
        <v>311</v>
      </c>
      <c r="B164" s="372" t="s">
        <v>597</v>
      </c>
      <c r="C164" s="427">
        <v>59724995.899999999</v>
      </c>
      <c r="D164" s="427">
        <v>72788071.799999997</v>
      </c>
      <c r="E164" s="427">
        <v>132513067.69999999</v>
      </c>
      <c r="F164" s="427">
        <v>127279516.64</v>
      </c>
      <c r="G164" s="427">
        <v>126785567.64</v>
      </c>
      <c r="H164" s="427">
        <v>5233551.0599999875</v>
      </c>
      <c r="I164" s="373">
        <v>0.96050539655569389</v>
      </c>
    </row>
    <row r="165" spans="1:9" x14ac:dyDescent="0.25">
      <c r="A165" s="376">
        <v>31101</v>
      </c>
      <c r="B165" s="377" t="s">
        <v>597</v>
      </c>
      <c r="C165" s="428">
        <v>59724995.899999999</v>
      </c>
      <c r="D165" s="428">
        <v>72788071.799999997</v>
      </c>
      <c r="E165" s="427">
        <v>132513067.69999999</v>
      </c>
      <c r="F165" s="428">
        <v>127279516.64</v>
      </c>
      <c r="G165" s="428">
        <v>126785567.64</v>
      </c>
      <c r="H165" s="427">
        <v>5233551.0599999875</v>
      </c>
      <c r="I165" s="373">
        <v>0.96050539655569389</v>
      </c>
    </row>
    <row r="166" spans="1:9" x14ac:dyDescent="0.25">
      <c r="A166" s="375">
        <v>312</v>
      </c>
      <c r="B166" s="372" t="s">
        <v>598</v>
      </c>
      <c r="C166" s="427">
        <v>3175.2000000000003</v>
      </c>
      <c r="D166" s="427">
        <v>0</v>
      </c>
      <c r="E166" s="427">
        <v>3175.2000000000003</v>
      </c>
      <c r="F166" s="427">
        <v>2909.99</v>
      </c>
      <c r="G166" s="427">
        <v>2909.99</v>
      </c>
      <c r="H166" s="427">
        <v>265.21000000000049</v>
      </c>
      <c r="I166" s="373">
        <v>0.91647455278407641</v>
      </c>
    </row>
    <row r="167" spans="1:9" x14ac:dyDescent="0.25">
      <c r="A167" s="376">
        <v>31201</v>
      </c>
      <c r="B167" s="377" t="s">
        <v>598</v>
      </c>
      <c r="C167" s="428">
        <v>3175.2000000000003</v>
      </c>
      <c r="D167" s="428">
        <v>0</v>
      </c>
      <c r="E167" s="427">
        <v>3175.2000000000003</v>
      </c>
      <c r="F167" s="428">
        <v>2909.99</v>
      </c>
      <c r="G167" s="428">
        <v>2909.99</v>
      </c>
      <c r="H167" s="427">
        <v>265.21000000000049</v>
      </c>
      <c r="I167" s="373">
        <v>0.91647455278407641</v>
      </c>
    </row>
    <row r="168" spans="1:9" x14ac:dyDescent="0.25">
      <c r="A168" s="375">
        <v>313</v>
      </c>
      <c r="B168" s="372" t="s">
        <v>599</v>
      </c>
      <c r="C168" s="427">
        <v>35476</v>
      </c>
      <c r="D168" s="427">
        <v>69868.899999999994</v>
      </c>
      <c r="E168" s="427">
        <v>105344.9</v>
      </c>
      <c r="F168" s="427">
        <v>103432.47</v>
      </c>
      <c r="G168" s="427">
        <v>103410.70999999999</v>
      </c>
      <c r="H168" s="427">
        <v>1912.429999999993</v>
      </c>
      <c r="I168" s="373">
        <v>0.98184601247900949</v>
      </c>
    </row>
    <row r="169" spans="1:9" x14ac:dyDescent="0.25">
      <c r="A169" s="376">
        <v>31301</v>
      </c>
      <c r="B169" s="377" t="s">
        <v>600</v>
      </c>
      <c r="C169" s="428">
        <v>35476</v>
      </c>
      <c r="D169" s="428">
        <v>69868.899999999994</v>
      </c>
      <c r="E169" s="427">
        <v>105344.9</v>
      </c>
      <c r="F169" s="428">
        <v>103432.47</v>
      </c>
      <c r="G169" s="428">
        <v>103410.70999999999</v>
      </c>
      <c r="H169" s="427">
        <v>1912.429999999993</v>
      </c>
      <c r="I169" s="373">
        <v>0.98184601247900949</v>
      </c>
    </row>
    <row r="170" spans="1:9" x14ac:dyDescent="0.25">
      <c r="A170" s="375">
        <v>314</v>
      </c>
      <c r="B170" s="372" t="s">
        <v>601</v>
      </c>
      <c r="C170" s="427">
        <v>730666.80552019225</v>
      </c>
      <c r="D170" s="427">
        <v>-61809.200000000012</v>
      </c>
      <c r="E170" s="427">
        <v>668857.6055201923</v>
      </c>
      <c r="F170" s="427">
        <v>612362.44000000006</v>
      </c>
      <c r="G170" s="427">
        <v>384016.95999999996</v>
      </c>
      <c r="H170" s="427">
        <v>56495.16552019224</v>
      </c>
      <c r="I170" s="373">
        <v>0.91553483872512131</v>
      </c>
    </row>
    <row r="171" spans="1:9" x14ac:dyDescent="0.25">
      <c r="A171" s="376">
        <v>31401</v>
      </c>
      <c r="B171" s="377" t="s">
        <v>601</v>
      </c>
      <c r="C171" s="428">
        <v>730666.80552019225</v>
      </c>
      <c r="D171" s="428">
        <v>-61809.200000000012</v>
      </c>
      <c r="E171" s="427">
        <v>668857.6055201923</v>
      </c>
      <c r="F171" s="428">
        <v>612362.44000000006</v>
      </c>
      <c r="G171" s="428">
        <v>384016.95999999996</v>
      </c>
      <c r="H171" s="427">
        <v>56495.16552019224</v>
      </c>
      <c r="I171" s="373">
        <v>0.91553483872512131</v>
      </c>
    </row>
    <row r="172" spans="1:9" hidden="1" x14ac:dyDescent="0.25">
      <c r="A172" s="375">
        <v>315</v>
      </c>
      <c r="B172" s="372" t="s">
        <v>602</v>
      </c>
      <c r="C172" s="427">
        <v>0</v>
      </c>
      <c r="D172" s="427">
        <v>0</v>
      </c>
      <c r="E172" s="427">
        <v>0</v>
      </c>
      <c r="F172" s="427">
        <v>0</v>
      </c>
      <c r="G172" s="427">
        <v>0</v>
      </c>
      <c r="H172" s="427">
        <v>0</v>
      </c>
      <c r="I172" s="373" t="e">
        <v>#DIV/0!</v>
      </c>
    </row>
    <row r="173" spans="1:9" hidden="1" x14ac:dyDescent="0.25">
      <c r="A173" s="376">
        <v>31501</v>
      </c>
      <c r="B173" s="377" t="s">
        <v>602</v>
      </c>
      <c r="C173" s="428">
        <v>0</v>
      </c>
      <c r="D173" s="428">
        <v>0</v>
      </c>
      <c r="E173" s="427">
        <v>0</v>
      </c>
      <c r="F173" s="428">
        <v>0</v>
      </c>
      <c r="G173" s="428">
        <v>0</v>
      </c>
      <c r="H173" s="427">
        <v>0</v>
      </c>
      <c r="I173" s="373" t="e">
        <v>#DIV/0!</v>
      </c>
    </row>
    <row r="174" spans="1:9" ht="22.5" hidden="1" customHeight="1" x14ac:dyDescent="0.25">
      <c r="A174" s="375">
        <v>316</v>
      </c>
      <c r="B174" s="372" t="s">
        <v>603</v>
      </c>
      <c r="C174" s="427">
        <v>0</v>
      </c>
      <c r="D174" s="427">
        <v>0</v>
      </c>
      <c r="E174" s="427">
        <v>0</v>
      </c>
      <c r="F174" s="427">
        <v>0</v>
      </c>
      <c r="G174" s="427">
        <v>0</v>
      </c>
      <c r="H174" s="427">
        <v>0</v>
      </c>
      <c r="I174" s="373" t="e">
        <v>#DIV/0!</v>
      </c>
    </row>
    <row r="175" spans="1:9" ht="22.5" hidden="1" x14ac:dyDescent="0.25">
      <c r="A175" s="376">
        <v>31601</v>
      </c>
      <c r="B175" s="377" t="s">
        <v>603</v>
      </c>
      <c r="C175" s="428">
        <v>0</v>
      </c>
      <c r="D175" s="428">
        <v>0</v>
      </c>
      <c r="E175" s="427">
        <v>0</v>
      </c>
      <c r="F175" s="428">
        <v>0</v>
      </c>
      <c r="G175" s="428">
        <v>0</v>
      </c>
      <c r="H175" s="427">
        <v>0</v>
      </c>
      <c r="I175" s="373" t="e">
        <v>#DIV/0!</v>
      </c>
    </row>
    <row r="176" spans="1:9" ht="33.75" x14ac:dyDescent="0.25">
      <c r="A176" s="375">
        <v>317</v>
      </c>
      <c r="B176" s="372" t="s">
        <v>604</v>
      </c>
      <c r="C176" s="427">
        <v>497859.38884040323</v>
      </c>
      <c r="D176" s="427">
        <v>-160646.66999999998</v>
      </c>
      <c r="E176" s="427">
        <v>337212.71884040325</v>
      </c>
      <c r="F176" s="427">
        <v>231113.24000000002</v>
      </c>
      <c r="G176" s="427">
        <v>205429.68</v>
      </c>
      <c r="H176" s="427">
        <v>106099.47884040323</v>
      </c>
      <c r="I176" s="373">
        <v>0.68536335401210591</v>
      </c>
    </row>
    <row r="177" spans="1:9" ht="29.25" customHeight="1" x14ac:dyDescent="0.25">
      <c r="A177" s="376">
        <v>31701</v>
      </c>
      <c r="B177" s="377" t="s">
        <v>604</v>
      </c>
      <c r="C177" s="428">
        <v>497859.38884040323</v>
      </c>
      <c r="D177" s="428">
        <v>-160646.66999999998</v>
      </c>
      <c r="E177" s="427">
        <v>337212.71884040325</v>
      </c>
      <c r="F177" s="428">
        <v>231113.24000000002</v>
      </c>
      <c r="G177" s="428">
        <v>205429.68</v>
      </c>
      <c r="H177" s="427">
        <v>106099.47884040323</v>
      </c>
      <c r="I177" s="373">
        <v>0.68536335401210591</v>
      </c>
    </row>
    <row r="178" spans="1:9" ht="21.75" customHeight="1" x14ac:dyDescent="0.25">
      <c r="A178" s="375">
        <v>318</v>
      </c>
      <c r="B178" s="372" t="s">
        <v>605</v>
      </c>
      <c r="C178" s="427">
        <v>46239.60151678641</v>
      </c>
      <c r="D178" s="427">
        <v>-28702.55</v>
      </c>
      <c r="E178" s="427">
        <v>17537.051516786411</v>
      </c>
      <c r="F178" s="427">
        <v>8381.4699999999993</v>
      </c>
      <c r="G178" s="427">
        <v>8381.4699999999993</v>
      </c>
      <c r="H178" s="427">
        <v>9155.5815167864112</v>
      </c>
      <c r="I178" s="373">
        <v>0.47792925692082744</v>
      </c>
    </row>
    <row r="179" spans="1:9" x14ac:dyDescent="0.25">
      <c r="A179" s="376">
        <v>31801</v>
      </c>
      <c r="B179" s="377" t="s">
        <v>606</v>
      </c>
      <c r="C179" s="428">
        <v>46239.60151678641</v>
      </c>
      <c r="D179" s="428">
        <v>-28702.55</v>
      </c>
      <c r="E179" s="427">
        <v>17537.051516786411</v>
      </c>
      <c r="F179" s="428">
        <v>8381.4699999999993</v>
      </c>
      <c r="G179" s="428">
        <v>8381.4699999999993</v>
      </c>
      <c r="H179" s="427">
        <v>9155.5815167864112</v>
      </c>
      <c r="I179" s="373">
        <v>0.47792925692082744</v>
      </c>
    </row>
    <row r="180" spans="1:9" x14ac:dyDescent="0.25">
      <c r="A180" s="374">
        <v>3200</v>
      </c>
      <c r="B180" s="372" t="s">
        <v>607</v>
      </c>
      <c r="C180" s="427">
        <v>6517933.3933127671</v>
      </c>
      <c r="D180" s="427">
        <v>4315296.3899999997</v>
      </c>
      <c r="E180" s="427">
        <v>10833229.783312768</v>
      </c>
      <c r="F180" s="427">
        <v>7656212.8300000001</v>
      </c>
      <c r="G180" s="427">
        <v>6768783.1699999999</v>
      </c>
      <c r="H180" s="427">
        <v>3177016.9533127677</v>
      </c>
      <c r="I180" s="373">
        <v>0.70673409344583793</v>
      </c>
    </row>
    <row r="181" spans="1:9" x14ac:dyDescent="0.25">
      <c r="A181" s="375">
        <v>321</v>
      </c>
      <c r="B181" s="372" t="s">
        <v>608</v>
      </c>
      <c r="C181" s="427">
        <v>700732.39275292773</v>
      </c>
      <c r="D181" s="427">
        <v>-100000</v>
      </c>
      <c r="E181" s="427">
        <v>600732.39275292773</v>
      </c>
      <c r="F181" s="427">
        <v>0</v>
      </c>
      <c r="G181" s="427">
        <v>0</v>
      </c>
      <c r="H181" s="427">
        <v>600732.39275292773</v>
      </c>
      <c r="I181" s="373">
        <v>0</v>
      </c>
    </row>
    <row r="182" spans="1:9" x14ac:dyDescent="0.25">
      <c r="A182" s="376">
        <v>32101</v>
      </c>
      <c r="B182" s="377" t="s">
        <v>608</v>
      </c>
      <c r="C182" s="428">
        <v>700732.39275292773</v>
      </c>
      <c r="D182" s="428">
        <v>-100000</v>
      </c>
      <c r="E182" s="427">
        <v>600732.39275292773</v>
      </c>
      <c r="F182" s="428">
        <v>0</v>
      </c>
      <c r="G182" s="428">
        <v>0</v>
      </c>
      <c r="H182" s="427">
        <v>600732.39275292773</v>
      </c>
      <c r="I182" s="373">
        <v>0</v>
      </c>
    </row>
    <row r="183" spans="1:9" x14ac:dyDescent="0.25">
      <c r="A183" s="375">
        <v>322</v>
      </c>
      <c r="B183" s="372" t="s">
        <v>609</v>
      </c>
      <c r="C183" s="427">
        <v>2382711.777222015</v>
      </c>
      <c r="D183" s="427">
        <v>906395.85999999987</v>
      </c>
      <c r="E183" s="427">
        <v>3289107.6372220148</v>
      </c>
      <c r="F183" s="427">
        <v>2083977.1099999999</v>
      </c>
      <c r="G183" s="427">
        <v>1735679.1099999999</v>
      </c>
      <c r="H183" s="427">
        <v>1205130.527222015</v>
      </c>
      <c r="I183" s="373">
        <v>0.63359954731068946</v>
      </c>
    </row>
    <row r="184" spans="1:9" x14ac:dyDescent="0.25">
      <c r="A184" s="376">
        <v>32201</v>
      </c>
      <c r="B184" s="377" t="s">
        <v>609</v>
      </c>
      <c r="C184" s="428">
        <v>2382711.777222015</v>
      </c>
      <c r="D184" s="428">
        <v>906395.85999999987</v>
      </c>
      <c r="E184" s="427">
        <v>3289107.6372220148</v>
      </c>
      <c r="F184" s="428">
        <v>2083977.1099999999</v>
      </c>
      <c r="G184" s="428">
        <v>1735679.1099999999</v>
      </c>
      <c r="H184" s="427">
        <v>1205130.527222015</v>
      </c>
      <c r="I184" s="373">
        <v>0.63359954731068946</v>
      </c>
    </row>
    <row r="185" spans="1:9" ht="43.5" customHeight="1" x14ac:dyDescent="0.25">
      <c r="A185" s="375">
        <v>323</v>
      </c>
      <c r="B185" s="372" t="s">
        <v>610</v>
      </c>
      <c r="C185" s="427">
        <v>1093441.1651255754</v>
      </c>
      <c r="D185" s="427">
        <v>122658.16</v>
      </c>
      <c r="E185" s="427">
        <v>1216099.3251255753</v>
      </c>
      <c r="F185" s="427">
        <v>685941.99</v>
      </c>
      <c r="G185" s="427">
        <v>685941.99</v>
      </c>
      <c r="H185" s="427">
        <v>530157.33512557531</v>
      </c>
      <c r="I185" s="373">
        <v>0.56405095852608023</v>
      </c>
    </row>
    <row r="186" spans="1:9" ht="22.5" x14ac:dyDescent="0.25">
      <c r="A186" s="376">
        <v>32301</v>
      </c>
      <c r="B186" s="377" t="s">
        <v>611</v>
      </c>
      <c r="C186" s="428">
        <v>35914.233030152798</v>
      </c>
      <c r="D186" s="428">
        <v>303949</v>
      </c>
      <c r="E186" s="427">
        <v>339863.2330301528</v>
      </c>
      <c r="F186" s="428">
        <v>303949</v>
      </c>
      <c r="G186" s="428">
        <v>303949</v>
      </c>
      <c r="H186" s="427">
        <v>35914.233030152798</v>
      </c>
      <c r="I186" s="373">
        <v>0.89432739543507356</v>
      </c>
    </row>
    <row r="187" spans="1:9" ht="27.75" customHeight="1" x14ac:dyDescent="0.25">
      <c r="A187" s="376">
        <v>32302</v>
      </c>
      <c r="B187" s="377" t="s">
        <v>612</v>
      </c>
      <c r="C187" s="428">
        <v>1057526.9320954226</v>
      </c>
      <c r="D187" s="428">
        <v>-181290.84</v>
      </c>
      <c r="E187" s="427">
        <v>876236.09209542267</v>
      </c>
      <c r="F187" s="428">
        <v>381992.99</v>
      </c>
      <c r="G187" s="428">
        <v>381992.99</v>
      </c>
      <c r="H187" s="427">
        <v>494243.10209542268</v>
      </c>
      <c r="I187" s="373">
        <v>0.43594756418501956</v>
      </c>
    </row>
    <row r="188" spans="1:9" ht="22.5" x14ac:dyDescent="0.25">
      <c r="A188" s="375">
        <v>325</v>
      </c>
      <c r="B188" s="372" t="s">
        <v>613</v>
      </c>
      <c r="C188" s="427">
        <v>0</v>
      </c>
      <c r="D188" s="427">
        <v>0</v>
      </c>
      <c r="E188" s="427">
        <v>0</v>
      </c>
      <c r="F188" s="427">
        <v>0</v>
      </c>
      <c r="G188" s="427">
        <v>0</v>
      </c>
      <c r="H188" s="427">
        <v>0</v>
      </c>
      <c r="I188" s="373" t="e">
        <v>#DIV/0!</v>
      </c>
    </row>
    <row r="189" spans="1:9" ht="22.5" x14ac:dyDescent="0.25">
      <c r="A189" s="376">
        <v>32501</v>
      </c>
      <c r="B189" s="377" t="s">
        <v>614</v>
      </c>
      <c r="C189" s="428">
        <v>0</v>
      </c>
      <c r="D189" s="428">
        <v>0</v>
      </c>
      <c r="E189" s="427">
        <v>0</v>
      </c>
      <c r="F189" s="428">
        <v>0</v>
      </c>
      <c r="G189" s="428">
        <v>0</v>
      </c>
      <c r="H189" s="427">
        <v>0</v>
      </c>
      <c r="I189" s="373" t="e">
        <v>#DIV/0!</v>
      </c>
    </row>
    <row r="190" spans="1:9" ht="33.75" x14ac:dyDescent="0.25">
      <c r="A190" s="375">
        <v>326</v>
      </c>
      <c r="B190" s="372" t="s">
        <v>615</v>
      </c>
      <c r="C190" s="427">
        <v>2331268.9251699736</v>
      </c>
      <c r="D190" s="427">
        <v>3385314.37</v>
      </c>
      <c r="E190" s="427">
        <v>5716583.2951699737</v>
      </c>
      <c r="F190" s="427">
        <v>4885365.7300000004</v>
      </c>
      <c r="G190" s="427">
        <v>4346234.07</v>
      </c>
      <c r="H190" s="427">
        <v>831217.5651699733</v>
      </c>
      <c r="I190" s="373">
        <v>0.85459538989447048</v>
      </c>
    </row>
    <row r="191" spans="1:9" ht="22.5" x14ac:dyDescent="0.25">
      <c r="A191" s="376">
        <v>32601</v>
      </c>
      <c r="B191" s="377" t="s">
        <v>616</v>
      </c>
      <c r="C191" s="428">
        <v>2331268.9251699736</v>
      </c>
      <c r="D191" s="428">
        <v>3385314.37</v>
      </c>
      <c r="E191" s="427">
        <v>5716583.2951699737</v>
      </c>
      <c r="F191" s="428">
        <v>4885365.7300000004</v>
      </c>
      <c r="G191" s="428">
        <v>4346234.07</v>
      </c>
      <c r="H191" s="427">
        <v>831217.5651699733</v>
      </c>
      <c r="I191" s="373">
        <v>0.85459538989447048</v>
      </c>
    </row>
    <row r="192" spans="1:9" x14ac:dyDescent="0.25">
      <c r="A192" s="375">
        <v>329</v>
      </c>
      <c r="B192" s="372" t="s">
        <v>617</v>
      </c>
      <c r="C192" s="427">
        <v>9779.13304227548</v>
      </c>
      <c r="D192" s="427">
        <v>928</v>
      </c>
      <c r="E192" s="427">
        <v>10707.13304227548</v>
      </c>
      <c r="F192" s="427">
        <v>928</v>
      </c>
      <c r="G192" s="427">
        <v>928</v>
      </c>
      <c r="H192" s="427">
        <v>9779.13304227548</v>
      </c>
      <c r="I192" s="373">
        <v>8.6671193524534881E-2</v>
      </c>
    </row>
    <row r="193" spans="1:9" x14ac:dyDescent="0.25">
      <c r="A193" s="376">
        <v>32901</v>
      </c>
      <c r="B193" s="377" t="s">
        <v>617</v>
      </c>
      <c r="C193" s="428">
        <v>9779.13304227548</v>
      </c>
      <c r="D193" s="428">
        <v>928</v>
      </c>
      <c r="E193" s="427">
        <v>10707.13304227548</v>
      </c>
      <c r="F193" s="428">
        <v>928</v>
      </c>
      <c r="G193" s="428">
        <v>928</v>
      </c>
      <c r="H193" s="427">
        <v>9779.13304227548</v>
      </c>
      <c r="I193" s="373">
        <v>8.6671193524534881E-2</v>
      </c>
    </row>
    <row r="194" spans="1:9" ht="22.5" x14ac:dyDescent="0.25">
      <c r="A194" s="374">
        <v>3300</v>
      </c>
      <c r="B194" s="372" t="s">
        <v>618</v>
      </c>
      <c r="C194" s="427">
        <v>7749041.5543209761</v>
      </c>
      <c r="D194" s="427">
        <v>80734867.11999999</v>
      </c>
      <c r="E194" s="427">
        <v>88483908.674320966</v>
      </c>
      <c r="F194" s="427">
        <v>86284238.400000006</v>
      </c>
      <c r="G194" s="427">
        <v>85599806.280000001</v>
      </c>
      <c r="H194" s="427">
        <v>2199670.27432096</v>
      </c>
      <c r="I194" s="373">
        <v>0.97514044861628801</v>
      </c>
    </row>
    <row r="195" spans="1:9" ht="29.25" customHeight="1" x14ac:dyDescent="0.25">
      <c r="A195" s="375">
        <v>331</v>
      </c>
      <c r="B195" s="372" t="s">
        <v>619</v>
      </c>
      <c r="C195" s="427">
        <v>2520081.3854247043</v>
      </c>
      <c r="D195" s="427">
        <v>2363783.91</v>
      </c>
      <c r="E195" s="427">
        <v>4883865.2954247044</v>
      </c>
      <c r="F195" s="427">
        <v>3888707.42</v>
      </c>
      <c r="G195" s="427">
        <v>3652073.99</v>
      </c>
      <c r="H195" s="427">
        <v>995157.87542470451</v>
      </c>
      <c r="I195" s="373">
        <v>0.79623560126504989</v>
      </c>
    </row>
    <row r="196" spans="1:9" ht="24" customHeight="1" x14ac:dyDescent="0.25">
      <c r="A196" s="376">
        <v>33101</v>
      </c>
      <c r="B196" s="377" t="s">
        <v>619</v>
      </c>
      <c r="C196" s="428">
        <v>2520081.3854247043</v>
      </c>
      <c r="D196" s="428">
        <v>2363783.91</v>
      </c>
      <c r="E196" s="427">
        <v>4883865.2954247044</v>
      </c>
      <c r="F196" s="428">
        <v>3888707.42</v>
      </c>
      <c r="G196" s="428">
        <v>3652073.99</v>
      </c>
      <c r="H196" s="427">
        <v>995157.87542470451</v>
      </c>
      <c r="I196" s="373">
        <v>0.79623560126504989</v>
      </c>
    </row>
    <row r="197" spans="1:9" ht="33.75" x14ac:dyDescent="0.25">
      <c r="A197" s="375">
        <v>332</v>
      </c>
      <c r="B197" s="372" t="s">
        <v>620</v>
      </c>
      <c r="C197" s="427">
        <v>729575.52678136365</v>
      </c>
      <c r="D197" s="427">
        <v>-396180.44</v>
      </c>
      <c r="E197" s="427">
        <v>333395.08678136364</v>
      </c>
      <c r="F197" s="427">
        <v>145205.35</v>
      </c>
      <c r="G197" s="427">
        <v>31283.3</v>
      </c>
      <c r="H197" s="427">
        <v>188189.73678136364</v>
      </c>
      <c r="I197" s="373">
        <v>0.43553536256886677</v>
      </c>
    </row>
    <row r="198" spans="1:9" ht="33.75" x14ac:dyDescent="0.25">
      <c r="A198" s="376">
        <v>33201</v>
      </c>
      <c r="B198" s="377" t="s">
        <v>621</v>
      </c>
      <c r="C198" s="428">
        <v>729575.52678136365</v>
      </c>
      <c r="D198" s="428">
        <v>-396180.44</v>
      </c>
      <c r="E198" s="427">
        <v>333395.08678136364</v>
      </c>
      <c r="F198" s="428">
        <v>145205.35</v>
      </c>
      <c r="G198" s="428">
        <v>31283.3</v>
      </c>
      <c r="H198" s="427">
        <v>188189.73678136364</v>
      </c>
      <c r="I198" s="373">
        <v>0.43553536256886677</v>
      </c>
    </row>
    <row r="199" spans="1:9" ht="45" x14ac:dyDescent="0.25">
      <c r="A199" s="375">
        <v>333</v>
      </c>
      <c r="B199" s="372" t="s">
        <v>622</v>
      </c>
      <c r="C199" s="427">
        <v>1092560.5212168586</v>
      </c>
      <c r="D199" s="427">
        <v>109656.26999999999</v>
      </c>
      <c r="E199" s="427">
        <v>1202216.7912168587</v>
      </c>
      <c r="F199" s="427">
        <v>837343.94000000006</v>
      </c>
      <c r="G199" s="427">
        <v>824516.74</v>
      </c>
      <c r="H199" s="427">
        <v>364872.8512168586</v>
      </c>
      <c r="I199" s="373">
        <v>0.69649995418252153</v>
      </c>
    </row>
    <row r="200" spans="1:9" x14ac:dyDescent="0.25">
      <c r="A200" s="376">
        <v>33301</v>
      </c>
      <c r="B200" s="377" t="s">
        <v>623</v>
      </c>
      <c r="C200" s="428">
        <v>1072560.5212168586</v>
      </c>
      <c r="D200" s="428">
        <v>55467.76999999999</v>
      </c>
      <c r="E200" s="427">
        <v>1128028.2912168587</v>
      </c>
      <c r="F200" s="428">
        <v>763155.44000000006</v>
      </c>
      <c r="G200" s="428">
        <v>750328.24</v>
      </c>
      <c r="H200" s="427">
        <v>364872.8512168586</v>
      </c>
      <c r="I200" s="373">
        <v>0.67653927294389704</v>
      </c>
    </row>
    <row r="201" spans="1:9" x14ac:dyDescent="0.25">
      <c r="A201" s="376">
        <v>33302</v>
      </c>
      <c r="B201" s="377" t="s">
        <v>624</v>
      </c>
      <c r="C201" s="428">
        <v>20000</v>
      </c>
      <c r="D201" s="428">
        <v>54188.499999999993</v>
      </c>
      <c r="E201" s="427">
        <v>74188.5</v>
      </c>
      <c r="F201" s="428">
        <v>74188.5</v>
      </c>
      <c r="G201" s="428">
        <v>74188.5</v>
      </c>
      <c r="H201" s="427">
        <v>0</v>
      </c>
      <c r="I201" s="373">
        <v>1</v>
      </c>
    </row>
    <row r="202" spans="1:9" x14ac:dyDescent="0.25">
      <c r="A202" s="375">
        <v>334</v>
      </c>
      <c r="B202" s="372" t="s">
        <v>625</v>
      </c>
      <c r="C202" s="427">
        <v>180620.658552129</v>
      </c>
      <c r="D202" s="427">
        <v>26630.18</v>
      </c>
      <c r="E202" s="427">
        <v>207250.83855212899</v>
      </c>
      <c r="F202" s="427">
        <v>77608</v>
      </c>
      <c r="G202" s="427">
        <v>77608</v>
      </c>
      <c r="H202" s="427">
        <v>129642.83855212899</v>
      </c>
      <c r="I202" s="373">
        <v>0.37446410611496544</v>
      </c>
    </row>
    <row r="203" spans="1:9" x14ac:dyDescent="0.25">
      <c r="A203" s="376">
        <v>33401</v>
      </c>
      <c r="B203" s="377" t="s">
        <v>625</v>
      </c>
      <c r="C203" s="428">
        <v>180620.658552129</v>
      </c>
      <c r="D203" s="428">
        <v>26630.18</v>
      </c>
      <c r="E203" s="427">
        <v>207250.83855212899</v>
      </c>
      <c r="F203" s="428">
        <v>77608</v>
      </c>
      <c r="G203" s="428">
        <v>77608</v>
      </c>
      <c r="H203" s="427">
        <v>129642.83855212899</v>
      </c>
      <c r="I203" s="373">
        <v>0.37446410611496544</v>
      </c>
    </row>
    <row r="204" spans="1:9" ht="22.5" x14ac:dyDescent="0.25">
      <c r="A204" s="375">
        <v>335</v>
      </c>
      <c r="B204" s="372" t="s">
        <v>626</v>
      </c>
      <c r="C204" s="428">
        <v>2000</v>
      </c>
      <c r="D204" s="427">
        <v>-1683.04</v>
      </c>
      <c r="E204" s="427">
        <v>316.96000000000004</v>
      </c>
      <c r="F204" s="427">
        <v>0</v>
      </c>
      <c r="G204" s="427">
        <v>0</v>
      </c>
      <c r="H204" s="427">
        <v>316.96000000000004</v>
      </c>
      <c r="I204" s="373">
        <v>0</v>
      </c>
    </row>
    <row r="205" spans="1:9" ht="22.5" x14ac:dyDescent="0.25">
      <c r="A205" s="376">
        <v>33501</v>
      </c>
      <c r="B205" s="377" t="s">
        <v>626</v>
      </c>
      <c r="C205" s="428">
        <v>2000</v>
      </c>
      <c r="D205" s="428">
        <v>-1683.04</v>
      </c>
      <c r="E205" s="427">
        <v>316.96000000000004</v>
      </c>
      <c r="F205" s="428">
        <v>0</v>
      </c>
      <c r="G205" s="428">
        <v>0</v>
      </c>
      <c r="H205" s="427">
        <v>316.96000000000004</v>
      </c>
      <c r="I205" s="373">
        <v>0</v>
      </c>
    </row>
    <row r="206" spans="1:9" ht="33.75" x14ac:dyDescent="0.25">
      <c r="A206" s="375">
        <v>336</v>
      </c>
      <c r="B206" s="372" t="s">
        <v>627</v>
      </c>
      <c r="C206" s="427">
        <v>1438882.7012459198</v>
      </c>
      <c r="D206" s="427">
        <v>-234790.25999999998</v>
      </c>
      <c r="E206" s="427">
        <v>1204092.4412459198</v>
      </c>
      <c r="F206" s="427">
        <v>872800.58000000007</v>
      </c>
      <c r="G206" s="427">
        <v>827038.58000000007</v>
      </c>
      <c r="H206" s="427">
        <v>331291.86124591972</v>
      </c>
      <c r="I206" s="373">
        <v>0.72486177149063447</v>
      </c>
    </row>
    <row r="207" spans="1:9" hidden="1" x14ac:dyDescent="0.25">
      <c r="A207" s="376">
        <v>33601</v>
      </c>
      <c r="B207" s="377" t="s">
        <v>628</v>
      </c>
      <c r="C207" s="428">
        <v>0</v>
      </c>
      <c r="D207" s="428">
        <v>0</v>
      </c>
      <c r="E207" s="427">
        <v>0</v>
      </c>
      <c r="F207" s="428">
        <v>0</v>
      </c>
      <c r="G207" s="428">
        <v>0</v>
      </c>
      <c r="H207" s="427">
        <v>0</v>
      </c>
      <c r="I207" s="373" t="e">
        <v>#DIV/0!</v>
      </c>
    </row>
    <row r="208" spans="1:9" x14ac:dyDescent="0.25">
      <c r="A208" s="376">
        <v>33603</v>
      </c>
      <c r="B208" s="377" t="s">
        <v>629</v>
      </c>
      <c r="C208" s="428">
        <v>993882.70124591992</v>
      </c>
      <c r="D208" s="428">
        <v>-262881.53999999998</v>
      </c>
      <c r="E208" s="427">
        <v>731001.16124592</v>
      </c>
      <c r="F208" s="428">
        <v>402525.8</v>
      </c>
      <c r="G208" s="428">
        <v>356763.8</v>
      </c>
      <c r="H208" s="427">
        <v>328475.36124592001</v>
      </c>
      <c r="I208" s="373">
        <v>0.55065001444585138</v>
      </c>
    </row>
    <row r="209" spans="1:9" ht="22.5" x14ac:dyDescent="0.25">
      <c r="A209" s="376">
        <v>33605</v>
      </c>
      <c r="B209" s="377" t="s">
        <v>630</v>
      </c>
      <c r="C209" s="428">
        <v>350000</v>
      </c>
      <c r="D209" s="428">
        <v>-5420.5</v>
      </c>
      <c r="E209" s="427">
        <v>344579.5</v>
      </c>
      <c r="F209" s="428">
        <v>341763</v>
      </c>
      <c r="G209" s="428">
        <v>341763</v>
      </c>
      <c r="H209" s="427">
        <v>2816.5</v>
      </c>
      <c r="I209" s="373">
        <v>0.99182626940952667</v>
      </c>
    </row>
    <row r="210" spans="1:9" ht="33.75" x14ac:dyDescent="0.25">
      <c r="A210" s="376">
        <v>33608</v>
      </c>
      <c r="B210" s="377" t="s">
        <v>631</v>
      </c>
      <c r="C210" s="428">
        <v>95000</v>
      </c>
      <c r="D210" s="428">
        <v>33511.78</v>
      </c>
      <c r="E210" s="427">
        <v>128511.78</v>
      </c>
      <c r="F210" s="428">
        <v>128511.78</v>
      </c>
      <c r="G210" s="428">
        <v>128511.78</v>
      </c>
      <c r="H210" s="427">
        <v>0</v>
      </c>
      <c r="I210" s="373">
        <v>1</v>
      </c>
    </row>
    <row r="211" spans="1:9" x14ac:dyDescent="0.25">
      <c r="A211" s="375">
        <v>338</v>
      </c>
      <c r="B211" s="372" t="s">
        <v>632</v>
      </c>
      <c r="C211" s="427">
        <v>337152.75310000003</v>
      </c>
      <c r="D211" s="427">
        <v>-44801.390000000014</v>
      </c>
      <c r="E211" s="427">
        <v>292351.36310000002</v>
      </c>
      <c r="F211" s="427">
        <v>180264</v>
      </c>
      <c r="G211" s="427">
        <v>90088</v>
      </c>
      <c r="H211" s="427">
        <v>112087.36310000002</v>
      </c>
      <c r="I211" s="373">
        <v>0.61660051141386307</v>
      </c>
    </row>
    <row r="212" spans="1:9" x14ac:dyDescent="0.25">
      <c r="A212" s="376">
        <v>33801</v>
      </c>
      <c r="B212" s="377" t="s">
        <v>632</v>
      </c>
      <c r="C212" s="428">
        <v>337152.75310000003</v>
      </c>
      <c r="D212" s="428">
        <v>-44801.390000000014</v>
      </c>
      <c r="E212" s="427">
        <v>292351.36310000002</v>
      </c>
      <c r="F212" s="428">
        <v>180264</v>
      </c>
      <c r="G212" s="428">
        <v>90088</v>
      </c>
      <c r="H212" s="427">
        <v>112087.36310000002</v>
      </c>
      <c r="I212" s="373">
        <v>0.61660051141386307</v>
      </c>
    </row>
    <row r="213" spans="1:9" ht="22.5" x14ac:dyDescent="0.25">
      <c r="A213" s="375">
        <v>339</v>
      </c>
      <c r="B213" s="372" t="s">
        <v>633</v>
      </c>
      <c r="C213" s="427">
        <v>1448168.0079999999</v>
      </c>
      <c r="D213" s="427">
        <v>78912251.890000001</v>
      </c>
      <c r="E213" s="427">
        <v>80360419.898000002</v>
      </c>
      <c r="F213" s="427">
        <v>80282309.109999999</v>
      </c>
      <c r="G213" s="427">
        <v>80097197.670000002</v>
      </c>
      <c r="H213" s="427">
        <v>78110.788000002503</v>
      </c>
      <c r="I213" s="373">
        <v>0.99902799427754174</v>
      </c>
    </row>
    <row r="214" spans="1:9" ht="22.5" x14ac:dyDescent="0.25">
      <c r="A214" s="376">
        <v>33901</v>
      </c>
      <c r="B214" s="377" t="s">
        <v>633</v>
      </c>
      <c r="C214" s="428">
        <v>1448168.0079999999</v>
      </c>
      <c r="D214" s="428">
        <v>1830511.8099999998</v>
      </c>
      <c r="E214" s="427">
        <v>3278679.818</v>
      </c>
      <c r="F214" s="428">
        <v>3200569.0300000003</v>
      </c>
      <c r="G214" s="428">
        <v>3015457.5900000003</v>
      </c>
      <c r="H214" s="427">
        <v>78110.787999999709</v>
      </c>
      <c r="I214" s="373">
        <v>0.97617614639551864</v>
      </c>
    </row>
    <row r="215" spans="1:9" hidden="1" x14ac:dyDescent="0.25">
      <c r="A215" s="376">
        <v>33902</v>
      </c>
      <c r="B215" s="377" t="s">
        <v>634</v>
      </c>
      <c r="C215" s="428">
        <v>0</v>
      </c>
      <c r="D215" s="428">
        <v>77081740.079999998</v>
      </c>
      <c r="E215" s="427">
        <v>77081740.079999998</v>
      </c>
      <c r="F215" s="428">
        <v>77081740.079999998</v>
      </c>
      <c r="G215" s="428">
        <v>77081740.079999998</v>
      </c>
      <c r="H215" s="427">
        <v>0</v>
      </c>
      <c r="I215" s="373">
        <v>1</v>
      </c>
    </row>
    <row r="216" spans="1:9" ht="33.75" customHeight="1" x14ac:dyDescent="0.25">
      <c r="A216" s="374">
        <v>3400</v>
      </c>
      <c r="B216" s="372" t="s">
        <v>635</v>
      </c>
      <c r="C216" s="427">
        <v>10191755.271978199</v>
      </c>
      <c r="D216" s="427">
        <v>-5373304.2199999997</v>
      </c>
      <c r="E216" s="427">
        <v>4818451.0519781997</v>
      </c>
      <c r="F216" s="427">
        <v>2978249.7</v>
      </c>
      <c r="G216" s="427">
        <v>2918303.0900000003</v>
      </c>
      <c r="H216" s="427">
        <v>1840201.3519781996</v>
      </c>
      <c r="I216" s="373">
        <v>0.61809275799891938</v>
      </c>
    </row>
    <row r="217" spans="1:9" x14ac:dyDescent="0.25">
      <c r="A217" s="375">
        <v>341</v>
      </c>
      <c r="B217" s="372" t="s">
        <v>636</v>
      </c>
      <c r="C217" s="427">
        <v>926377.65509305254</v>
      </c>
      <c r="D217" s="427">
        <v>463129.16000000003</v>
      </c>
      <c r="E217" s="427">
        <v>1389506.8150930526</v>
      </c>
      <c r="F217" s="427">
        <v>1235913.99</v>
      </c>
      <c r="G217" s="427">
        <v>1194669.9100000001</v>
      </c>
      <c r="H217" s="427">
        <v>153592.82509305258</v>
      </c>
      <c r="I217" s="373">
        <v>0.88946234489482023</v>
      </c>
    </row>
    <row r="218" spans="1:9" x14ac:dyDescent="0.25">
      <c r="A218" s="376">
        <v>34101</v>
      </c>
      <c r="B218" s="377" t="s">
        <v>636</v>
      </c>
      <c r="C218" s="428">
        <v>926377.65509305254</v>
      </c>
      <c r="D218" s="428">
        <v>463129.16000000003</v>
      </c>
      <c r="E218" s="427">
        <v>1389506.8150930526</v>
      </c>
      <c r="F218" s="428">
        <v>1235913.99</v>
      </c>
      <c r="G218" s="428">
        <v>1194669.9100000001</v>
      </c>
      <c r="H218" s="427">
        <v>153592.82509305258</v>
      </c>
      <c r="I218" s="373">
        <v>0.88946234489482023</v>
      </c>
    </row>
    <row r="219" spans="1:9" ht="22.5" x14ac:dyDescent="0.25">
      <c r="A219" s="375">
        <v>343</v>
      </c>
      <c r="B219" s="372" t="s">
        <v>637</v>
      </c>
      <c r="C219" s="427">
        <v>8109913.412464424</v>
      </c>
      <c r="D219" s="427">
        <v>-6693682.8300000001</v>
      </c>
      <c r="E219" s="427">
        <v>1416230.582464424</v>
      </c>
      <c r="F219" s="427">
        <v>741764.51000000013</v>
      </c>
      <c r="G219" s="427">
        <v>741761.03</v>
      </c>
      <c r="H219" s="427">
        <v>674466.07246442384</v>
      </c>
      <c r="I219" s="373">
        <v>0.52375970352880963</v>
      </c>
    </row>
    <row r="220" spans="1:9" ht="22.5" x14ac:dyDescent="0.25">
      <c r="A220" s="376">
        <v>34301</v>
      </c>
      <c r="B220" s="377" t="s">
        <v>637</v>
      </c>
      <c r="C220" s="428">
        <v>8109913.412464424</v>
      </c>
      <c r="D220" s="428">
        <v>-6693682.8300000001</v>
      </c>
      <c r="E220" s="427">
        <v>1416230.582464424</v>
      </c>
      <c r="F220" s="428">
        <v>741764.51000000013</v>
      </c>
      <c r="G220" s="428">
        <v>741761.03</v>
      </c>
      <c r="H220" s="427">
        <v>674466.07246442384</v>
      </c>
      <c r="I220" s="373">
        <v>0.52375970352880963</v>
      </c>
    </row>
    <row r="221" spans="1:9" ht="32.25" customHeight="1" x14ac:dyDescent="0.25">
      <c r="A221" s="375">
        <v>344</v>
      </c>
      <c r="B221" s="372" t="s">
        <v>638</v>
      </c>
      <c r="C221" s="427">
        <v>1066015.8719413751</v>
      </c>
      <c r="D221" s="427">
        <v>815789.53</v>
      </c>
      <c r="E221" s="427">
        <v>1881805.4019413751</v>
      </c>
      <c r="F221" s="427">
        <v>921942.95000000007</v>
      </c>
      <c r="G221" s="427">
        <v>915423.9</v>
      </c>
      <c r="H221" s="427">
        <v>959862.45194137504</v>
      </c>
      <c r="I221" s="373">
        <v>0.48992470159181839</v>
      </c>
    </row>
    <row r="222" spans="1:9" ht="22.5" customHeight="1" x14ac:dyDescent="0.25">
      <c r="A222" s="376">
        <v>34401</v>
      </c>
      <c r="B222" s="377" t="s">
        <v>638</v>
      </c>
      <c r="C222" s="428">
        <v>1066015.8719413751</v>
      </c>
      <c r="D222" s="428">
        <v>815789.53</v>
      </c>
      <c r="E222" s="427">
        <v>1881805.4019413751</v>
      </c>
      <c r="F222" s="428">
        <v>921942.95000000007</v>
      </c>
      <c r="G222" s="428">
        <v>915423.9</v>
      </c>
      <c r="H222" s="427">
        <v>959862.45194137504</v>
      </c>
      <c r="I222" s="373">
        <v>0.48992470159181839</v>
      </c>
    </row>
    <row r="223" spans="1:9" x14ac:dyDescent="0.25">
      <c r="A223" s="375">
        <v>347</v>
      </c>
      <c r="B223" s="372" t="s">
        <v>639</v>
      </c>
      <c r="C223" s="427">
        <v>89448.332479347911</v>
      </c>
      <c r="D223" s="427">
        <v>41459.920000000006</v>
      </c>
      <c r="E223" s="427">
        <v>130908.25247934792</v>
      </c>
      <c r="F223" s="427">
        <v>78628.25</v>
      </c>
      <c r="G223" s="427">
        <v>66448.25</v>
      </c>
      <c r="H223" s="427">
        <v>52280.002479347924</v>
      </c>
      <c r="I223" s="373">
        <v>0.60063631215613689</v>
      </c>
    </row>
    <row r="224" spans="1:9" x14ac:dyDescent="0.25">
      <c r="A224" s="376">
        <v>34701</v>
      </c>
      <c r="B224" s="377" t="s">
        <v>639</v>
      </c>
      <c r="C224" s="428">
        <v>89448.332479347911</v>
      </c>
      <c r="D224" s="428">
        <v>41459.920000000006</v>
      </c>
      <c r="E224" s="427">
        <v>130908.25247934792</v>
      </c>
      <c r="F224" s="428">
        <v>78628.25</v>
      </c>
      <c r="G224" s="428">
        <v>66448.25</v>
      </c>
      <c r="H224" s="427">
        <v>52280.002479347924</v>
      </c>
      <c r="I224" s="373">
        <v>0.60063631215613689</v>
      </c>
    </row>
    <row r="225" spans="1:9" ht="22.5" x14ac:dyDescent="0.25">
      <c r="A225" s="374">
        <v>3500</v>
      </c>
      <c r="B225" s="372" t="s">
        <v>640</v>
      </c>
      <c r="C225" s="427">
        <v>16927289.39632158</v>
      </c>
      <c r="D225" s="427">
        <v>-2664231.5599999991</v>
      </c>
      <c r="E225" s="427">
        <v>14263057.836321581</v>
      </c>
      <c r="F225" s="427">
        <v>10569506.140000001</v>
      </c>
      <c r="G225" s="427">
        <v>8330071.4100000001</v>
      </c>
      <c r="H225" s="427">
        <v>3693551.6963215806</v>
      </c>
      <c r="I225" s="373">
        <v>0.7410406843534092</v>
      </c>
    </row>
    <row r="226" spans="1:9" ht="24.75" customHeight="1" x14ac:dyDescent="0.25">
      <c r="A226" s="375">
        <v>351</v>
      </c>
      <c r="B226" s="372" t="s">
        <v>641</v>
      </c>
      <c r="C226" s="427">
        <v>602425.03439800639</v>
      </c>
      <c r="D226" s="427">
        <v>148431.4</v>
      </c>
      <c r="E226" s="427">
        <v>750856.43439800641</v>
      </c>
      <c r="F226" s="427">
        <v>637464.68999999994</v>
      </c>
      <c r="G226" s="427">
        <v>635520.68999999994</v>
      </c>
      <c r="H226" s="427">
        <v>113391.74439800647</v>
      </c>
      <c r="I226" s="373">
        <v>0.84898345515422335</v>
      </c>
    </row>
    <row r="227" spans="1:9" ht="24.75" customHeight="1" x14ac:dyDescent="0.25">
      <c r="A227" s="376">
        <v>35101</v>
      </c>
      <c r="B227" s="377" t="s">
        <v>641</v>
      </c>
      <c r="C227" s="428">
        <v>602425.03439800639</v>
      </c>
      <c r="D227" s="428">
        <v>148431.4</v>
      </c>
      <c r="E227" s="427">
        <v>750856.43439800641</v>
      </c>
      <c r="F227" s="428">
        <v>637464.68999999994</v>
      </c>
      <c r="G227" s="428">
        <v>635520.68999999994</v>
      </c>
      <c r="H227" s="427">
        <v>113391.74439800647</v>
      </c>
      <c r="I227" s="373">
        <v>0.84898345515422335</v>
      </c>
    </row>
    <row r="228" spans="1:9" ht="48" customHeight="1" x14ac:dyDescent="0.25">
      <c r="A228" s="375">
        <v>352</v>
      </c>
      <c r="B228" s="372" t="s">
        <v>642</v>
      </c>
      <c r="C228" s="427">
        <v>159447.43995853601</v>
      </c>
      <c r="D228" s="427">
        <v>-34122.97</v>
      </c>
      <c r="E228" s="427">
        <v>125324.46995853601</v>
      </c>
      <c r="F228" s="427">
        <v>56381.17</v>
      </c>
      <c r="G228" s="427">
        <v>56381.17</v>
      </c>
      <c r="H228" s="427">
        <v>68943.299958536008</v>
      </c>
      <c r="I228" s="373">
        <v>0.44988157555067965</v>
      </c>
    </row>
    <row r="229" spans="1:9" ht="33.75" x14ac:dyDescent="0.25">
      <c r="A229" s="376">
        <v>35201</v>
      </c>
      <c r="B229" s="377" t="s">
        <v>643</v>
      </c>
      <c r="C229" s="428">
        <v>159447.43995853601</v>
      </c>
      <c r="D229" s="428">
        <v>-34122.97</v>
      </c>
      <c r="E229" s="427">
        <v>125324.46995853601</v>
      </c>
      <c r="F229" s="428">
        <v>56381.17</v>
      </c>
      <c r="G229" s="428">
        <v>56381.17</v>
      </c>
      <c r="H229" s="427">
        <v>68943.299958536008</v>
      </c>
      <c r="I229" s="373">
        <v>0.44988157555067965</v>
      </c>
    </row>
    <row r="230" spans="1:9" ht="35.25" customHeight="1" x14ac:dyDescent="0.25">
      <c r="A230" s="375">
        <v>353</v>
      </c>
      <c r="B230" s="372" t="s">
        <v>644</v>
      </c>
      <c r="C230" s="427">
        <v>100766.41271574525</v>
      </c>
      <c r="D230" s="427">
        <v>71700</v>
      </c>
      <c r="E230" s="427">
        <v>172466.41271574525</v>
      </c>
      <c r="F230" s="427">
        <v>105758.01</v>
      </c>
      <c r="G230" s="427">
        <v>99842.01</v>
      </c>
      <c r="H230" s="427">
        <v>66708.402715745251</v>
      </c>
      <c r="I230" s="373">
        <v>0.6132093103502283</v>
      </c>
    </row>
    <row r="231" spans="1:9" x14ac:dyDescent="0.25">
      <c r="A231" s="376">
        <v>35301</v>
      </c>
      <c r="B231" s="377" t="s">
        <v>645</v>
      </c>
      <c r="C231" s="428">
        <v>0</v>
      </c>
      <c r="D231" s="428">
        <v>0</v>
      </c>
      <c r="E231" s="427">
        <v>0</v>
      </c>
      <c r="F231" s="428">
        <v>0</v>
      </c>
      <c r="G231" s="428">
        <v>0</v>
      </c>
      <c r="H231" s="427">
        <v>0</v>
      </c>
      <c r="I231" s="373" t="e">
        <v>#DIV/0!</v>
      </c>
    </row>
    <row r="232" spans="1:9" ht="33" customHeight="1" x14ac:dyDescent="0.25">
      <c r="A232" s="376">
        <v>35302</v>
      </c>
      <c r="B232" s="377" t="s">
        <v>646</v>
      </c>
      <c r="C232" s="428">
        <v>100766.41271574525</v>
      </c>
      <c r="D232" s="428">
        <v>71700</v>
      </c>
      <c r="E232" s="427">
        <v>172466.41271574525</v>
      </c>
      <c r="F232" s="428">
        <v>105758.01</v>
      </c>
      <c r="G232" s="428">
        <v>99842.01</v>
      </c>
      <c r="H232" s="427">
        <v>66708.402715745251</v>
      </c>
      <c r="I232" s="373">
        <v>0.6132093103502283</v>
      </c>
    </row>
    <row r="233" spans="1:9" ht="22.5" x14ac:dyDescent="0.25">
      <c r="A233" s="375">
        <v>355</v>
      </c>
      <c r="B233" s="372" t="s">
        <v>647</v>
      </c>
      <c r="C233" s="427">
        <v>1381731.2158652721</v>
      </c>
      <c r="D233" s="427">
        <v>1374770.06</v>
      </c>
      <c r="E233" s="427">
        <v>2756501.2758652722</v>
      </c>
      <c r="F233" s="427">
        <v>1655080.35</v>
      </c>
      <c r="G233" s="427">
        <v>1526582.8299999998</v>
      </c>
      <c r="H233" s="427">
        <v>1101420.9258652721</v>
      </c>
      <c r="I233" s="373">
        <v>0.60042792814614843</v>
      </c>
    </row>
    <row r="234" spans="1:9" ht="22.5" x14ac:dyDescent="0.25">
      <c r="A234" s="376">
        <v>35501</v>
      </c>
      <c r="B234" s="377" t="s">
        <v>647</v>
      </c>
      <c r="C234" s="428">
        <v>1381731.2158652721</v>
      </c>
      <c r="D234" s="428">
        <v>1374770.06</v>
      </c>
      <c r="E234" s="427">
        <v>2756501.2758652722</v>
      </c>
      <c r="F234" s="428">
        <v>1655080.35</v>
      </c>
      <c r="G234" s="428">
        <v>1526582.8299999998</v>
      </c>
      <c r="H234" s="427">
        <v>1101420.9258652721</v>
      </c>
      <c r="I234" s="373">
        <v>0.60042792814614843</v>
      </c>
    </row>
    <row r="235" spans="1:9" ht="36.75" customHeight="1" x14ac:dyDescent="0.25">
      <c r="A235" s="375">
        <v>357</v>
      </c>
      <c r="B235" s="372" t="s">
        <v>648</v>
      </c>
      <c r="C235" s="427">
        <v>14350807.831439309</v>
      </c>
      <c r="D235" s="427">
        <v>-4509674.9499999993</v>
      </c>
      <c r="E235" s="427">
        <v>9841132.8814393096</v>
      </c>
      <c r="F235" s="427">
        <v>7569720.8300000001</v>
      </c>
      <c r="G235" s="427">
        <v>5478643.6200000001</v>
      </c>
      <c r="H235" s="427">
        <v>2271412.0514393095</v>
      </c>
      <c r="I235" s="373">
        <v>0.76919201490274913</v>
      </c>
    </row>
    <row r="236" spans="1:9" ht="22.5" x14ac:dyDescent="0.25">
      <c r="A236" s="376">
        <v>35701</v>
      </c>
      <c r="B236" s="377" t="s">
        <v>649</v>
      </c>
      <c r="C236" s="428">
        <v>14345807.831439309</v>
      </c>
      <c r="D236" s="428">
        <v>-4509674.9499999993</v>
      </c>
      <c r="E236" s="427">
        <v>9836132.8814393096</v>
      </c>
      <c r="F236" s="428">
        <v>7569720.8300000001</v>
      </c>
      <c r="G236" s="428">
        <v>5478643.6200000001</v>
      </c>
      <c r="H236" s="427">
        <v>2266412.0514393095</v>
      </c>
      <c r="I236" s="373">
        <v>0.76958301816804364</v>
      </c>
    </row>
    <row r="237" spans="1:9" ht="33.75" x14ac:dyDescent="0.25">
      <c r="A237" s="376">
        <v>35702</v>
      </c>
      <c r="B237" s="377" t="s">
        <v>650</v>
      </c>
      <c r="C237" s="428">
        <v>5000</v>
      </c>
      <c r="D237" s="428">
        <v>0</v>
      </c>
      <c r="E237" s="427">
        <v>5000</v>
      </c>
      <c r="F237" s="428">
        <v>0</v>
      </c>
      <c r="G237" s="428">
        <v>0</v>
      </c>
      <c r="H237" s="427">
        <v>5000</v>
      </c>
      <c r="I237" s="373">
        <v>0</v>
      </c>
    </row>
    <row r="238" spans="1:9" ht="24.75" customHeight="1" x14ac:dyDescent="0.25">
      <c r="A238" s="375">
        <v>358</v>
      </c>
      <c r="B238" s="372" t="s">
        <v>651</v>
      </c>
      <c r="C238" s="427">
        <v>236429.77948129721</v>
      </c>
      <c r="D238" s="427">
        <v>345196.58</v>
      </c>
      <c r="E238" s="427">
        <v>581626.3594812972</v>
      </c>
      <c r="F238" s="427">
        <v>520161.09</v>
      </c>
      <c r="G238" s="427">
        <v>508161.09</v>
      </c>
      <c r="H238" s="427">
        <v>61465.269481297175</v>
      </c>
      <c r="I238" s="373">
        <v>0.89432172651852848</v>
      </c>
    </row>
    <row r="239" spans="1:9" ht="22.5" x14ac:dyDescent="0.25">
      <c r="A239" s="376">
        <v>35801</v>
      </c>
      <c r="B239" s="377" t="s">
        <v>651</v>
      </c>
      <c r="C239" s="428">
        <v>236429.77948129721</v>
      </c>
      <c r="D239" s="428">
        <v>345196.58</v>
      </c>
      <c r="E239" s="427">
        <v>581626.3594812972</v>
      </c>
      <c r="F239" s="428">
        <v>520161.09</v>
      </c>
      <c r="G239" s="428">
        <v>508161.09</v>
      </c>
      <c r="H239" s="427">
        <v>61465.269481297175</v>
      </c>
      <c r="I239" s="373">
        <v>0.89432172651852848</v>
      </c>
    </row>
    <row r="240" spans="1:9" x14ac:dyDescent="0.25">
      <c r="A240" s="375">
        <v>359</v>
      </c>
      <c r="B240" s="372" t="s">
        <v>652</v>
      </c>
      <c r="C240" s="427">
        <v>95681.682463416742</v>
      </c>
      <c r="D240" s="427">
        <v>-60531.68</v>
      </c>
      <c r="E240" s="427">
        <v>35150.002463416742</v>
      </c>
      <c r="F240" s="427">
        <v>24940</v>
      </c>
      <c r="G240" s="427">
        <v>24940</v>
      </c>
      <c r="H240" s="427">
        <v>10210.002463416742</v>
      </c>
      <c r="I240" s="373">
        <v>0.7095305334887797</v>
      </c>
    </row>
    <row r="241" spans="1:9" x14ac:dyDescent="0.25">
      <c r="A241" s="376">
        <v>35901</v>
      </c>
      <c r="B241" s="377" t="s">
        <v>652</v>
      </c>
      <c r="C241" s="428">
        <v>95681.682463416742</v>
      </c>
      <c r="D241" s="428">
        <v>-60531.68</v>
      </c>
      <c r="E241" s="427">
        <v>35150.002463416742</v>
      </c>
      <c r="F241" s="428">
        <v>24940</v>
      </c>
      <c r="G241" s="428">
        <v>24940</v>
      </c>
      <c r="H241" s="427">
        <v>10210.002463416742</v>
      </c>
      <c r="I241" s="373">
        <v>0.7095305334887797</v>
      </c>
    </row>
    <row r="242" spans="1:9" ht="30" customHeight="1" x14ac:dyDescent="0.25">
      <c r="A242" s="374">
        <v>3600</v>
      </c>
      <c r="B242" s="372" t="s">
        <v>653</v>
      </c>
      <c r="C242" s="427">
        <v>1803370.7264297067</v>
      </c>
      <c r="D242" s="427">
        <v>-1334992.1299999999</v>
      </c>
      <c r="E242" s="427">
        <v>468378.59642970678</v>
      </c>
      <c r="F242" s="427">
        <v>118011</v>
      </c>
      <c r="G242" s="427">
        <v>118011</v>
      </c>
      <c r="H242" s="427">
        <v>350367.59642970678</v>
      </c>
      <c r="I242" s="373">
        <v>0.25195643203929119</v>
      </c>
    </row>
    <row r="243" spans="1:9" ht="44.25" customHeight="1" x14ac:dyDescent="0.25">
      <c r="A243" s="375">
        <v>361</v>
      </c>
      <c r="B243" s="372" t="s">
        <v>654</v>
      </c>
      <c r="C243" s="427">
        <v>1773078.6326371171</v>
      </c>
      <c r="D243" s="427">
        <v>-1334992.1299999999</v>
      </c>
      <c r="E243" s="427">
        <v>438086.50263711717</v>
      </c>
      <c r="F243" s="427">
        <v>115455</v>
      </c>
      <c r="G243" s="427">
        <v>115455</v>
      </c>
      <c r="H243" s="427">
        <v>322631.50263711717</v>
      </c>
      <c r="I243" s="373">
        <v>0.26354384192392144</v>
      </c>
    </row>
    <row r="244" spans="1:9" ht="39" customHeight="1" x14ac:dyDescent="0.25">
      <c r="A244" s="376">
        <v>36101</v>
      </c>
      <c r="B244" s="377" t="s">
        <v>654</v>
      </c>
      <c r="C244" s="428">
        <v>1773078.6326371171</v>
      </c>
      <c r="D244" s="428">
        <v>-1334992.1299999999</v>
      </c>
      <c r="E244" s="427">
        <v>438086.50263711717</v>
      </c>
      <c r="F244" s="428">
        <v>115455</v>
      </c>
      <c r="G244" s="428">
        <v>115455</v>
      </c>
      <c r="H244" s="427">
        <v>322631.50263711717</v>
      </c>
      <c r="I244" s="373">
        <v>0.26354384192392144</v>
      </c>
    </row>
    <row r="245" spans="1:9" ht="27.75" customHeight="1" x14ac:dyDescent="0.25">
      <c r="A245" s="375">
        <v>364</v>
      </c>
      <c r="B245" s="372" t="s">
        <v>655</v>
      </c>
      <c r="C245" s="427">
        <v>507.31799648922885</v>
      </c>
      <c r="D245" s="427">
        <v>0</v>
      </c>
      <c r="E245" s="427">
        <v>507.31799648922885</v>
      </c>
      <c r="F245" s="427">
        <v>0</v>
      </c>
      <c r="G245" s="427">
        <v>0</v>
      </c>
      <c r="H245" s="427">
        <v>507.31799648922885</v>
      </c>
      <c r="I245" s="373">
        <v>0</v>
      </c>
    </row>
    <row r="246" spans="1:9" x14ac:dyDescent="0.25">
      <c r="A246" s="376">
        <v>36401</v>
      </c>
      <c r="B246" s="377" t="s">
        <v>655</v>
      </c>
      <c r="C246" s="428">
        <v>507.31799648922885</v>
      </c>
      <c r="D246" s="428">
        <v>0</v>
      </c>
      <c r="E246" s="427">
        <v>507.31799648922885</v>
      </c>
      <c r="F246" s="428">
        <v>0</v>
      </c>
      <c r="G246" s="428">
        <v>0</v>
      </c>
      <c r="H246" s="427">
        <v>507.31799648922885</v>
      </c>
      <c r="I246" s="373">
        <v>0</v>
      </c>
    </row>
    <row r="247" spans="1:9" ht="25.5" customHeight="1" x14ac:dyDescent="0.25">
      <c r="A247" s="375">
        <v>365</v>
      </c>
      <c r="B247" s="372" t="s">
        <v>656</v>
      </c>
      <c r="C247" s="427">
        <v>26163.236000000001</v>
      </c>
      <c r="D247" s="427">
        <v>0</v>
      </c>
      <c r="E247" s="427">
        <v>26163.236000000001</v>
      </c>
      <c r="F247" s="427">
        <v>0</v>
      </c>
      <c r="G247" s="427">
        <v>0</v>
      </c>
      <c r="H247" s="427">
        <v>26163.236000000001</v>
      </c>
      <c r="I247" s="373">
        <v>0</v>
      </c>
    </row>
    <row r="248" spans="1:9" ht="22.5" x14ac:dyDescent="0.25">
      <c r="A248" s="376">
        <v>36501</v>
      </c>
      <c r="B248" s="377" t="s">
        <v>656</v>
      </c>
      <c r="C248" s="428">
        <v>26163.236000000001</v>
      </c>
      <c r="D248" s="428">
        <v>0</v>
      </c>
      <c r="E248" s="427">
        <v>26163.236000000001</v>
      </c>
      <c r="F248" s="428">
        <v>0</v>
      </c>
      <c r="G248" s="428">
        <v>0</v>
      </c>
      <c r="H248" s="427">
        <v>26163.236000000001</v>
      </c>
      <c r="I248" s="373">
        <v>0</v>
      </c>
    </row>
    <row r="249" spans="1:9" x14ac:dyDescent="0.25">
      <c r="A249" s="375">
        <v>369</v>
      </c>
      <c r="B249" s="372" t="s">
        <v>657</v>
      </c>
      <c r="C249" s="427">
        <v>3621.5397961004564</v>
      </c>
      <c r="D249" s="427">
        <v>0</v>
      </c>
      <c r="E249" s="427">
        <v>3621.5397961004564</v>
      </c>
      <c r="F249" s="427">
        <v>2556</v>
      </c>
      <c r="G249" s="427">
        <v>2556</v>
      </c>
      <c r="H249" s="427">
        <v>1065.5397961004564</v>
      </c>
      <c r="I249" s="373">
        <v>0.70577714008616133</v>
      </c>
    </row>
    <row r="250" spans="1:9" x14ac:dyDescent="0.25">
      <c r="A250" s="376">
        <v>36901</v>
      </c>
      <c r="B250" s="377" t="s">
        <v>657</v>
      </c>
      <c r="C250" s="428">
        <v>3621.5397961004564</v>
      </c>
      <c r="D250" s="428">
        <v>0</v>
      </c>
      <c r="E250" s="427">
        <v>3621.5397961004564</v>
      </c>
      <c r="F250" s="428">
        <v>2556</v>
      </c>
      <c r="G250" s="428">
        <v>2556</v>
      </c>
      <c r="H250" s="427">
        <v>1065.5397961004564</v>
      </c>
      <c r="I250" s="373">
        <v>0.70577714008616133</v>
      </c>
    </row>
    <row r="251" spans="1:9" x14ac:dyDescent="0.25">
      <c r="A251" s="374">
        <v>3700</v>
      </c>
      <c r="B251" s="372" t="s">
        <v>658</v>
      </c>
      <c r="C251" s="427">
        <v>2769974.7739054281</v>
      </c>
      <c r="D251" s="427">
        <v>-644309.97000000009</v>
      </c>
      <c r="E251" s="427">
        <v>2125664.8039054279</v>
      </c>
      <c r="F251" s="427">
        <v>1799477.41</v>
      </c>
      <c r="G251" s="427">
        <v>1797531.28</v>
      </c>
      <c r="H251" s="427">
        <v>326187.39390542801</v>
      </c>
      <c r="I251" s="373">
        <v>0.8465480571978552</v>
      </c>
    </row>
    <row r="252" spans="1:9" x14ac:dyDescent="0.25">
      <c r="A252" s="375">
        <v>371</v>
      </c>
      <c r="B252" s="372" t="s">
        <v>659</v>
      </c>
      <c r="C252" s="427">
        <v>270000</v>
      </c>
      <c r="D252" s="427">
        <v>-104853</v>
      </c>
      <c r="E252" s="427">
        <v>165147</v>
      </c>
      <c r="F252" s="427">
        <v>164771</v>
      </c>
      <c r="G252" s="427">
        <v>164771</v>
      </c>
      <c r="H252" s="427">
        <v>376</v>
      </c>
      <c r="I252" s="373">
        <v>0.99772324050694228</v>
      </c>
    </row>
    <row r="253" spans="1:9" x14ac:dyDescent="0.25">
      <c r="A253" s="376">
        <v>37101</v>
      </c>
      <c r="B253" s="377" t="s">
        <v>659</v>
      </c>
      <c r="C253" s="428">
        <v>230000</v>
      </c>
      <c r="D253" s="428">
        <v>-64853</v>
      </c>
      <c r="E253" s="427">
        <v>165147</v>
      </c>
      <c r="F253" s="428">
        <v>164771</v>
      </c>
      <c r="G253" s="428">
        <v>164771</v>
      </c>
      <c r="H253" s="427">
        <v>376</v>
      </c>
      <c r="I253" s="373">
        <v>0.99772324050694228</v>
      </c>
    </row>
    <row r="254" spans="1:9" ht="33.75" x14ac:dyDescent="0.25">
      <c r="A254" s="376">
        <v>37104</v>
      </c>
      <c r="B254" s="377" t="s">
        <v>660</v>
      </c>
      <c r="C254" s="428">
        <v>40000</v>
      </c>
      <c r="D254" s="428">
        <v>-40000</v>
      </c>
      <c r="E254" s="427">
        <v>0</v>
      </c>
      <c r="F254" s="428">
        <v>0</v>
      </c>
      <c r="G254" s="428">
        <v>0</v>
      </c>
      <c r="H254" s="427">
        <v>0</v>
      </c>
      <c r="I254" s="373" t="e">
        <v>#DIV/0!</v>
      </c>
    </row>
    <row r="255" spans="1:9" x14ac:dyDescent="0.25">
      <c r="A255" s="375">
        <v>372</v>
      </c>
      <c r="B255" s="372" t="s">
        <v>661</v>
      </c>
      <c r="C255" s="427">
        <v>10000</v>
      </c>
      <c r="D255" s="427">
        <v>10</v>
      </c>
      <c r="E255" s="427">
        <v>10010</v>
      </c>
      <c r="F255" s="427">
        <v>8509.85</v>
      </c>
      <c r="G255" s="427">
        <v>8509.85</v>
      </c>
      <c r="H255" s="427">
        <v>1500.1499999999996</v>
      </c>
      <c r="I255" s="373">
        <v>0.85013486513486514</v>
      </c>
    </row>
    <row r="256" spans="1:9" x14ac:dyDescent="0.25">
      <c r="A256" s="376">
        <v>37201</v>
      </c>
      <c r="B256" s="377" t="s">
        <v>661</v>
      </c>
      <c r="C256" s="428">
        <v>10000</v>
      </c>
      <c r="D256" s="428">
        <v>10</v>
      </c>
      <c r="E256" s="427">
        <v>10010</v>
      </c>
      <c r="F256" s="428">
        <v>8509.85</v>
      </c>
      <c r="G256" s="428">
        <v>8509.85</v>
      </c>
      <c r="H256" s="427">
        <v>1500.1499999999996</v>
      </c>
      <c r="I256" s="373">
        <v>0.85013486513486514</v>
      </c>
    </row>
    <row r="257" spans="1:9" x14ac:dyDescent="0.25">
      <c r="A257" s="375">
        <v>375</v>
      </c>
      <c r="B257" s="372" t="s">
        <v>662</v>
      </c>
      <c r="C257" s="427">
        <v>2321335.4539054283</v>
      </c>
      <c r="D257" s="427">
        <v>-459671.63000000006</v>
      </c>
      <c r="E257" s="427">
        <v>1861663.8239054282</v>
      </c>
      <c r="F257" s="427">
        <v>1542023.4</v>
      </c>
      <c r="G257" s="427">
        <v>1540323.43</v>
      </c>
      <c r="H257" s="427">
        <v>319640.42390542827</v>
      </c>
      <c r="I257" s="373">
        <v>0.82830389686851114</v>
      </c>
    </row>
    <row r="258" spans="1:9" x14ac:dyDescent="0.25">
      <c r="A258" s="376">
        <v>37501</v>
      </c>
      <c r="B258" s="377" t="s">
        <v>662</v>
      </c>
      <c r="C258" s="428">
        <v>1564437.6326192059</v>
      </c>
      <c r="D258" s="428">
        <v>-266406.92000000004</v>
      </c>
      <c r="E258" s="427">
        <v>1298030.7126192059</v>
      </c>
      <c r="F258" s="428">
        <v>1116023.3999999999</v>
      </c>
      <c r="G258" s="428">
        <v>1114323.43</v>
      </c>
      <c r="H258" s="427">
        <v>182007.31261920603</v>
      </c>
      <c r="I258" s="373">
        <v>0.85978196752221203</v>
      </c>
    </row>
    <row r="259" spans="1:9" x14ac:dyDescent="0.25">
      <c r="A259" s="376">
        <v>37502</v>
      </c>
      <c r="B259" s="377" t="s">
        <v>663</v>
      </c>
      <c r="C259" s="428">
        <v>756897.82128622255</v>
      </c>
      <c r="D259" s="428">
        <v>-193264.71000000002</v>
      </c>
      <c r="E259" s="427">
        <v>563633.11128622247</v>
      </c>
      <c r="F259" s="428">
        <v>426000</v>
      </c>
      <c r="G259" s="428">
        <v>426000</v>
      </c>
      <c r="H259" s="427">
        <v>137633.11128622247</v>
      </c>
      <c r="I259" s="373">
        <v>0.75581081286700691</v>
      </c>
    </row>
    <row r="260" spans="1:9" x14ac:dyDescent="0.25">
      <c r="A260" s="375">
        <v>376</v>
      </c>
      <c r="B260" s="372" t="s">
        <v>664</v>
      </c>
      <c r="C260" s="427">
        <v>60000</v>
      </c>
      <c r="D260" s="427">
        <v>-34102</v>
      </c>
      <c r="E260" s="427">
        <v>25898</v>
      </c>
      <c r="F260" s="427">
        <v>25897.66</v>
      </c>
      <c r="G260" s="427">
        <v>25897.66</v>
      </c>
      <c r="H260" s="427">
        <v>0.34000000000014552</v>
      </c>
      <c r="I260" s="373">
        <v>0.9999868715730944</v>
      </c>
    </row>
    <row r="261" spans="1:9" x14ac:dyDescent="0.25">
      <c r="A261" s="376">
        <v>37601</v>
      </c>
      <c r="B261" s="377" t="s">
        <v>664</v>
      </c>
      <c r="C261" s="428">
        <v>60000</v>
      </c>
      <c r="D261" s="428">
        <v>-34102</v>
      </c>
      <c r="E261" s="427">
        <v>25898</v>
      </c>
      <c r="F261" s="428">
        <v>25897.66</v>
      </c>
      <c r="G261" s="428">
        <v>25897.66</v>
      </c>
      <c r="H261" s="427">
        <v>0.34000000000014552</v>
      </c>
      <c r="I261" s="373">
        <v>0.9999868715730944</v>
      </c>
    </row>
    <row r="262" spans="1:9" ht="31.5" customHeight="1" x14ac:dyDescent="0.25">
      <c r="A262" s="375">
        <v>378</v>
      </c>
      <c r="B262" s="372" t="s">
        <v>665</v>
      </c>
      <c r="C262" s="427">
        <v>2000</v>
      </c>
      <c r="D262" s="427">
        <v>800</v>
      </c>
      <c r="E262" s="427">
        <v>2800</v>
      </c>
      <c r="F262" s="427">
        <v>2788.5</v>
      </c>
      <c r="G262" s="427">
        <v>2788.5</v>
      </c>
      <c r="H262" s="427">
        <v>11.5</v>
      </c>
      <c r="I262" s="373">
        <v>0.99589285714285714</v>
      </c>
    </row>
    <row r="263" spans="1:9" ht="22.5" x14ac:dyDescent="0.25">
      <c r="A263" s="376">
        <v>37801</v>
      </c>
      <c r="B263" s="377" t="s">
        <v>665</v>
      </c>
      <c r="C263" s="428">
        <v>2000</v>
      </c>
      <c r="D263" s="428">
        <v>800</v>
      </c>
      <c r="E263" s="427">
        <v>2800</v>
      </c>
      <c r="F263" s="428">
        <v>2788.5</v>
      </c>
      <c r="G263" s="428">
        <v>2788.5</v>
      </c>
      <c r="H263" s="427">
        <v>11.5</v>
      </c>
      <c r="I263" s="373">
        <v>0.99589285714285714</v>
      </c>
    </row>
    <row r="264" spans="1:9" ht="25.5" customHeight="1" x14ac:dyDescent="0.25">
      <c r="A264" s="375">
        <v>379</v>
      </c>
      <c r="B264" s="372" t="s">
        <v>666</v>
      </c>
      <c r="C264" s="427">
        <v>106639.32</v>
      </c>
      <c r="D264" s="427">
        <v>-46493.340000000004</v>
      </c>
      <c r="E264" s="427">
        <v>60145.98</v>
      </c>
      <c r="F264" s="427">
        <v>55487</v>
      </c>
      <c r="G264" s="427">
        <v>55240.84</v>
      </c>
      <c r="H264" s="427">
        <v>4658.9800000000032</v>
      </c>
      <c r="I264" s="373">
        <v>0.92253879644159087</v>
      </c>
    </row>
    <row r="265" spans="1:9" x14ac:dyDescent="0.25">
      <c r="A265" s="376">
        <v>37901</v>
      </c>
      <c r="B265" s="377" t="s">
        <v>667</v>
      </c>
      <c r="C265" s="428">
        <v>106639.32</v>
      </c>
      <c r="D265" s="428">
        <v>-46493.340000000004</v>
      </c>
      <c r="E265" s="427">
        <v>60145.98</v>
      </c>
      <c r="F265" s="428">
        <v>55487</v>
      </c>
      <c r="G265" s="428">
        <v>55240.84</v>
      </c>
      <c r="H265" s="427">
        <v>4658.9800000000032</v>
      </c>
      <c r="I265" s="373">
        <v>0.92253879644159087</v>
      </c>
    </row>
    <row r="266" spans="1:9" x14ac:dyDescent="0.25">
      <c r="A266" s="374">
        <v>3800</v>
      </c>
      <c r="B266" s="372" t="s">
        <v>668</v>
      </c>
      <c r="C266" s="427">
        <v>92700</v>
      </c>
      <c r="D266" s="427">
        <v>658592.99</v>
      </c>
      <c r="E266" s="427">
        <v>751292.99</v>
      </c>
      <c r="F266" s="427">
        <v>749934.99</v>
      </c>
      <c r="G266" s="427">
        <v>749934.99</v>
      </c>
      <c r="H266" s="427">
        <v>1358</v>
      </c>
      <c r="I266" s="373">
        <v>0.99819244952624941</v>
      </c>
    </row>
    <row r="267" spans="1:9" x14ac:dyDescent="0.25">
      <c r="A267" s="375">
        <v>381</v>
      </c>
      <c r="B267" s="372" t="s">
        <v>669</v>
      </c>
      <c r="C267" s="427">
        <v>500</v>
      </c>
      <c r="D267" s="427">
        <v>0</v>
      </c>
      <c r="E267" s="427">
        <v>500</v>
      </c>
      <c r="F267" s="427">
        <v>0</v>
      </c>
      <c r="G267" s="427">
        <v>0</v>
      </c>
      <c r="H267" s="427">
        <v>500</v>
      </c>
      <c r="I267" s="373">
        <v>0</v>
      </c>
    </row>
    <row r="268" spans="1:9" x14ac:dyDescent="0.25">
      <c r="A268" s="376">
        <v>38101</v>
      </c>
      <c r="B268" s="377" t="s">
        <v>669</v>
      </c>
      <c r="C268" s="428">
        <v>500</v>
      </c>
      <c r="D268" s="428">
        <v>0</v>
      </c>
      <c r="E268" s="427">
        <v>500</v>
      </c>
      <c r="F268" s="428">
        <v>0</v>
      </c>
      <c r="G268" s="428">
        <v>0</v>
      </c>
      <c r="H268" s="427">
        <v>500</v>
      </c>
      <c r="I268" s="373">
        <v>0</v>
      </c>
    </row>
    <row r="269" spans="1:9" ht="22.5" customHeight="1" x14ac:dyDescent="0.25">
      <c r="A269" s="375">
        <v>382</v>
      </c>
      <c r="B269" s="372" t="s">
        <v>670</v>
      </c>
      <c r="C269" s="427">
        <v>0</v>
      </c>
      <c r="D269" s="427">
        <v>42732.15</v>
      </c>
      <c r="E269" s="427">
        <v>42732.15</v>
      </c>
      <c r="F269" s="427">
        <v>42732.15</v>
      </c>
      <c r="G269" s="427">
        <v>42732.15</v>
      </c>
      <c r="H269" s="427">
        <v>0</v>
      </c>
      <c r="I269" s="373">
        <v>1</v>
      </c>
    </row>
    <row r="270" spans="1:9" x14ac:dyDescent="0.25">
      <c r="A270" s="376">
        <v>38201</v>
      </c>
      <c r="B270" s="377" t="s">
        <v>670</v>
      </c>
      <c r="C270" s="428">
        <v>0</v>
      </c>
      <c r="D270" s="428">
        <v>42732.15</v>
      </c>
      <c r="E270" s="427">
        <v>42732.15</v>
      </c>
      <c r="F270" s="428">
        <v>42732.15</v>
      </c>
      <c r="G270" s="428">
        <v>42732.15</v>
      </c>
      <c r="H270" s="427">
        <v>0</v>
      </c>
      <c r="I270" s="373">
        <v>1</v>
      </c>
    </row>
    <row r="271" spans="1:9" x14ac:dyDescent="0.25">
      <c r="A271" s="375">
        <v>383</v>
      </c>
      <c r="B271" s="372" t="s">
        <v>671</v>
      </c>
      <c r="C271" s="427">
        <v>92200</v>
      </c>
      <c r="D271" s="427">
        <v>615860.84</v>
      </c>
      <c r="E271" s="427">
        <v>708060.84</v>
      </c>
      <c r="F271" s="427">
        <v>707202.84</v>
      </c>
      <c r="G271" s="427">
        <v>707202.84</v>
      </c>
      <c r="H271" s="427">
        <v>858</v>
      </c>
      <c r="I271" s="373">
        <v>0.99878823972245101</v>
      </c>
    </row>
    <row r="272" spans="1:9" x14ac:dyDescent="0.25">
      <c r="A272" s="376">
        <v>38301</v>
      </c>
      <c r="B272" s="377" t="s">
        <v>671</v>
      </c>
      <c r="C272" s="428">
        <v>92200</v>
      </c>
      <c r="D272" s="428">
        <v>615860.84</v>
      </c>
      <c r="E272" s="427">
        <v>708060.84</v>
      </c>
      <c r="F272" s="428">
        <v>707202.84</v>
      </c>
      <c r="G272" s="428">
        <v>707202.84</v>
      </c>
      <c r="H272" s="427">
        <v>858</v>
      </c>
      <c r="I272" s="373">
        <v>0.99878823972245101</v>
      </c>
    </row>
    <row r="273" spans="1:9" hidden="1" x14ac:dyDescent="0.25">
      <c r="A273" s="375">
        <v>385</v>
      </c>
      <c r="B273" s="372" t="s">
        <v>672</v>
      </c>
      <c r="C273" s="427">
        <v>0</v>
      </c>
      <c r="D273" s="427">
        <v>0</v>
      </c>
      <c r="E273" s="427">
        <v>0</v>
      </c>
      <c r="F273" s="427">
        <v>0</v>
      </c>
      <c r="G273" s="427">
        <v>0</v>
      </c>
      <c r="H273" s="427">
        <v>0</v>
      </c>
      <c r="I273" s="373" t="e">
        <v>#DIV/0!</v>
      </c>
    </row>
    <row r="274" spans="1:9" hidden="1" x14ac:dyDescent="0.25">
      <c r="A274" s="376">
        <v>38501</v>
      </c>
      <c r="B274" s="377" t="s">
        <v>673</v>
      </c>
      <c r="C274" s="428">
        <v>0</v>
      </c>
      <c r="D274" s="428">
        <v>0</v>
      </c>
      <c r="E274" s="427">
        <v>0</v>
      </c>
      <c r="F274" s="428">
        <v>0</v>
      </c>
      <c r="G274" s="428">
        <v>0</v>
      </c>
      <c r="H274" s="427">
        <v>0</v>
      </c>
      <c r="I274" s="373" t="e">
        <v>#DIV/0!</v>
      </c>
    </row>
    <row r="275" spans="1:9" x14ac:dyDescent="0.25">
      <c r="A275" s="374">
        <v>3900</v>
      </c>
      <c r="B275" s="372" t="s">
        <v>674</v>
      </c>
      <c r="C275" s="427">
        <v>40142731.44675497</v>
      </c>
      <c r="D275" s="427">
        <v>19401242.430000003</v>
      </c>
      <c r="E275" s="427">
        <v>59543973.876754969</v>
      </c>
      <c r="F275" s="427">
        <v>23656216.479999997</v>
      </c>
      <c r="G275" s="427">
        <v>5362352.43</v>
      </c>
      <c r="H275" s="427">
        <v>35887757.396754973</v>
      </c>
      <c r="I275" s="373">
        <v>0.39728985050551036</v>
      </c>
    </row>
    <row r="276" spans="1:9" x14ac:dyDescent="0.25">
      <c r="A276" s="375">
        <v>392</v>
      </c>
      <c r="B276" s="372" t="s">
        <v>675</v>
      </c>
      <c r="C276" s="427">
        <v>35125000.001000002</v>
      </c>
      <c r="D276" s="427">
        <v>17819106.950000003</v>
      </c>
      <c r="E276" s="427">
        <v>52944106.951000005</v>
      </c>
      <c r="F276" s="427">
        <v>17672066.359999999</v>
      </c>
      <c r="G276" s="427">
        <v>276300</v>
      </c>
      <c r="H276" s="427">
        <v>35272040.591000006</v>
      </c>
      <c r="I276" s="373">
        <v>0.33378722161383462</v>
      </c>
    </row>
    <row r="277" spans="1:9" x14ac:dyDescent="0.25">
      <c r="A277" s="376">
        <v>39201</v>
      </c>
      <c r="B277" s="377" t="s">
        <v>675</v>
      </c>
      <c r="C277" s="428">
        <v>35125000.001000002</v>
      </c>
      <c r="D277" s="428">
        <v>17819106.950000003</v>
      </c>
      <c r="E277" s="427">
        <v>52944106.951000005</v>
      </c>
      <c r="F277" s="428">
        <v>17672066.359999999</v>
      </c>
      <c r="G277" s="428">
        <v>276300</v>
      </c>
      <c r="H277" s="427">
        <v>35272040.591000006</v>
      </c>
      <c r="I277" s="373">
        <v>0.33378722161383462</v>
      </c>
    </row>
    <row r="278" spans="1:9" ht="30" customHeight="1" x14ac:dyDescent="0.25">
      <c r="A278" s="375">
        <v>395</v>
      </c>
      <c r="B278" s="372" t="s">
        <v>676</v>
      </c>
      <c r="C278" s="427">
        <v>1423084.9583120574</v>
      </c>
      <c r="D278" s="427">
        <v>-517880.62</v>
      </c>
      <c r="E278" s="427">
        <v>905204.33831205743</v>
      </c>
      <c r="F278" s="427">
        <v>488120.06</v>
      </c>
      <c r="G278" s="427">
        <v>400014.99</v>
      </c>
      <c r="H278" s="427">
        <v>417084.27831205743</v>
      </c>
      <c r="I278" s="373">
        <v>0.5392374288773315</v>
      </c>
    </row>
    <row r="279" spans="1:9" ht="27.75" customHeight="1" x14ac:dyDescent="0.25">
      <c r="A279" s="376">
        <v>39501</v>
      </c>
      <c r="B279" s="377" t="s">
        <v>676</v>
      </c>
      <c r="C279" s="428">
        <v>1423084.9583120574</v>
      </c>
      <c r="D279" s="428">
        <v>-517880.62</v>
      </c>
      <c r="E279" s="427">
        <v>905204.33831205743</v>
      </c>
      <c r="F279" s="428">
        <v>488120.06</v>
      </c>
      <c r="G279" s="428">
        <v>400014.99</v>
      </c>
      <c r="H279" s="427">
        <v>417084.27831205743</v>
      </c>
      <c r="I279" s="373">
        <v>0.5392374288773315</v>
      </c>
    </row>
    <row r="280" spans="1:9" x14ac:dyDescent="0.25">
      <c r="A280" s="375">
        <v>396</v>
      </c>
      <c r="B280" s="372" t="s">
        <v>677</v>
      </c>
      <c r="C280" s="427">
        <v>9450.7823489051589</v>
      </c>
      <c r="D280" s="427">
        <v>0</v>
      </c>
      <c r="E280" s="427">
        <v>9450.7823489051589</v>
      </c>
      <c r="F280" s="427">
        <v>0</v>
      </c>
      <c r="G280" s="427">
        <v>0</v>
      </c>
      <c r="H280" s="427">
        <v>9450.7823489051589</v>
      </c>
      <c r="I280" s="373">
        <v>0</v>
      </c>
    </row>
    <row r="281" spans="1:9" x14ac:dyDescent="0.25">
      <c r="A281" s="376">
        <v>39601</v>
      </c>
      <c r="B281" s="377" t="s">
        <v>677</v>
      </c>
      <c r="C281" s="428">
        <v>9450.7823489051589</v>
      </c>
      <c r="D281" s="428">
        <v>0</v>
      </c>
      <c r="E281" s="427">
        <v>9450.7823489051589</v>
      </c>
      <c r="F281" s="428">
        <v>0</v>
      </c>
      <c r="G281" s="428">
        <v>0</v>
      </c>
      <c r="H281" s="427">
        <v>9450.7823489051589</v>
      </c>
      <c r="I281" s="373">
        <v>0</v>
      </c>
    </row>
    <row r="282" spans="1:9" ht="28.5" customHeight="1" x14ac:dyDescent="0.25">
      <c r="A282" s="375">
        <v>398</v>
      </c>
      <c r="B282" s="372" t="s">
        <v>678</v>
      </c>
      <c r="C282" s="427">
        <v>3585195.7050940003</v>
      </c>
      <c r="D282" s="427">
        <v>2100016.1</v>
      </c>
      <c r="E282" s="427">
        <v>5685211.805094</v>
      </c>
      <c r="F282" s="427">
        <v>5496030.0599999996</v>
      </c>
      <c r="G282" s="427">
        <v>4686037.4399999995</v>
      </c>
      <c r="H282" s="427">
        <v>189181.74509400036</v>
      </c>
      <c r="I282" s="373">
        <v>0.96672388794301523</v>
      </c>
    </row>
    <row r="283" spans="1:9" x14ac:dyDescent="0.25">
      <c r="A283" s="376">
        <v>39801</v>
      </c>
      <c r="B283" s="377" t="s">
        <v>679</v>
      </c>
      <c r="C283" s="428">
        <v>3585195.7050940003</v>
      </c>
      <c r="D283" s="428">
        <v>2100016.1</v>
      </c>
      <c r="E283" s="427">
        <v>5685211.805094</v>
      </c>
      <c r="F283" s="428">
        <v>5496030.0599999996</v>
      </c>
      <c r="G283" s="428">
        <v>4686037.4399999995</v>
      </c>
      <c r="H283" s="427">
        <v>189181.74509400036</v>
      </c>
      <c r="I283" s="373">
        <v>0.96672388794301523</v>
      </c>
    </row>
    <row r="284" spans="1:9" ht="22.5" x14ac:dyDescent="0.25">
      <c r="A284" s="371">
        <v>4000</v>
      </c>
      <c r="B284" s="372" t="s">
        <v>680</v>
      </c>
      <c r="C284" s="427">
        <f>C285+C290+C293+C295+C298</f>
        <v>0</v>
      </c>
      <c r="D284" s="427">
        <v>0</v>
      </c>
      <c r="E284" s="427">
        <f t="shared" ref="E284:E296" si="3">+C284+D284</f>
        <v>0</v>
      </c>
      <c r="F284" s="427">
        <v>0</v>
      </c>
      <c r="G284" s="427">
        <v>0</v>
      </c>
      <c r="H284" s="427">
        <f t="shared" ref="H284:H297" si="4">+E284-F284</f>
        <v>0</v>
      </c>
      <c r="I284" s="373"/>
    </row>
    <row r="285" spans="1:9" ht="22.5" hidden="1" x14ac:dyDescent="0.25">
      <c r="A285" s="374">
        <v>4100</v>
      </c>
      <c r="B285" s="372" t="s">
        <v>681</v>
      </c>
      <c r="C285" s="427">
        <f>C286+C288</f>
        <v>0</v>
      </c>
      <c r="D285" s="427">
        <v>0</v>
      </c>
      <c r="E285" s="427">
        <f t="shared" si="3"/>
        <v>0</v>
      </c>
      <c r="F285" s="427">
        <v>0</v>
      </c>
      <c r="G285" s="427">
        <v>0</v>
      </c>
      <c r="H285" s="427">
        <f t="shared" si="4"/>
        <v>0</v>
      </c>
      <c r="I285" s="373" t="e">
        <f t="shared" ref="I285:I300" si="5">+F285/E285</f>
        <v>#DIV/0!</v>
      </c>
    </row>
    <row r="286" spans="1:9" hidden="1" x14ac:dyDescent="0.25">
      <c r="A286" s="375">
        <v>411</v>
      </c>
      <c r="B286" s="372" t="s">
        <v>682</v>
      </c>
      <c r="C286" s="427">
        <f>C287</f>
        <v>0</v>
      </c>
      <c r="D286" s="427">
        <v>0</v>
      </c>
      <c r="E286" s="427">
        <f t="shared" si="3"/>
        <v>0</v>
      </c>
      <c r="F286" s="427">
        <v>0</v>
      </c>
      <c r="G286" s="427">
        <v>0</v>
      </c>
      <c r="H286" s="427">
        <f t="shared" si="4"/>
        <v>0</v>
      </c>
      <c r="I286" s="373" t="e">
        <f t="shared" si="5"/>
        <v>#DIV/0!</v>
      </c>
    </row>
    <row r="287" spans="1:9" ht="22.5" hidden="1" x14ac:dyDescent="0.25">
      <c r="A287" s="376">
        <v>41104</v>
      </c>
      <c r="B287" s="377" t="s">
        <v>683</v>
      </c>
      <c r="C287" s="427">
        <v>0</v>
      </c>
      <c r="D287" s="427">
        <v>0</v>
      </c>
      <c r="E287" s="427">
        <f t="shared" si="3"/>
        <v>0</v>
      </c>
      <c r="F287" s="427">
        <v>0</v>
      </c>
      <c r="G287" s="427">
        <v>0</v>
      </c>
      <c r="H287" s="427">
        <f t="shared" si="4"/>
        <v>0</v>
      </c>
      <c r="I287" s="373" t="e">
        <f t="shared" si="5"/>
        <v>#DIV/0!</v>
      </c>
    </row>
    <row r="288" spans="1:9" ht="33.75" hidden="1" x14ac:dyDescent="0.25">
      <c r="A288" s="375">
        <v>415</v>
      </c>
      <c r="B288" s="372" t="s">
        <v>684</v>
      </c>
      <c r="C288" s="427">
        <f>C289</f>
        <v>0</v>
      </c>
      <c r="D288" s="427">
        <v>0</v>
      </c>
      <c r="E288" s="427">
        <f t="shared" si="3"/>
        <v>0</v>
      </c>
      <c r="F288" s="427">
        <v>0</v>
      </c>
      <c r="G288" s="427">
        <v>0</v>
      </c>
      <c r="H288" s="427">
        <f t="shared" si="4"/>
        <v>0</v>
      </c>
      <c r="I288" s="373" t="e">
        <f t="shared" si="5"/>
        <v>#DIV/0!</v>
      </c>
    </row>
    <row r="289" spans="1:9" hidden="1" x14ac:dyDescent="0.25">
      <c r="A289" s="376">
        <v>41502</v>
      </c>
      <c r="B289" s="377" t="s">
        <v>685</v>
      </c>
      <c r="C289" s="427">
        <v>0</v>
      </c>
      <c r="D289" s="427">
        <v>0</v>
      </c>
      <c r="E289" s="427">
        <f t="shared" si="3"/>
        <v>0</v>
      </c>
      <c r="F289" s="427">
        <v>0</v>
      </c>
      <c r="G289" s="427">
        <v>0</v>
      </c>
      <c r="H289" s="427">
        <f t="shared" si="4"/>
        <v>0</v>
      </c>
      <c r="I289" s="373" t="e">
        <f t="shared" si="5"/>
        <v>#DIV/0!</v>
      </c>
    </row>
    <row r="290" spans="1:9" ht="25.5" hidden="1" customHeight="1" x14ac:dyDescent="0.25">
      <c r="A290" s="374">
        <v>4200</v>
      </c>
      <c r="B290" s="372" t="s">
        <v>686</v>
      </c>
      <c r="C290" s="427">
        <f>C291</f>
        <v>0</v>
      </c>
      <c r="D290" s="427">
        <v>0</v>
      </c>
      <c r="E290" s="427">
        <f t="shared" si="3"/>
        <v>0</v>
      </c>
      <c r="F290" s="427">
        <v>0</v>
      </c>
      <c r="G290" s="427">
        <v>0</v>
      </c>
      <c r="H290" s="427">
        <f t="shared" si="4"/>
        <v>0</v>
      </c>
      <c r="I290" s="373" t="e">
        <f t="shared" si="5"/>
        <v>#DIV/0!</v>
      </c>
    </row>
    <row r="291" spans="1:9" ht="33.75" hidden="1" x14ac:dyDescent="0.25">
      <c r="A291" s="375">
        <v>424</v>
      </c>
      <c r="B291" s="372" t="s">
        <v>687</v>
      </c>
      <c r="C291" s="427">
        <f>C292</f>
        <v>0</v>
      </c>
      <c r="D291" s="427">
        <v>0</v>
      </c>
      <c r="E291" s="427">
        <f t="shared" si="3"/>
        <v>0</v>
      </c>
      <c r="F291" s="427">
        <v>0</v>
      </c>
      <c r="G291" s="427">
        <v>0</v>
      </c>
      <c r="H291" s="427">
        <f t="shared" si="4"/>
        <v>0</v>
      </c>
      <c r="I291" s="373" t="e">
        <f t="shared" si="5"/>
        <v>#DIV/0!</v>
      </c>
    </row>
    <row r="292" spans="1:9" ht="22.5" hidden="1" x14ac:dyDescent="0.25">
      <c r="A292" s="376">
        <v>42401</v>
      </c>
      <c r="B292" s="377" t="s">
        <v>688</v>
      </c>
      <c r="C292" s="428">
        <v>0</v>
      </c>
      <c r="D292" s="428">
        <v>0</v>
      </c>
      <c r="E292" s="427">
        <f t="shared" si="3"/>
        <v>0</v>
      </c>
      <c r="F292" s="428">
        <v>0</v>
      </c>
      <c r="G292" s="428">
        <v>0</v>
      </c>
      <c r="H292" s="427">
        <f t="shared" si="4"/>
        <v>0</v>
      </c>
      <c r="I292" s="373" t="e">
        <f t="shared" si="5"/>
        <v>#DIV/0!</v>
      </c>
    </row>
    <row r="293" spans="1:9" ht="22.5" hidden="1" x14ac:dyDescent="0.25">
      <c r="A293" s="374">
        <v>4300</v>
      </c>
      <c r="B293" s="372" t="s">
        <v>689</v>
      </c>
      <c r="C293" s="427">
        <f>C294</f>
        <v>0</v>
      </c>
      <c r="D293" s="427">
        <v>0</v>
      </c>
      <c r="E293" s="427">
        <f t="shared" si="3"/>
        <v>0</v>
      </c>
      <c r="F293" s="427">
        <v>0</v>
      </c>
      <c r="G293" s="427">
        <v>0</v>
      </c>
      <c r="H293" s="427">
        <f t="shared" si="4"/>
        <v>0</v>
      </c>
      <c r="I293" s="373" t="e">
        <f t="shared" si="5"/>
        <v>#DIV/0!</v>
      </c>
    </row>
    <row r="294" spans="1:9" hidden="1" x14ac:dyDescent="0.25">
      <c r="A294" s="376">
        <v>43401</v>
      </c>
      <c r="B294" s="377" t="s">
        <v>689</v>
      </c>
      <c r="C294" s="428">
        <v>0</v>
      </c>
      <c r="D294" s="428">
        <v>0</v>
      </c>
      <c r="E294" s="427">
        <f t="shared" si="3"/>
        <v>0</v>
      </c>
      <c r="F294" s="428">
        <v>0</v>
      </c>
      <c r="G294" s="428">
        <v>0</v>
      </c>
      <c r="H294" s="427">
        <f t="shared" si="4"/>
        <v>0</v>
      </c>
      <c r="I294" s="373" t="e">
        <f t="shared" si="5"/>
        <v>#DIV/0!</v>
      </c>
    </row>
    <row r="295" spans="1:9" hidden="1" x14ac:dyDescent="0.25">
      <c r="A295" s="374">
        <v>4400</v>
      </c>
      <c r="B295" s="372" t="s">
        <v>690</v>
      </c>
      <c r="C295" s="427">
        <f>C296</f>
        <v>0</v>
      </c>
      <c r="D295" s="427">
        <v>0</v>
      </c>
      <c r="E295" s="427">
        <f t="shared" si="3"/>
        <v>0</v>
      </c>
      <c r="F295" s="427">
        <v>0</v>
      </c>
      <c r="G295" s="427">
        <v>0</v>
      </c>
      <c r="H295" s="427">
        <f t="shared" si="4"/>
        <v>0</v>
      </c>
      <c r="I295" s="373" t="e">
        <f t="shared" si="5"/>
        <v>#DIV/0!</v>
      </c>
    </row>
    <row r="296" spans="1:9" ht="22.5" hidden="1" x14ac:dyDescent="0.25">
      <c r="A296" s="375">
        <v>442</v>
      </c>
      <c r="B296" s="372" t="s">
        <v>691</v>
      </c>
      <c r="C296" s="427">
        <f>C297</f>
        <v>0</v>
      </c>
      <c r="D296" s="427">
        <v>0</v>
      </c>
      <c r="E296" s="427">
        <f t="shared" si="3"/>
        <v>0</v>
      </c>
      <c r="F296" s="427">
        <v>0</v>
      </c>
      <c r="G296" s="427">
        <v>0</v>
      </c>
      <c r="H296" s="427">
        <f t="shared" si="4"/>
        <v>0</v>
      </c>
      <c r="I296" s="373" t="e">
        <f t="shared" si="5"/>
        <v>#DIV/0!</v>
      </c>
    </row>
    <row r="297" spans="1:9" hidden="1" x14ac:dyDescent="0.25">
      <c r="A297" s="376">
        <v>44204</v>
      </c>
      <c r="B297" s="377" t="s">
        <v>692</v>
      </c>
      <c r="C297" s="427">
        <v>0</v>
      </c>
      <c r="D297" s="427">
        <v>0</v>
      </c>
      <c r="E297" s="427">
        <f t="shared" ref="E297:E300" si="6">+C297+D297</f>
        <v>0</v>
      </c>
      <c r="F297" s="427">
        <v>0</v>
      </c>
      <c r="G297" s="427">
        <v>0</v>
      </c>
      <c r="H297" s="427">
        <f t="shared" si="4"/>
        <v>0</v>
      </c>
      <c r="I297" s="373" t="e">
        <f t="shared" si="5"/>
        <v>#DIV/0!</v>
      </c>
    </row>
    <row r="298" spans="1:9" hidden="1" x14ac:dyDescent="0.25">
      <c r="A298" s="374">
        <v>4800</v>
      </c>
      <c r="B298" s="372" t="s">
        <v>693</v>
      </c>
      <c r="C298" s="427">
        <f>C299</f>
        <v>0</v>
      </c>
      <c r="D298" s="427">
        <v>0</v>
      </c>
      <c r="E298" s="427">
        <f t="shared" si="6"/>
        <v>0</v>
      </c>
      <c r="F298" s="427">
        <v>0</v>
      </c>
      <c r="G298" s="427">
        <v>0</v>
      </c>
      <c r="H298" s="427">
        <f>+E298-F298</f>
        <v>0</v>
      </c>
      <c r="I298" s="373" t="e">
        <f t="shared" si="5"/>
        <v>#DIV/0!</v>
      </c>
    </row>
    <row r="299" spans="1:9" hidden="1" x14ac:dyDescent="0.25">
      <c r="A299" s="375">
        <v>481</v>
      </c>
      <c r="B299" s="372" t="s">
        <v>694</v>
      </c>
      <c r="C299" s="427">
        <f>C300</f>
        <v>0</v>
      </c>
      <c r="D299" s="427">
        <v>0</v>
      </c>
      <c r="E299" s="427">
        <f t="shared" si="6"/>
        <v>0</v>
      </c>
      <c r="F299" s="427">
        <v>0</v>
      </c>
      <c r="G299" s="427">
        <v>0</v>
      </c>
      <c r="H299" s="427">
        <f>+E299-F299</f>
        <v>0</v>
      </c>
      <c r="I299" s="373" t="e">
        <f t="shared" si="5"/>
        <v>#DIV/0!</v>
      </c>
    </row>
    <row r="300" spans="1:9" hidden="1" x14ac:dyDescent="0.25">
      <c r="A300" s="376">
        <v>48101</v>
      </c>
      <c r="B300" s="377" t="s">
        <v>694</v>
      </c>
      <c r="C300" s="428">
        <v>0</v>
      </c>
      <c r="D300" s="428">
        <v>0</v>
      </c>
      <c r="E300" s="427">
        <f t="shared" si="6"/>
        <v>0</v>
      </c>
      <c r="F300" s="428">
        <v>0</v>
      </c>
      <c r="G300" s="428">
        <v>0</v>
      </c>
      <c r="H300" s="427">
        <f>+E300-F300</f>
        <v>0</v>
      </c>
      <c r="I300" s="373" t="e">
        <f t="shared" si="5"/>
        <v>#DIV/0!</v>
      </c>
    </row>
    <row r="301" spans="1:9" ht="10.5" customHeight="1" x14ac:dyDescent="0.25">
      <c r="A301" s="376"/>
      <c r="B301" s="377"/>
      <c r="C301" s="428"/>
      <c r="D301" s="428"/>
      <c r="E301" s="427"/>
      <c r="F301" s="428"/>
      <c r="G301" s="428"/>
      <c r="H301" s="427">
        <f>+E301-F301</f>
        <v>0</v>
      </c>
      <c r="I301" s="373"/>
    </row>
    <row r="302" spans="1:9" ht="23.25" customHeight="1" x14ac:dyDescent="0.25">
      <c r="A302" s="371">
        <v>5000</v>
      </c>
      <c r="B302" s="372" t="s">
        <v>695</v>
      </c>
      <c r="C302" s="427">
        <v>4296626.8851000005</v>
      </c>
      <c r="D302" s="427">
        <v>20204593.010000002</v>
      </c>
      <c r="E302" s="427">
        <v>24501219.895100001</v>
      </c>
      <c r="F302" s="427">
        <v>24334825.75</v>
      </c>
      <c r="G302" s="427">
        <v>20623712.390000001</v>
      </c>
      <c r="H302" s="427">
        <v>166394.14510000125</v>
      </c>
      <c r="I302" s="373">
        <v>0.99320874038874785</v>
      </c>
    </row>
    <row r="303" spans="1:9" ht="24" customHeight="1" x14ac:dyDescent="0.25">
      <c r="A303" s="374">
        <v>5100</v>
      </c>
      <c r="B303" s="372" t="s">
        <v>696</v>
      </c>
      <c r="C303" s="427">
        <v>180354.8</v>
      </c>
      <c r="D303" s="427">
        <v>1119369.48</v>
      </c>
      <c r="E303" s="427">
        <v>1299724.28</v>
      </c>
      <c r="F303" s="427">
        <v>1299360.48</v>
      </c>
      <c r="G303" s="427">
        <v>1147796.48</v>
      </c>
      <c r="H303" s="427">
        <v>363.80000000004657</v>
      </c>
      <c r="I303" s="373">
        <v>0.99972009448034627</v>
      </c>
    </row>
    <row r="304" spans="1:9" ht="24" customHeight="1" x14ac:dyDescent="0.25">
      <c r="A304" s="375">
        <v>511</v>
      </c>
      <c r="B304" s="372" t="s">
        <v>697</v>
      </c>
      <c r="C304" s="427">
        <v>150105.79999999999</v>
      </c>
      <c r="D304" s="427">
        <v>-150000</v>
      </c>
      <c r="E304" s="427">
        <v>105.79999999998836</v>
      </c>
      <c r="F304" s="427">
        <v>0</v>
      </c>
      <c r="G304" s="427">
        <v>0</v>
      </c>
      <c r="H304" s="427">
        <v>105.79999999998836</v>
      </c>
      <c r="I304" s="373">
        <v>0</v>
      </c>
    </row>
    <row r="305" spans="1:9" x14ac:dyDescent="0.25">
      <c r="A305" s="376">
        <v>51101</v>
      </c>
      <c r="B305" s="377" t="s">
        <v>697</v>
      </c>
      <c r="C305" s="428">
        <v>150105.79999999999</v>
      </c>
      <c r="D305" s="428">
        <v>-150000</v>
      </c>
      <c r="E305" s="427">
        <v>105.79999999998836</v>
      </c>
      <c r="F305" s="428">
        <v>0</v>
      </c>
      <c r="G305" s="428">
        <v>0</v>
      </c>
      <c r="H305" s="427">
        <v>105.79999999998836</v>
      </c>
      <c r="I305" s="373">
        <v>0</v>
      </c>
    </row>
    <row r="306" spans="1:9" hidden="1" x14ac:dyDescent="0.25">
      <c r="A306" s="375">
        <v>512</v>
      </c>
      <c r="B306" s="372" t="s">
        <v>698</v>
      </c>
      <c r="C306" s="427">
        <v>0</v>
      </c>
      <c r="D306" s="427">
        <v>0</v>
      </c>
      <c r="E306" s="427">
        <v>0</v>
      </c>
      <c r="F306" s="427">
        <v>0</v>
      </c>
      <c r="G306" s="427">
        <v>0</v>
      </c>
      <c r="H306" s="427">
        <v>0</v>
      </c>
      <c r="I306" s="373" t="e">
        <v>#DIV/0!</v>
      </c>
    </row>
    <row r="307" spans="1:9" hidden="1" x14ac:dyDescent="0.25">
      <c r="A307" s="376">
        <v>51201</v>
      </c>
      <c r="B307" s="377" t="s">
        <v>698</v>
      </c>
      <c r="C307" s="428"/>
      <c r="D307" s="428">
        <v>0</v>
      </c>
      <c r="E307" s="427">
        <v>0</v>
      </c>
      <c r="F307" s="428">
        <v>0</v>
      </c>
      <c r="G307" s="428">
        <v>0</v>
      </c>
      <c r="H307" s="427">
        <v>0</v>
      </c>
      <c r="I307" s="373" t="e">
        <v>#DIV/0!</v>
      </c>
    </row>
    <row r="308" spans="1:9" ht="22.5" hidden="1" x14ac:dyDescent="0.25">
      <c r="A308" s="375">
        <v>515</v>
      </c>
      <c r="B308" s="372" t="s">
        <v>699</v>
      </c>
      <c r="C308" s="427">
        <v>30249</v>
      </c>
      <c r="D308" s="427">
        <v>1269369.48</v>
      </c>
      <c r="E308" s="427">
        <v>1299618.48</v>
      </c>
      <c r="F308" s="427">
        <v>1299360.48</v>
      </c>
      <c r="G308" s="427">
        <v>1147796.48</v>
      </c>
      <c r="H308" s="427">
        <v>258</v>
      </c>
      <c r="I308" s="373">
        <v>0.99980148020055859</v>
      </c>
    </row>
    <row r="309" spans="1:9" x14ac:dyDescent="0.25">
      <c r="A309" s="376">
        <v>51501</v>
      </c>
      <c r="B309" s="377" t="s">
        <v>700</v>
      </c>
      <c r="C309" s="428">
        <v>30249</v>
      </c>
      <c r="D309" s="428">
        <v>1269369.48</v>
      </c>
      <c r="E309" s="427">
        <v>1299618.48</v>
      </c>
      <c r="F309" s="428">
        <v>1299360.48</v>
      </c>
      <c r="G309" s="428">
        <v>1147796.48</v>
      </c>
      <c r="H309" s="427">
        <v>258</v>
      </c>
      <c r="I309" s="373">
        <v>0.99980148020055859</v>
      </c>
    </row>
    <row r="310" spans="1:9" ht="22.5" hidden="1" x14ac:dyDescent="0.25">
      <c r="A310" s="375">
        <v>519</v>
      </c>
      <c r="B310" s="372" t="s">
        <v>701</v>
      </c>
      <c r="C310" s="427">
        <v>0</v>
      </c>
      <c r="D310" s="427">
        <v>0</v>
      </c>
      <c r="E310" s="427">
        <v>0</v>
      </c>
      <c r="F310" s="427">
        <v>0</v>
      </c>
      <c r="G310" s="427">
        <v>0</v>
      </c>
      <c r="H310" s="427">
        <v>0</v>
      </c>
      <c r="I310" s="373" t="e">
        <v>#DIV/0!</v>
      </c>
    </row>
    <row r="311" spans="1:9" hidden="1" x14ac:dyDescent="0.25">
      <c r="A311" s="376">
        <v>51901</v>
      </c>
      <c r="B311" s="377" t="s">
        <v>702</v>
      </c>
      <c r="C311" s="428"/>
      <c r="D311" s="428">
        <v>0</v>
      </c>
      <c r="E311" s="427">
        <v>0</v>
      </c>
      <c r="F311" s="428">
        <v>0</v>
      </c>
      <c r="G311" s="428">
        <v>0</v>
      </c>
      <c r="H311" s="427">
        <v>0</v>
      </c>
      <c r="I311" s="373" t="e">
        <v>#DIV/0!</v>
      </c>
    </row>
    <row r="312" spans="1:9" ht="22.5" hidden="1" customHeight="1" x14ac:dyDescent="0.25">
      <c r="A312" s="374">
        <v>5200</v>
      </c>
      <c r="B312" s="372" t="s">
        <v>703</v>
      </c>
      <c r="C312" s="427">
        <v>0</v>
      </c>
      <c r="D312" s="427">
        <v>0</v>
      </c>
      <c r="E312" s="427">
        <v>0</v>
      </c>
      <c r="F312" s="427">
        <v>0</v>
      </c>
      <c r="G312" s="427">
        <v>0</v>
      </c>
      <c r="H312" s="427">
        <v>0</v>
      </c>
      <c r="I312" s="373" t="e">
        <v>#DIV/0!</v>
      </c>
    </row>
    <row r="313" spans="1:9" ht="15" hidden="1" customHeight="1" x14ac:dyDescent="0.25">
      <c r="A313" s="375">
        <v>521</v>
      </c>
      <c r="B313" s="372" t="s">
        <v>704</v>
      </c>
      <c r="C313" s="427">
        <v>0</v>
      </c>
      <c r="D313" s="427">
        <v>0</v>
      </c>
      <c r="E313" s="427">
        <v>0</v>
      </c>
      <c r="F313" s="427">
        <v>0</v>
      </c>
      <c r="G313" s="427">
        <v>0</v>
      </c>
      <c r="H313" s="427">
        <v>0</v>
      </c>
      <c r="I313" s="373" t="e">
        <v>#DIV/0!</v>
      </c>
    </row>
    <row r="314" spans="1:9" hidden="1" x14ac:dyDescent="0.25">
      <c r="A314" s="376">
        <v>52101</v>
      </c>
      <c r="B314" s="377" t="s">
        <v>704</v>
      </c>
      <c r="C314" s="428"/>
      <c r="D314" s="428">
        <v>0</v>
      </c>
      <c r="E314" s="427">
        <v>0</v>
      </c>
      <c r="F314" s="428">
        <v>0</v>
      </c>
      <c r="G314" s="428">
        <v>0</v>
      </c>
      <c r="H314" s="427">
        <v>0</v>
      </c>
      <c r="I314" s="373" t="e">
        <v>#DIV/0!</v>
      </c>
    </row>
    <row r="315" spans="1:9" hidden="1" x14ac:dyDescent="0.25">
      <c r="A315" s="375">
        <v>523</v>
      </c>
      <c r="B315" s="372" t="s">
        <v>705</v>
      </c>
      <c r="C315" s="427">
        <v>0</v>
      </c>
      <c r="D315" s="427">
        <v>0</v>
      </c>
      <c r="E315" s="427">
        <v>0</v>
      </c>
      <c r="F315" s="427">
        <v>0</v>
      </c>
      <c r="G315" s="427">
        <v>0</v>
      </c>
      <c r="H315" s="427">
        <v>0</v>
      </c>
      <c r="I315" s="373" t="e">
        <v>#DIV/0!</v>
      </c>
    </row>
    <row r="316" spans="1:9" x14ac:dyDescent="0.25">
      <c r="A316" s="376">
        <v>52301</v>
      </c>
      <c r="B316" s="377" t="s">
        <v>705</v>
      </c>
      <c r="C316" s="428"/>
      <c r="D316" s="428">
        <v>0</v>
      </c>
      <c r="E316" s="427">
        <v>0</v>
      </c>
      <c r="F316" s="428">
        <v>0</v>
      </c>
      <c r="G316" s="428">
        <v>0</v>
      </c>
      <c r="H316" s="427">
        <v>0</v>
      </c>
      <c r="I316" s="373" t="e">
        <v>#DIV/0!</v>
      </c>
    </row>
    <row r="317" spans="1:9" ht="22.5" x14ac:dyDescent="0.25">
      <c r="A317" s="374">
        <v>5300</v>
      </c>
      <c r="B317" s="372" t="s">
        <v>706</v>
      </c>
      <c r="C317" s="427">
        <v>0</v>
      </c>
      <c r="D317" s="427">
        <v>121800</v>
      </c>
      <c r="E317" s="427">
        <v>121800</v>
      </c>
      <c r="F317" s="427">
        <v>121800</v>
      </c>
      <c r="G317" s="427">
        <v>121800</v>
      </c>
      <c r="H317" s="427">
        <v>0</v>
      </c>
      <c r="I317" s="373">
        <v>1</v>
      </c>
    </row>
    <row r="318" spans="1:9" x14ac:dyDescent="0.25">
      <c r="A318" s="426">
        <v>531</v>
      </c>
      <c r="B318" s="372" t="s">
        <v>786</v>
      </c>
      <c r="C318" s="427">
        <v>0</v>
      </c>
      <c r="D318" s="427">
        <v>121800</v>
      </c>
      <c r="E318" s="427">
        <v>121800</v>
      </c>
      <c r="F318" s="427">
        <v>121800</v>
      </c>
      <c r="G318" s="427">
        <v>121800</v>
      </c>
      <c r="H318" s="427">
        <v>0</v>
      </c>
      <c r="I318" s="373">
        <v>1</v>
      </c>
    </row>
    <row r="319" spans="1:9" x14ac:dyDescent="0.25">
      <c r="A319" s="381">
        <v>53101</v>
      </c>
      <c r="B319" s="377" t="s">
        <v>787</v>
      </c>
      <c r="C319" s="428">
        <v>0</v>
      </c>
      <c r="D319" s="428">
        <v>121800</v>
      </c>
      <c r="E319" s="427">
        <v>121800</v>
      </c>
      <c r="F319" s="428">
        <v>121800</v>
      </c>
      <c r="G319" s="428">
        <v>121800</v>
      </c>
      <c r="H319" s="427">
        <v>0</v>
      </c>
      <c r="I319" s="373">
        <v>1</v>
      </c>
    </row>
    <row r="320" spans="1:9" x14ac:dyDescent="0.25">
      <c r="A320" s="375">
        <v>532</v>
      </c>
      <c r="B320" s="372" t="s">
        <v>707</v>
      </c>
      <c r="C320" s="428">
        <v>0</v>
      </c>
      <c r="D320" s="428">
        <v>0</v>
      </c>
      <c r="E320" s="427">
        <v>0</v>
      </c>
      <c r="F320" s="428">
        <v>0</v>
      </c>
      <c r="G320" s="428">
        <v>0</v>
      </c>
      <c r="H320" s="427">
        <v>0</v>
      </c>
      <c r="I320" s="373" t="e">
        <v>#DIV/0!</v>
      </c>
    </row>
    <row r="321" spans="1:9" x14ac:dyDescent="0.25">
      <c r="A321" s="376">
        <v>53201</v>
      </c>
      <c r="B321" s="377" t="s">
        <v>707</v>
      </c>
      <c r="C321" s="428"/>
      <c r="D321" s="428">
        <v>0</v>
      </c>
      <c r="E321" s="427">
        <v>0</v>
      </c>
      <c r="F321" s="428">
        <v>0</v>
      </c>
      <c r="G321" s="428">
        <v>0</v>
      </c>
      <c r="H321" s="427">
        <v>0</v>
      </c>
      <c r="I321" s="373" t="e">
        <v>#DIV/0!</v>
      </c>
    </row>
    <row r="322" spans="1:9" x14ac:dyDescent="0.25">
      <c r="A322" s="374">
        <v>5400</v>
      </c>
      <c r="B322" s="372" t="s">
        <v>708</v>
      </c>
      <c r="C322" s="427">
        <v>1595000</v>
      </c>
      <c r="D322" s="427">
        <v>13254790</v>
      </c>
      <c r="E322" s="427">
        <v>14849790</v>
      </c>
      <c r="F322" s="427">
        <v>14738790</v>
      </c>
      <c r="G322" s="427">
        <v>14738790</v>
      </c>
      <c r="H322" s="427">
        <v>111000</v>
      </c>
      <c r="I322" s="373">
        <v>0.99252514682025805</v>
      </c>
    </row>
    <row r="323" spans="1:9" x14ac:dyDescent="0.25">
      <c r="A323" s="375">
        <v>541</v>
      </c>
      <c r="B323" s="372" t="s">
        <v>708</v>
      </c>
      <c r="C323" s="427">
        <v>1508000</v>
      </c>
      <c r="D323" s="427">
        <v>12523000</v>
      </c>
      <c r="E323" s="427">
        <v>14031000</v>
      </c>
      <c r="F323" s="427">
        <v>13920000</v>
      </c>
      <c r="G323" s="427">
        <v>13920000</v>
      </c>
      <c r="H323" s="427">
        <v>111000</v>
      </c>
      <c r="I323" s="373">
        <v>0.99208894590549501</v>
      </c>
    </row>
    <row r="324" spans="1:9" x14ac:dyDescent="0.25">
      <c r="A324" s="376">
        <v>54101</v>
      </c>
      <c r="B324" s="377" t="s">
        <v>709</v>
      </c>
      <c r="C324" s="428">
        <v>1508000</v>
      </c>
      <c r="D324" s="428">
        <v>12523000</v>
      </c>
      <c r="E324" s="427">
        <v>14031000</v>
      </c>
      <c r="F324" s="428">
        <v>13920000</v>
      </c>
      <c r="G324" s="428">
        <v>13920000</v>
      </c>
      <c r="H324" s="427">
        <v>111000</v>
      </c>
      <c r="I324" s="373">
        <v>0.99208894590549501</v>
      </c>
    </row>
    <row r="325" spans="1:9" x14ac:dyDescent="0.25">
      <c r="A325" s="380">
        <v>542</v>
      </c>
      <c r="B325" s="372" t="s">
        <v>710</v>
      </c>
      <c r="C325" s="428">
        <v>87000</v>
      </c>
      <c r="D325" s="427">
        <v>168200</v>
      </c>
      <c r="E325" s="427">
        <v>255200</v>
      </c>
      <c r="F325" s="427">
        <v>255200</v>
      </c>
      <c r="G325" s="427">
        <v>255200</v>
      </c>
      <c r="H325" s="427">
        <v>0</v>
      </c>
      <c r="I325" s="373">
        <v>1</v>
      </c>
    </row>
    <row r="326" spans="1:9" x14ac:dyDescent="0.25">
      <c r="A326" s="381">
        <v>54201</v>
      </c>
      <c r="B326" s="377" t="s">
        <v>710</v>
      </c>
      <c r="C326" s="428">
        <v>87000</v>
      </c>
      <c r="D326" s="428">
        <v>168200</v>
      </c>
      <c r="E326" s="427">
        <v>255200</v>
      </c>
      <c r="F326" s="428">
        <v>255200</v>
      </c>
      <c r="G326" s="428">
        <v>255200</v>
      </c>
      <c r="H326" s="427">
        <v>0</v>
      </c>
      <c r="I326" s="373">
        <v>1</v>
      </c>
    </row>
    <row r="327" spans="1:9" hidden="1" x14ac:dyDescent="0.25">
      <c r="A327" s="375">
        <v>549</v>
      </c>
      <c r="B327" s="372" t="s">
        <v>711</v>
      </c>
      <c r="C327" s="427">
        <v>0</v>
      </c>
      <c r="D327" s="427">
        <v>563590</v>
      </c>
      <c r="E327" s="427">
        <v>563590</v>
      </c>
      <c r="F327" s="427">
        <v>563590</v>
      </c>
      <c r="G327" s="427">
        <v>563590</v>
      </c>
      <c r="H327" s="427">
        <v>0</v>
      </c>
      <c r="I327" s="373">
        <v>1</v>
      </c>
    </row>
    <row r="328" spans="1:9" hidden="1" x14ac:dyDescent="0.25">
      <c r="A328" s="376">
        <v>54901</v>
      </c>
      <c r="B328" s="377" t="s">
        <v>711</v>
      </c>
      <c r="C328" s="428"/>
      <c r="D328" s="428">
        <v>563590</v>
      </c>
      <c r="E328" s="427">
        <v>563590</v>
      </c>
      <c r="F328" s="428">
        <v>563590</v>
      </c>
      <c r="G328" s="428">
        <v>563590</v>
      </c>
      <c r="H328" s="427">
        <v>0</v>
      </c>
      <c r="I328" s="373">
        <v>1</v>
      </c>
    </row>
    <row r="329" spans="1:9" hidden="1" x14ac:dyDescent="0.25">
      <c r="A329" s="374">
        <v>5500</v>
      </c>
      <c r="B329" s="372" t="s">
        <v>712</v>
      </c>
      <c r="C329" s="427">
        <v>0</v>
      </c>
      <c r="D329" s="427">
        <v>0</v>
      </c>
      <c r="E329" s="427">
        <v>0</v>
      </c>
      <c r="F329" s="427">
        <v>0</v>
      </c>
      <c r="G329" s="427">
        <v>0</v>
      </c>
      <c r="H329" s="427">
        <v>0</v>
      </c>
      <c r="I329" s="373" t="e">
        <v>#DIV/0!</v>
      </c>
    </row>
    <row r="330" spans="1:9" hidden="1" x14ac:dyDescent="0.25">
      <c r="A330" s="375">
        <v>551</v>
      </c>
      <c r="B330" s="372" t="s">
        <v>712</v>
      </c>
      <c r="C330" s="427">
        <v>0</v>
      </c>
      <c r="D330" s="427">
        <v>0</v>
      </c>
      <c r="E330" s="427">
        <v>0</v>
      </c>
      <c r="F330" s="427">
        <v>0</v>
      </c>
      <c r="G330" s="427">
        <v>0</v>
      </c>
      <c r="H330" s="427">
        <v>0</v>
      </c>
      <c r="I330" s="373" t="e">
        <v>#DIV/0!</v>
      </c>
    </row>
    <row r="331" spans="1:9" ht="22.5" hidden="1" x14ac:dyDescent="0.25">
      <c r="A331" s="376">
        <v>55103</v>
      </c>
      <c r="B331" s="377" t="s">
        <v>713</v>
      </c>
      <c r="C331" s="428">
        <v>0</v>
      </c>
      <c r="D331" s="428">
        <v>0</v>
      </c>
      <c r="E331" s="427">
        <v>0</v>
      </c>
      <c r="F331" s="428">
        <v>0</v>
      </c>
      <c r="G331" s="428">
        <v>0</v>
      </c>
      <c r="H331" s="427">
        <v>0</v>
      </c>
      <c r="I331" s="373" t="e">
        <v>#DIV/0!</v>
      </c>
    </row>
    <row r="332" spans="1:9" ht="26.25" customHeight="1" x14ac:dyDescent="0.25">
      <c r="A332" s="374">
        <v>5600</v>
      </c>
      <c r="B332" s="372" t="s">
        <v>714</v>
      </c>
      <c r="C332" s="427">
        <v>2521272.0851000003</v>
      </c>
      <c r="D332" s="427">
        <v>5602284.6099999994</v>
      </c>
      <c r="E332" s="427">
        <v>8123556.6951000001</v>
      </c>
      <c r="F332" s="427">
        <v>8068526.3499999996</v>
      </c>
      <c r="G332" s="427">
        <v>4508976.99</v>
      </c>
      <c r="H332" s="427">
        <v>55030.345100000501</v>
      </c>
      <c r="I332" s="373">
        <v>0.99322583110262608</v>
      </c>
    </row>
    <row r="333" spans="1:9" x14ac:dyDescent="0.25">
      <c r="A333" s="375">
        <v>562</v>
      </c>
      <c r="B333" s="372" t="s">
        <v>715</v>
      </c>
      <c r="C333" s="427">
        <v>2208458.2351000002</v>
      </c>
      <c r="D333" s="427">
        <v>36186.389999999898</v>
      </c>
      <c r="E333" s="427">
        <v>2244644.6250999998</v>
      </c>
      <c r="F333" s="427">
        <v>2190648.65</v>
      </c>
      <c r="G333" s="427">
        <v>2108663.29</v>
      </c>
      <c r="H333" s="427">
        <v>53995.975099999923</v>
      </c>
      <c r="I333" s="373">
        <v>0.97594453282439109</v>
      </c>
    </row>
    <row r="334" spans="1:9" x14ac:dyDescent="0.25">
      <c r="A334" s="376">
        <v>56201</v>
      </c>
      <c r="B334" s="377" t="s">
        <v>715</v>
      </c>
      <c r="C334" s="428">
        <v>2208458.2351000002</v>
      </c>
      <c r="D334" s="428">
        <v>36186.389999999898</v>
      </c>
      <c r="E334" s="427">
        <v>2244644.6250999998</v>
      </c>
      <c r="F334" s="428">
        <v>2190648.65</v>
      </c>
      <c r="G334" s="428">
        <v>2108663.29</v>
      </c>
      <c r="H334" s="427">
        <v>53995.975099999923</v>
      </c>
      <c r="I334" s="373">
        <v>0.97594453282439109</v>
      </c>
    </row>
    <row r="335" spans="1:9" x14ac:dyDescent="0.25">
      <c r="A335" s="375">
        <v>563</v>
      </c>
      <c r="B335" s="372" t="s">
        <v>716</v>
      </c>
      <c r="C335" s="428">
        <v>312813.84999999998</v>
      </c>
      <c r="D335" s="427">
        <v>3141784</v>
      </c>
      <c r="E335" s="427">
        <v>3454597.85</v>
      </c>
      <c r="F335" s="427">
        <v>3453784</v>
      </c>
      <c r="G335" s="427">
        <v>0</v>
      </c>
      <c r="H335" s="427">
        <v>813.85000000009313</v>
      </c>
      <c r="I335" s="373">
        <v>0.99976441541524141</v>
      </c>
    </row>
    <row r="336" spans="1:9" x14ac:dyDescent="0.25">
      <c r="A336" s="376">
        <v>56301</v>
      </c>
      <c r="B336" s="377" t="s">
        <v>716</v>
      </c>
      <c r="C336" s="428">
        <v>312813.84999999998</v>
      </c>
      <c r="D336" s="428">
        <v>3141784</v>
      </c>
      <c r="E336" s="427">
        <v>3454597.85</v>
      </c>
      <c r="F336" s="428">
        <v>3453784</v>
      </c>
      <c r="G336" s="428">
        <v>0</v>
      </c>
      <c r="H336" s="427">
        <v>813.85000000009313</v>
      </c>
      <c r="I336" s="373">
        <v>0.99976441541524141</v>
      </c>
    </row>
    <row r="337" spans="1:9" ht="33.75" hidden="1" x14ac:dyDescent="0.25">
      <c r="A337" s="375">
        <v>564</v>
      </c>
      <c r="B337" s="372" t="s">
        <v>717</v>
      </c>
      <c r="C337" s="427">
        <v>0</v>
      </c>
      <c r="D337" s="427">
        <v>34412</v>
      </c>
      <c r="E337" s="427">
        <v>34412</v>
      </c>
      <c r="F337" s="427">
        <v>34412</v>
      </c>
      <c r="G337" s="427">
        <v>34412</v>
      </c>
      <c r="H337" s="427">
        <v>0</v>
      </c>
      <c r="I337" s="373">
        <v>1</v>
      </c>
    </row>
    <row r="338" spans="1:9" ht="22.5" hidden="1" x14ac:dyDescent="0.25">
      <c r="A338" s="376">
        <v>56401</v>
      </c>
      <c r="B338" s="377" t="s">
        <v>717</v>
      </c>
      <c r="C338" s="428"/>
      <c r="D338" s="428">
        <v>34412</v>
      </c>
      <c r="E338" s="427">
        <v>34412</v>
      </c>
      <c r="F338" s="428">
        <v>34412</v>
      </c>
      <c r="G338" s="428">
        <v>34412</v>
      </c>
      <c r="H338" s="427">
        <v>0</v>
      </c>
      <c r="I338" s="373">
        <v>1</v>
      </c>
    </row>
    <row r="339" spans="1:9" ht="22.5" hidden="1" x14ac:dyDescent="0.25">
      <c r="A339" s="378">
        <v>565</v>
      </c>
      <c r="B339" s="382" t="s">
        <v>718</v>
      </c>
      <c r="C339" s="427">
        <v>0</v>
      </c>
      <c r="D339" s="427">
        <v>0</v>
      </c>
      <c r="E339" s="427">
        <v>0</v>
      </c>
      <c r="F339" s="427">
        <v>0</v>
      </c>
      <c r="G339" s="427">
        <v>0</v>
      </c>
      <c r="H339" s="427">
        <v>0</v>
      </c>
      <c r="I339" s="373" t="e">
        <v>#DIV/0!</v>
      </c>
    </row>
    <row r="340" spans="1:9" hidden="1" x14ac:dyDescent="0.25">
      <c r="A340" s="383">
        <v>56501</v>
      </c>
      <c r="B340" s="384" t="s">
        <v>718</v>
      </c>
      <c r="C340" s="428"/>
      <c r="D340" s="428">
        <v>0</v>
      </c>
      <c r="E340" s="427">
        <v>0</v>
      </c>
      <c r="F340" s="428">
        <v>0</v>
      </c>
      <c r="G340" s="428">
        <v>0</v>
      </c>
      <c r="H340" s="427">
        <v>0</v>
      </c>
      <c r="I340" s="373" t="e">
        <v>#DIV/0!</v>
      </c>
    </row>
    <row r="341" spans="1:9" ht="22.5" x14ac:dyDescent="0.25">
      <c r="A341" s="378">
        <v>566</v>
      </c>
      <c r="B341" s="382" t="s">
        <v>719</v>
      </c>
      <c r="C341" s="427">
        <v>0</v>
      </c>
      <c r="D341" s="427">
        <v>725466.76</v>
      </c>
      <c r="E341" s="427">
        <v>725466.76</v>
      </c>
      <c r="F341" s="427">
        <v>725246.24</v>
      </c>
      <c r="G341" s="427">
        <v>701466.24</v>
      </c>
      <c r="H341" s="427">
        <v>220.52000000001863</v>
      </c>
      <c r="I341" s="373">
        <v>0.9996960301806247</v>
      </c>
    </row>
    <row r="342" spans="1:9" x14ac:dyDescent="0.25">
      <c r="A342" s="383">
        <v>56601</v>
      </c>
      <c r="B342" s="384" t="s">
        <v>720</v>
      </c>
      <c r="C342" s="428"/>
      <c r="D342" s="428">
        <v>725466.76</v>
      </c>
      <c r="E342" s="427">
        <v>725466.76</v>
      </c>
      <c r="F342" s="428">
        <v>725246.24</v>
      </c>
      <c r="G342" s="428">
        <v>701466.24</v>
      </c>
      <c r="H342" s="427">
        <v>220.52000000001863</v>
      </c>
      <c r="I342" s="373">
        <v>0.9996960301806247</v>
      </c>
    </row>
    <row r="343" spans="1:9" x14ac:dyDescent="0.25">
      <c r="A343" s="378">
        <v>567</v>
      </c>
      <c r="B343" s="382" t="s">
        <v>721</v>
      </c>
      <c r="C343" s="427">
        <v>0</v>
      </c>
      <c r="D343" s="427">
        <v>121212.26000000001</v>
      </c>
      <c r="E343" s="427">
        <v>121212.26000000001</v>
      </c>
      <c r="F343" s="427">
        <v>121212.26</v>
      </c>
      <c r="G343" s="427">
        <v>121212.26</v>
      </c>
      <c r="H343" s="427">
        <v>0</v>
      </c>
      <c r="I343" s="373">
        <v>0.99999999999999989</v>
      </c>
    </row>
    <row r="344" spans="1:9" x14ac:dyDescent="0.25">
      <c r="A344" s="383">
        <v>56701</v>
      </c>
      <c r="B344" s="384" t="s">
        <v>722</v>
      </c>
      <c r="C344" s="428"/>
      <c r="D344" s="428">
        <v>121212.26000000001</v>
      </c>
      <c r="E344" s="427">
        <v>121212.26000000001</v>
      </c>
      <c r="F344" s="428">
        <v>121212.26</v>
      </c>
      <c r="G344" s="428">
        <v>121212.26</v>
      </c>
      <c r="H344" s="427">
        <v>0</v>
      </c>
      <c r="I344" s="373">
        <v>0.99999999999999989</v>
      </c>
    </row>
    <row r="345" spans="1:9" hidden="1" x14ac:dyDescent="0.25">
      <c r="A345" s="383">
        <v>56702</v>
      </c>
      <c r="B345" s="384" t="s">
        <v>723</v>
      </c>
      <c r="C345" s="428">
        <v>0</v>
      </c>
      <c r="D345" s="428">
        <v>0</v>
      </c>
      <c r="E345" s="427">
        <v>0</v>
      </c>
      <c r="F345" s="428">
        <v>0</v>
      </c>
      <c r="G345" s="428">
        <v>0</v>
      </c>
      <c r="H345" s="427">
        <v>0</v>
      </c>
      <c r="I345" s="373" t="e">
        <v>#DIV/0!</v>
      </c>
    </row>
    <row r="346" spans="1:9" hidden="1" x14ac:dyDescent="0.25">
      <c r="A346" s="378">
        <v>569</v>
      </c>
      <c r="B346" s="382" t="s">
        <v>724</v>
      </c>
      <c r="C346" s="427">
        <v>0</v>
      </c>
      <c r="D346" s="427">
        <v>1543223.2</v>
      </c>
      <c r="E346" s="427">
        <v>1543223.2</v>
      </c>
      <c r="F346" s="427">
        <v>1543223.2</v>
      </c>
      <c r="G346" s="427">
        <v>1543223.2</v>
      </c>
      <c r="H346" s="427">
        <v>0</v>
      </c>
      <c r="I346" s="373">
        <v>1</v>
      </c>
    </row>
    <row r="347" spans="1:9" ht="22.5" hidden="1" x14ac:dyDescent="0.25">
      <c r="A347" s="383">
        <v>56901</v>
      </c>
      <c r="B347" s="384" t="s">
        <v>725</v>
      </c>
      <c r="C347" s="428"/>
      <c r="D347" s="428">
        <v>1543223.2</v>
      </c>
      <c r="E347" s="427">
        <v>1543223.2</v>
      </c>
      <c r="F347" s="428">
        <v>1543223.2</v>
      </c>
      <c r="G347" s="428">
        <v>1543223.2</v>
      </c>
      <c r="H347" s="427">
        <v>0</v>
      </c>
      <c r="I347" s="373">
        <v>1</v>
      </c>
    </row>
    <row r="348" spans="1:9" ht="22.5" hidden="1" x14ac:dyDescent="0.25">
      <c r="A348" s="383">
        <v>56902</v>
      </c>
      <c r="B348" s="384" t="s">
        <v>726</v>
      </c>
      <c r="C348" s="428"/>
      <c r="D348" s="428">
        <v>0</v>
      </c>
      <c r="E348" s="427">
        <v>0</v>
      </c>
      <c r="F348" s="428">
        <v>0</v>
      </c>
      <c r="G348" s="428">
        <v>0</v>
      </c>
      <c r="H348" s="427">
        <v>0</v>
      </c>
      <c r="I348" s="373" t="e">
        <v>#DIV/0!</v>
      </c>
    </row>
    <row r="349" spans="1:9" hidden="1" x14ac:dyDescent="0.25">
      <c r="A349" s="374">
        <v>5800</v>
      </c>
      <c r="B349" s="382" t="s">
        <v>175</v>
      </c>
      <c r="C349" s="428">
        <v>0</v>
      </c>
      <c r="D349" s="428">
        <v>0</v>
      </c>
      <c r="E349" s="427">
        <v>0</v>
      </c>
      <c r="F349" s="428">
        <v>0</v>
      </c>
      <c r="G349" s="428">
        <v>0</v>
      </c>
      <c r="H349" s="427">
        <v>0</v>
      </c>
      <c r="I349" s="373" t="e">
        <v>#DIV/0!</v>
      </c>
    </row>
    <row r="350" spans="1:9" hidden="1" x14ac:dyDescent="0.25">
      <c r="A350" s="375">
        <v>581</v>
      </c>
      <c r="B350" s="382" t="s">
        <v>727</v>
      </c>
      <c r="C350" s="428">
        <v>0</v>
      </c>
      <c r="D350" s="428">
        <v>0</v>
      </c>
      <c r="E350" s="427">
        <v>0</v>
      </c>
      <c r="F350" s="428">
        <v>0</v>
      </c>
      <c r="G350" s="428">
        <v>0</v>
      </c>
      <c r="H350" s="427">
        <v>0</v>
      </c>
      <c r="I350" s="373" t="e">
        <v>#DIV/0!</v>
      </c>
    </row>
    <row r="351" spans="1:9" hidden="1" x14ac:dyDescent="0.25">
      <c r="A351" s="376">
        <v>58101</v>
      </c>
      <c r="B351" s="384" t="s">
        <v>727</v>
      </c>
      <c r="C351" s="428"/>
      <c r="D351" s="428">
        <v>0</v>
      </c>
      <c r="E351" s="427">
        <v>0</v>
      </c>
      <c r="F351" s="428">
        <v>0</v>
      </c>
      <c r="G351" s="428">
        <v>0</v>
      </c>
      <c r="H351" s="427">
        <v>0</v>
      </c>
      <c r="I351" s="373" t="e">
        <v>#DIV/0!</v>
      </c>
    </row>
    <row r="352" spans="1:9" x14ac:dyDescent="0.25">
      <c r="A352" s="374">
        <v>5900</v>
      </c>
      <c r="B352" s="382" t="s">
        <v>728</v>
      </c>
      <c r="C352" s="427">
        <v>0</v>
      </c>
      <c r="D352" s="427">
        <v>106348.92000000001</v>
      </c>
      <c r="E352" s="427">
        <v>106348.92000000001</v>
      </c>
      <c r="F352" s="427">
        <v>106348.92000000001</v>
      </c>
      <c r="G352" s="427">
        <v>106348.92000000001</v>
      </c>
      <c r="H352" s="427">
        <v>0</v>
      </c>
      <c r="I352" s="373">
        <v>1</v>
      </c>
    </row>
    <row r="353" spans="1:9" x14ac:dyDescent="0.25">
      <c r="A353" s="375">
        <v>591</v>
      </c>
      <c r="B353" s="382" t="s">
        <v>729</v>
      </c>
      <c r="C353" s="427">
        <v>0</v>
      </c>
      <c r="D353" s="427">
        <v>81811.320000000007</v>
      </c>
      <c r="E353" s="427">
        <v>81811.320000000007</v>
      </c>
      <c r="F353" s="427">
        <v>81811.320000000007</v>
      </c>
      <c r="G353" s="427">
        <v>81811.320000000007</v>
      </c>
      <c r="H353" s="427">
        <v>0</v>
      </c>
      <c r="I353" s="373">
        <v>1</v>
      </c>
    </row>
    <row r="354" spans="1:9" x14ac:dyDescent="0.25">
      <c r="A354" s="376">
        <v>59101</v>
      </c>
      <c r="B354" s="384" t="s">
        <v>729</v>
      </c>
      <c r="C354" s="428">
        <v>0</v>
      </c>
      <c r="D354" s="428">
        <v>81811.320000000007</v>
      </c>
      <c r="E354" s="427">
        <v>81811.320000000007</v>
      </c>
      <c r="F354" s="428">
        <v>81811.320000000007</v>
      </c>
      <c r="G354" s="428">
        <v>81811.320000000007</v>
      </c>
      <c r="H354" s="427">
        <v>0</v>
      </c>
      <c r="I354" s="373">
        <v>1</v>
      </c>
    </row>
    <row r="355" spans="1:9" x14ac:dyDescent="0.25">
      <c r="A355" s="375">
        <v>597</v>
      </c>
      <c r="B355" s="382" t="s">
        <v>788</v>
      </c>
      <c r="C355" s="427">
        <v>0</v>
      </c>
      <c r="D355" s="427">
        <v>24537.599999999999</v>
      </c>
      <c r="E355" s="427">
        <v>24537.599999999999</v>
      </c>
      <c r="F355" s="427">
        <v>24537.599999999999</v>
      </c>
      <c r="G355" s="427">
        <v>24537.599999999999</v>
      </c>
      <c r="H355" s="427">
        <v>0</v>
      </c>
      <c r="I355" s="373">
        <v>1</v>
      </c>
    </row>
    <row r="356" spans="1:9" x14ac:dyDescent="0.25">
      <c r="A356" s="376">
        <v>59701</v>
      </c>
      <c r="B356" s="384" t="s">
        <v>789</v>
      </c>
      <c r="C356" s="428">
        <v>0</v>
      </c>
      <c r="D356" s="428">
        <v>24537.599999999999</v>
      </c>
      <c r="E356" s="427">
        <v>24537.599999999999</v>
      </c>
      <c r="F356" s="428">
        <v>24537.599999999999</v>
      </c>
      <c r="G356" s="428">
        <v>24537.599999999999</v>
      </c>
      <c r="H356" s="427">
        <v>0</v>
      </c>
      <c r="I356" s="373">
        <v>1</v>
      </c>
    </row>
    <row r="357" spans="1:9" x14ac:dyDescent="0.25">
      <c r="A357" s="376"/>
      <c r="B357" s="377"/>
      <c r="C357" s="428"/>
      <c r="D357" s="428"/>
      <c r="E357" s="427"/>
      <c r="F357" s="428"/>
      <c r="G357" s="428"/>
      <c r="H357" s="427"/>
      <c r="I357" s="373"/>
    </row>
    <row r="358" spans="1:9" x14ac:dyDescent="0.25">
      <c r="A358" s="385">
        <v>6000</v>
      </c>
      <c r="B358" s="371" t="s">
        <v>730</v>
      </c>
      <c r="C358" s="427">
        <v>259999999.995</v>
      </c>
      <c r="D358" s="427">
        <v>3111819113.9400001</v>
      </c>
      <c r="E358" s="427">
        <v>3371819113.9349999</v>
      </c>
      <c r="F358" s="427">
        <v>1910427426.0899999</v>
      </c>
      <c r="G358" s="427">
        <v>1882969780.4499998</v>
      </c>
      <c r="H358" s="427">
        <v>1461391687.845</v>
      </c>
      <c r="I358" s="373">
        <v>0.56658656990068534</v>
      </c>
    </row>
    <row r="359" spans="1:9" x14ac:dyDescent="0.25">
      <c r="A359" s="386"/>
      <c r="B359" s="371" t="s">
        <v>459</v>
      </c>
      <c r="C359" s="427">
        <v>145000000</v>
      </c>
      <c r="D359" s="427">
        <v>74243335.430000007</v>
      </c>
      <c r="E359" s="427">
        <v>219243335.43000001</v>
      </c>
      <c r="F359" s="427">
        <v>175777106.79999998</v>
      </c>
      <c r="G359" s="427">
        <v>171003293.81</v>
      </c>
      <c r="H359" s="427">
        <v>43466228.630000025</v>
      </c>
      <c r="I359" s="373">
        <v>0.80174435612945727</v>
      </c>
    </row>
    <row r="360" spans="1:9" ht="23.25" customHeight="1" x14ac:dyDescent="0.25">
      <c r="A360" s="385">
        <v>6100</v>
      </c>
      <c r="B360" s="371" t="s">
        <v>731</v>
      </c>
      <c r="C360" s="427">
        <v>145000000</v>
      </c>
      <c r="D360" s="427">
        <v>71793415.430000007</v>
      </c>
      <c r="E360" s="427">
        <v>216793415.43000001</v>
      </c>
      <c r="F360" s="427">
        <v>173493105.99999997</v>
      </c>
      <c r="G360" s="427">
        <v>168719293.00999999</v>
      </c>
      <c r="H360" s="427">
        <v>43300309.430000037</v>
      </c>
      <c r="I360" s="373">
        <v>0.800269259358658</v>
      </c>
    </row>
    <row r="361" spans="1:9" ht="50.25" customHeight="1" x14ac:dyDescent="0.25">
      <c r="A361" s="386">
        <v>613</v>
      </c>
      <c r="B361" s="371" t="s">
        <v>732</v>
      </c>
      <c r="C361" s="427">
        <v>500000</v>
      </c>
      <c r="D361" s="427">
        <v>4625022.1899999995</v>
      </c>
      <c r="E361" s="427">
        <v>5125022.1899999995</v>
      </c>
      <c r="F361" s="427">
        <v>3957122.94</v>
      </c>
      <c r="G361" s="427">
        <v>3803282.94</v>
      </c>
      <c r="H361" s="427">
        <v>1167899.2499999995</v>
      </c>
      <c r="I361" s="373">
        <v>0.77211820618478144</v>
      </c>
    </row>
    <row r="362" spans="1:9" ht="50.25" hidden="1" customHeight="1" x14ac:dyDescent="0.25">
      <c r="A362" s="387">
        <v>61303</v>
      </c>
      <c r="B362" s="388" t="s">
        <v>733</v>
      </c>
      <c r="C362" s="427">
        <v>0</v>
      </c>
      <c r="D362" s="428"/>
      <c r="E362" s="428">
        <v>0</v>
      </c>
      <c r="F362" s="427"/>
      <c r="G362" s="427"/>
      <c r="H362" s="427">
        <v>0</v>
      </c>
      <c r="I362" s="373" t="e">
        <v>#DIV/0!</v>
      </c>
    </row>
    <row r="363" spans="1:9" ht="33.75" x14ac:dyDescent="0.25">
      <c r="A363" s="387">
        <v>61305</v>
      </c>
      <c r="B363" s="388" t="s">
        <v>734</v>
      </c>
      <c r="C363" s="428">
        <v>500000</v>
      </c>
      <c r="D363" s="428">
        <v>2625022.19</v>
      </c>
      <c r="E363" s="427">
        <v>3125022.19</v>
      </c>
      <c r="F363" s="428">
        <v>1978635.48</v>
      </c>
      <c r="G363" s="428">
        <v>1824795.48</v>
      </c>
      <c r="H363" s="427">
        <v>1146386.71</v>
      </c>
      <c r="I363" s="373">
        <v>0.63315885766558344</v>
      </c>
    </row>
    <row r="364" spans="1:9" ht="33.75" hidden="1" x14ac:dyDescent="0.25">
      <c r="A364" s="387">
        <v>61306</v>
      </c>
      <c r="B364" s="388" t="s">
        <v>735</v>
      </c>
      <c r="C364" s="428">
        <v>0</v>
      </c>
      <c r="D364" s="428">
        <v>2000000</v>
      </c>
      <c r="E364" s="427">
        <v>2000000</v>
      </c>
      <c r="F364" s="428">
        <v>1978487.46</v>
      </c>
      <c r="G364" s="428">
        <v>1978487.46</v>
      </c>
      <c r="H364" s="427">
        <v>21512.540000000037</v>
      </c>
      <c r="I364" s="373">
        <v>0.98924372999999999</v>
      </c>
    </row>
    <row r="365" spans="1:9" ht="36.75" hidden="1" customHeight="1" x14ac:dyDescent="0.25">
      <c r="A365" s="387">
        <v>61309</v>
      </c>
      <c r="B365" s="388" t="s">
        <v>736</v>
      </c>
      <c r="C365" s="428">
        <v>0</v>
      </c>
      <c r="D365" s="428">
        <v>0</v>
      </c>
      <c r="E365" s="427">
        <v>0</v>
      </c>
      <c r="F365" s="428">
        <v>0</v>
      </c>
      <c r="G365" s="428">
        <v>0</v>
      </c>
      <c r="H365" s="427">
        <v>0</v>
      </c>
      <c r="I365" s="373" t="e">
        <v>#DIV/0!</v>
      </c>
    </row>
    <row r="366" spans="1:9" ht="33.75" hidden="1" x14ac:dyDescent="0.25">
      <c r="A366" s="387">
        <v>61310</v>
      </c>
      <c r="B366" s="388" t="s">
        <v>737</v>
      </c>
      <c r="C366" s="428">
        <v>0</v>
      </c>
      <c r="D366" s="428">
        <v>0</v>
      </c>
      <c r="E366" s="427">
        <v>0</v>
      </c>
      <c r="F366" s="428">
        <v>0</v>
      </c>
      <c r="G366" s="428">
        <v>0</v>
      </c>
      <c r="H366" s="427">
        <v>0</v>
      </c>
      <c r="I366" s="373" t="e">
        <v>#DIV/0!</v>
      </c>
    </row>
    <row r="367" spans="1:9" hidden="1" x14ac:dyDescent="0.25">
      <c r="A367" s="387">
        <v>61315</v>
      </c>
      <c r="B367" s="388" t="s">
        <v>738</v>
      </c>
      <c r="C367" s="428">
        <v>0</v>
      </c>
      <c r="D367" s="428">
        <v>0</v>
      </c>
      <c r="E367" s="427">
        <v>0</v>
      </c>
      <c r="F367" s="428">
        <v>0</v>
      </c>
      <c r="G367" s="428">
        <v>0</v>
      </c>
      <c r="H367" s="427">
        <v>0</v>
      </c>
      <c r="I367" s="373" t="e">
        <v>#DIV/0!</v>
      </c>
    </row>
    <row r="368" spans="1:9" ht="33.75" x14ac:dyDescent="0.25">
      <c r="A368" s="386">
        <v>614</v>
      </c>
      <c r="B368" s="371" t="s">
        <v>739</v>
      </c>
      <c r="C368" s="427">
        <v>144500000</v>
      </c>
      <c r="D368" s="427">
        <v>67168393.24000001</v>
      </c>
      <c r="E368" s="427">
        <v>211668393.24000001</v>
      </c>
      <c r="F368" s="427">
        <v>169535983.05999997</v>
      </c>
      <c r="G368" s="427">
        <v>164916010.06999999</v>
      </c>
      <c r="H368" s="427">
        <v>42132410.180000037</v>
      </c>
      <c r="I368" s="373">
        <v>0.8009508668957096</v>
      </c>
    </row>
    <row r="369" spans="1:9" hidden="1" x14ac:dyDescent="0.25">
      <c r="A369" s="387">
        <v>61404</v>
      </c>
      <c r="B369" s="388" t="s">
        <v>740</v>
      </c>
      <c r="C369" s="428">
        <v>0</v>
      </c>
      <c r="D369" s="428">
        <v>0</v>
      </c>
      <c r="E369" s="427">
        <v>0</v>
      </c>
      <c r="F369" s="428">
        <v>0</v>
      </c>
      <c r="G369" s="428">
        <v>0</v>
      </c>
      <c r="H369" s="427">
        <v>0</v>
      </c>
      <c r="I369" s="373" t="e">
        <v>#DIV/0!</v>
      </c>
    </row>
    <row r="370" spans="1:9" hidden="1" x14ac:dyDescent="0.25">
      <c r="A370" s="387">
        <v>61406</v>
      </c>
      <c r="B370" s="388" t="s">
        <v>741</v>
      </c>
      <c r="C370" s="428">
        <v>0</v>
      </c>
      <c r="D370" s="428">
        <v>13806474.559999999</v>
      </c>
      <c r="E370" s="427">
        <v>13806474.559999999</v>
      </c>
      <c r="F370" s="428">
        <v>9767649.2199999988</v>
      </c>
      <c r="G370" s="428">
        <v>9767649.2199999988</v>
      </c>
      <c r="H370" s="427">
        <v>4038825.34</v>
      </c>
      <c r="I370" s="373">
        <v>0.70746874428746276</v>
      </c>
    </row>
    <row r="371" spans="1:9" ht="33.75" x14ac:dyDescent="0.25">
      <c r="A371" s="387">
        <v>61408</v>
      </c>
      <c r="B371" s="388" t="s">
        <v>742</v>
      </c>
      <c r="C371" s="428">
        <v>60052078.600000001</v>
      </c>
      <c r="D371" s="428">
        <v>75890587.460000008</v>
      </c>
      <c r="E371" s="427">
        <v>135942666.06</v>
      </c>
      <c r="F371" s="428">
        <v>128182335.36</v>
      </c>
      <c r="G371" s="428">
        <v>124889980.78999999</v>
      </c>
      <c r="H371" s="427">
        <v>7760330.700000003</v>
      </c>
      <c r="I371" s="373">
        <v>0.94291467921796612</v>
      </c>
    </row>
    <row r="372" spans="1:9" ht="33.75" x14ac:dyDescent="0.25">
      <c r="A372" s="387">
        <v>61409</v>
      </c>
      <c r="B372" s="388" t="s">
        <v>743</v>
      </c>
      <c r="C372" s="428">
        <v>84447921.400000006</v>
      </c>
      <c r="D372" s="428">
        <v>-25935671.759999998</v>
      </c>
      <c r="E372" s="427">
        <v>58512249.640000008</v>
      </c>
      <c r="F372" s="428">
        <v>29955057.75</v>
      </c>
      <c r="G372" s="428">
        <v>28919074.59</v>
      </c>
      <c r="H372" s="427">
        <v>28557191.890000008</v>
      </c>
      <c r="I372" s="373">
        <v>0.51194507020837898</v>
      </c>
    </row>
    <row r="373" spans="1:9" ht="22.5" hidden="1" x14ac:dyDescent="0.25">
      <c r="A373" s="387">
        <v>61415</v>
      </c>
      <c r="B373" s="388" t="s">
        <v>744</v>
      </c>
      <c r="C373" s="428">
        <v>0</v>
      </c>
      <c r="D373" s="428">
        <v>0</v>
      </c>
      <c r="E373" s="427">
        <v>0</v>
      </c>
      <c r="F373" s="428">
        <v>0</v>
      </c>
      <c r="G373" s="428">
        <v>0</v>
      </c>
      <c r="H373" s="427">
        <v>0</v>
      </c>
      <c r="I373" s="373" t="e">
        <v>#DIV/0!</v>
      </c>
    </row>
    <row r="374" spans="1:9" ht="45" x14ac:dyDescent="0.25">
      <c r="A374" s="389">
        <v>61424</v>
      </c>
      <c r="B374" s="390" t="s">
        <v>745</v>
      </c>
      <c r="C374" s="428">
        <v>0</v>
      </c>
      <c r="D374" s="428">
        <v>2503292.21</v>
      </c>
      <c r="E374" s="427">
        <v>2503292.21</v>
      </c>
      <c r="F374" s="428">
        <v>862586.7</v>
      </c>
      <c r="G374" s="428">
        <v>862199.24</v>
      </c>
      <c r="H374" s="427">
        <v>1640705.51</v>
      </c>
      <c r="I374" s="373">
        <v>0.34458090691697552</v>
      </c>
    </row>
    <row r="375" spans="1:9" x14ac:dyDescent="0.25">
      <c r="A375" s="389">
        <v>61425</v>
      </c>
      <c r="B375" s="390" t="s">
        <v>746</v>
      </c>
      <c r="C375" s="428">
        <v>0</v>
      </c>
      <c r="D375" s="428">
        <v>903710.77</v>
      </c>
      <c r="E375" s="427">
        <v>903710.77</v>
      </c>
      <c r="F375" s="427">
        <v>768354.03</v>
      </c>
      <c r="G375" s="428">
        <v>477106.23</v>
      </c>
      <c r="H375" s="427">
        <v>135356.74</v>
      </c>
      <c r="I375" s="373">
        <v>0.85022117197961466</v>
      </c>
    </row>
    <row r="376" spans="1:9" x14ac:dyDescent="0.25">
      <c r="A376" s="391">
        <v>6200</v>
      </c>
      <c r="B376" s="392" t="s">
        <v>747</v>
      </c>
      <c r="C376" s="427">
        <v>0</v>
      </c>
      <c r="D376" s="427">
        <v>2449920</v>
      </c>
      <c r="E376" s="427">
        <v>2449920</v>
      </c>
      <c r="F376" s="427">
        <v>2284000.7999999998</v>
      </c>
      <c r="G376" s="427">
        <v>2284000.7999999998</v>
      </c>
      <c r="H376" s="427">
        <v>165919.20000000019</v>
      </c>
      <c r="I376" s="373">
        <v>0.93227566614420054</v>
      </c>
    </row>
    <row r="377" spans="1:9" ht="28.5" customHeight="1" x14ac:dyDescent="0.25">
      <c r="A377" s="386">
        <v>624</v>
      </c>
      <c r="B377" s="392" t="s">
        <v>748</v>
      </c>
      <c r="C377" s="427">
        <v>0</v>
      </c>
      <c r="D377" s="427">
        <v>2449920</v>
      </c>
      <c r="E377" s="427">
        <v>2449920</v>
      </c>
      <c r="F377" s="427">
        <v>2284000.7999999998</v>
      </c>
      <c r="G377" s="427">
        <v>2284000.7999999998</v>
      </c>
      <c r="H377" s="427">
        <v>165919.20000000019</v>
      </c>
      <c r="I377" s="373">
        <v>0.93227566614420054</v>
      </c>
    </row>
    <row r="378" spans="1:9" hidden="1" x14ac:dyDescent="0.25">
      <c r="A378" s="389">
        <v>62404</v>
      </c>
      <c r="B378" s="390" t="s">
        <v>740</v>
      </c>
      <c r="C378" s="428">
        <v>0</v>
      </c>
      <c r="D378" s="428">
        <v>0</v>
      </c>
      <c r="E378" s="427">
        <v>0</v>
      </c>
      <c r="F378" s="428">
        <v>0</v>
      </c>
      <c r="G378" s="428">
        <v>0</v>
      </c>
      <c r="H378" s="427">
        <v>0</v>
      </c>
      <c r="I378" s="373" t="e">
        <v>#DIV/0!</v>
      </c>
    </row>
    <row r="379" spans="1:9" ht="22.5" x14ac:dyDescent="0.25">
      <c r="A379" s="389">
        <v>62408</v>
      </c>
      <c r="B379" s="390" t="s">
        <v>785</v>
      </c>
      <c r="C379" s="428">
        <v>0</v>
      </c>
      <c r="D379" s="428">
        <v>2449920</v>
      </c>
      <c r="E379" s="427">
        <v>2449920</v>
      </c>
      <c r="F379" s="428">
        <v>2284000.7999999998</v>
      </c>
      <c r="G379" s="428">
        <v>2284000.7999999998</v>
      </c>
      <c r="H379" s="427">
        <v>165919.20000000019</v>
      </c>
      <c r="I379" s="373">
        <v>0.93227566614420054</v>
      </c>
    </row>
    <row r="380" spans="1:9" ht="22.5" hidden="1" x14ac:dyDescent="0.25">
      <c r="A380" s="389">
        <v>62409</v>
      </c>
      <c r="B380" s="390" t="s">
        <v>749</v>
      </c>
      <c r="C380" s="428">
        <v>0</v>
      </c>
      <c r="D380" s="428">
        <v>0</v>
      </c>
      <c r="E380" s="427">
        <v>0</v>
      </c>
      <c r="F380" s="428">
        <v>0</v>
      </c>
      <c r="G380" s="428">
        <v>0</v>
      </c>
      <c r="H380" s="427">
        <v>0</v>
      </c>
      <c r="I380" s="373" t="e">
        <v>#DIV/0!</v>
      </c>
    </row>
    <row r="381" spans="1:9" hidden="1" x14ac:dyDescent="0.25">
      <c r="A381" s="389">
        <v>61406</v>
      </c>
      <c r="B381" s="390" t="s">
        <v>741</v>
      </c>
      <c r="C381" s="428">
        <v>0</v>
      </c>
      <c r="D381" s="428">
        <v>0</v>
      </c>
      <c r="E381" s="427">
        <v>0</v>
      </c>
      <c r="F381" s="428">
        <v>0</v>
      </c>
      <c r="G381" s="428">
        <v>0</v>
      </c>
      <c r="H381" s="427">
        <v>0</v>
      </c>
      <c r="I381" s="373" t="e">
        <v>#DIV/0!</v>
      </c>
    </row>
    <row r="382" spans="1:9" x14ac:dyDescent="0.25">
      <c r="A382" s="389"/>
      <c r="B382" s="390"/>
      <c r="C382" s="428"/>
      <c r="D382" s="428"/>
      <c r="E382" s="427"/>
      <c r="F382" s="428"/>
      <c r="G382" s="428"/>
      <c r="H382" s="427"/>
      <c r="I382" s="373"/>
    </row>
    <row r="383" spans="1:9" x14ac:dyDescent="0.25">
      <c r="A383" s="393"/>
      <c r="B383" s="391" t="s">
        <v>750</v>
      </c>
      <c r="C383" s="427">
        <v>114999999.995</v>
      </c>
      <c r="D383" s="427">
        <v>3037575778.5100002</v>
      </c>
      <c r="E383" s="427">
        <v>3152575778.5050001</v>
      </c>
      <c r="F383" s="427">
        <v>1734650319.29</v>
      </c>
      <c r="G383" s="427">
        <v>1711966486.6399999</v>
      </c>
      <c r="H383" s="427">
        <v>1417925459.2150002</v>
      </c>
      <c r="I383" s="373">
        <v>0.55023271165034382</v>
      </c>
    </row>
    <row r="384" spans="1:9" ht="23.25" customHeight="1" x14ac:dyDescent="0.25">
      <c r="A384" s="391">
        <v>6100</v>
      </c>
      <c r="B384" s="392" t="s">
        <v>731</v>
      </c>
      <c r="C384" s="427">
        <v>114999999.995</v>
      </c>
      <c r="D384" s="427">
        <v>3037575778.5100002</v>
      </c>
      <c r="E384" s="427">
        <v>3152575778.5050001</v>
      </c>
      <c r="F384" s="427">
        <v>1734650319.29</v>
      </c>
      <c r="G384" s="427">
        <v>1711966486.6399999</v>
      </c>
      <c r="H384" s="427">
        <v>1417925459.2150002</v>
      </c>
      <c r="I384" s="373">
        <v>0.55023271165034382</v>
      </c>
    </row>
    <row r="385" spans="1:9" ht="45" x14ac:dyDescent="0.25">
      <c r="A385" s="393">
        <v>613</v>
      </c>
      <c r="B385" s="371" t="s">
        <v>732</v>
      </c>
      <c r="C385" s="427">
        <v>500000</v>
      </c>
      <c r="D385" s="427">
        <v>3001879694.3800001</v>
      </c>
      <c r="E385" s="427">
        <v>3002379694.3800001</v>
      </c>
      <c r="F385" s="427">
        <v>1662600947.4400001</v>
      </c>
      <c r="G385" s="427">
        <v>1651448541.27</v>
      </c>
      <c r="H385" s="427">
        <v>1339778746.9400001</v>
      </c>
      <c r="I385" s="373">
        <v>0.55376105512308693</v>
      </c>
    </row>
    <row r="386" spans="1:9" ht="22.5" x14ac:dyDescent="0.25">
      <c r="A386" s="389">
        <v>61303</v>
      </c>
      <c r="B386" s="388" t="s">
        <v>733</v>
      </c>
      <c r="C386" s="428">
        <v>0</v>
      </c>
      <c r="D386" s="428">
        <v>0</v>
      </c>
      <c r="E386" s="427">
        <v>0</v>
      </c>
      <c r="F386" s="427">
        <v>0</v>
      </c>
      <c r="G386" s="427">
        <v>0</v>
      </c>
      <c r="H386" s="427">
        <v>0</v>
      </c>
      <c r="I386" s="373" t="e">
        <v>#DIV/0!</v>
      </c>
    </row>
    <row r="387" spans="1:9" ht="33.75" x14ac:dyDescent="0.25">
      <c r="A387" s="389">
        <v>61305</v>
      </c>
      <c r="B387" s="388" t="s">
        <v>734</v>
      </c>
      <c r="C387" s="428">
        <v>500000</v>
      </c>
      <c r="D387" s="428">
        <v>1000000</v>
      </c>
      <c r="E387" s="427">
        <v>1500000</v>
      </c>
      <c r="F387" s="428">
        <v>1396693.81</v>
      </c>
      <c r="G387" s="428">
        <v>1396693.81</v>
      </c>
      <c r="H387" s="427">
        <v>103306.18999999994</v>
      </c>
      <c r="I387" s="373">
        <v>0.93112920666666665</v>
      </c>
    </row>
    <row r="388" spans="1:9" ht="33.75" x14ac:dyDescent="0.25">
      <c r="A388" s="389">
        <v>61306</v>
      </c>
      <c r="B388" s="388" t="s">
        <v>751</v>
      </c>
      <c r="C388" s="428">
        <v>0</v>
      </c>
      <c r="D388" s="428">
        <v>641485037.25999999</v>
      </c>
      <c r="E388" s="427">
        <v>641485037.25999999</v>
      </c>
      <c r="F388" s="428">
        <v>150132941.68000001</v>
      </c>
      <c r="G388" s="428">
        <v>150132941.68000001</v>
      </c>
      <c r="H388" s="427">
        <v>491352095.57999998</v>
      </c>
      <c r="I388" s="373">
        <v>0.2340396625948887</v>
      </c>
    </row>
    <row r="389" spans="1:9" ht="22.5" x14ac:dyDescent="0.25">
      <c r="A389" s="389">
        <v>61307</v>
      </c>
      <c r="B389" s="388" t="s">
        <v>752</v>
      </c>
      <c r="C389" s="428">
        <v>0</v>
      </c>
      <c r="D389" s="428">
        <v>326099267.34000003</v>
      </c>
      <c r="E389" s="427">
        <v>326099267.34000003</v>
      </c>
      <c r="F389" s="428">
        <v>324262985.61000001</v>
      </c>
      <c r="G389" s="428">
        <v>313908052.58999997</v>
      </c>
      <c r="H389" s="430">
        <v>1836281.7300000191</v>
      </c>
      <c r="I389" s="373">
        <v>0.99436894861807379</v>
      </c>
    </row>
    <row r="390" spans="1:9" ht="22.5" x14ac:dyDescent="0.25">
      <c r="A390" s="389">
        <v>61308</v>
      </c>
      <c r="B390" s="388" t="s">
        <v>753</v>
      </c>
      <c r="C390" s="428">
        <v>0</v>
      </c>
      <c r="D390" s="428">
        <v>2013295389.78</v>
      </c>
      <c r="E390" s="427">
        <v>2013295389.78</v>
      </c>
      <c r="F390" s="428">
        <v>1168905470.3400002</v>
      </c>
      <c r="G390" s="428">
        <v>1168107997.1900001</v>
      </c>
      <c r="H390" s="427">
        <v>844389919.43999982</v>
      </c>
      <c r="I390" s="373">
        <v>0.58059312919190198</v>
      </c>
    </row>
    <row r="391" spans="1:9" ht="22.5" x14ac:dyDescent="0.25">
      <c r="A391" s="389">
        <v>61309</v>
      </c>
      <c r="B391" s="388" t="s">
        <v>754</v>
      </c>
      <c r="C391" s="428">
        <v>0</v>
      </c>
      <c r="D391" s="428">
        <v>0</v>
      </c>
      <c r="E391" s="427">
        <v>0</v>
      </c>
      <c r="F391" s="428">
        <v>0</v>
      </c>
      <c r="G391" s="428">
        <v>0</v>
      </c>
      <c r="H391" s="427">
        <v>0</v>
      </c>
      <c r="I391" s="373" t="e">
        <v>#DIV/0!</v>
      </c>
    </row>
    <row r="392" spans="1:9" ht="33.75" hidden="1" x14ac:dyDescent="0.25">
      <c r="A392" s="389">
        <v>61310</v>
      </c>
      <c r="B392" s="388" t="s">
        <v>737</v>
      </c>
      <c r="C392" s="428">
        <v>0</v>
      </c>
      <c r="D392" s="428">
        <v>20000000</v>
      </c>
      <c r="E392" s="427">
        <v>20000000</v>
      </c>
      <c r="F392" s="428">
        <v>17902856</v>
      </c>
      <c r="G392" s="428">
        <v>17902856</v>
      </c>
      <c r="H392" s="427">
        <v>2097144</v>
      </c>
      <c r="I392" s="373">
        <v>0.89514280000000002</v>
      </c>
    </row>
    <row r="393" spans="1:9" ht="56.25" hidden="1" x14ac:dyDescent="0.25">
      <c r="A393" s="389">
        <v>61313</v>
      </c>
      <c r="B393" s="388" t="s">
        <v>755</v>
      </c>
      <c r="C393" s="428">
        <v>0</v>
      </c>
      <c r="D393" s="428">
        <v>0</v>
      </c>
      <c r="E393" s="427">
        <v>0</v>
      </c>
      <c r="F393" s="428">
        <v>0</v>
      </c>
      <c r="G393" s="428">
        <v>0</v>
      </c>
      <c r="H393" s="427">
        <v>0</v>
      </c>
      <c r="I393" s="373" t="e">
        <v>#DIV/0!</v>
      </c>
    </row>
    <row r="394" spans="1:9" hidden="1" x14ac:dyDescent="0.25">
      <c r="A394" s="389">
        <v>61315</v>
      </c>
      <c r="B394" s="388" t="s">
        <v>738</v>
      </c>
      <c r="C394" s="428">
        <v>0</v>
      </c>
      <c r="D394" s="428">
        <v>0</v>
      </c>
      <c r="E394" s="427">
        <v>0</v>
      </c>
      <c r="F394" s="428">
        <v>0</v>
      </c>
      <c r="G394" s="428">
        <v>0</v>
      </c>
      <c r="H394" s="427">
        <v>0</v>
      </c>
      <c r="I394" s="373" t="e">
        <v>#DIV/0!</v>
      </c>
    </row>
    <row r="395" spans="1:9" ht="27" customHeight="1" x14ac:dyDescent="0.25">
      <c r="A395" s="386">
        <v>614</v>
      </c>
      <c r="B395" s="442" t="s">
        <v>739</v>
      </c>
      <c r="C395" s="427">
        <v>114499999.995</v>
      </c>
      <c r="D395" s="427">
        <v>35696084.130000003</v>
      </c>
      <c r="E395" s="427">
        <v>150196084.125</v>
      </c>
      <c r="F395" s="427">
        <v>72049371.849999994</v>
      </c>
      <c r="G395" s="427">
        <v>60517945.369999997</v>
      </c>
      <c r="H395" s="427">
        <v>78146712.275000006</v>
      </c>
      <c r="I395" s="373">
        <v>0.47970206593427056</v>
      </c>
    </row>
    <row r="396" spans="1:9" x14ac:dyDescent="0.25">
      <c r="A396" s="387">
        <v>61406</v>
      </c>
      <c r="B396" s="388" t="s">
        <v>741</v>
      </c>
      <c r="C396" s="427">
        <v>0</v>
      </c>
      <c r="D396" s="428">
        <v>2792120.12</v>
      </c>
      <c r="E396" s="427">
        <v>2792120.12</v>
      </c>
      <c r="F396" s="428">
        <v>1035684.72</v>
      </c>
      <c r="G396" s="428">
        <v>1035684.72</v>
      </c>
      <c r="H396" s="427">
        <v>1756435.4000000001</v>
      </c>
      <c r="I396" s="373">
        <v>0.37093129073544295</v>
      </c>
    </row>
    <row r="397" spans="1:9" ht="33.75" x14ac:dyDescent="0.25">
      <c r="A397" s="387">
        <v>61408</v>
      </c>
      <c r="B397" s="388" t="s">
        <v>742</v>
      </c>
      <c r="C397" s="428">
        <v>68945896.605000004</v>
      </c>
      <c r="D397" s="428">
        <v>27142000.02</v>
      </c>
      <c r="E397" s="428">
        <v>96087896.625</v>
      </c>
      <c r="F397" s="428">
        <v>48267753.239999995</v>
      </c>
      <c r="G397" s="428">
        <v>37302466.539999999</v>
      </c>
      <c r="H397" s="427">
        <v>47820143.385000005</v>
      </c>
      <c r="I397" s="373">
        <v>0.50232916876485945</v>
      </c>
    </row>
    <row r="398" spans="1:9" ht="33.75" x14ac:dyDescent="0.25">
      <c r="A398" s="387">
        <v>61409</v>
      </c>
      <c r="B398" s="388" t="s">
        <v>743</v>
      </c>
      <c r="C398" s="428">
        <v>45554103.390000001</v>
      </c>
      <c r="D398" s="428">
        <v>4511137.84</v>
      </c>
      <c r="E398" s="427">
        <v>50065241.230000004</v>
      </c>
      <c r="F398" s="428">
        <v>22027875.359999999</v>
      </c>
      <c r="G398" s="428">
        <v>21461735.579999998</v>
      </c>
      <c r="H398" s="427">
        <v>28037365.870000005</v>
      </c>
      <c r="I398" s="373">
        <v>0.43998340602822256</v>
      </c>
    </row>
    <row r="399" spans="1:9" ht="22.5" hidden="1" x14ac:dyDescent="0.25">
      <c r="A399" s="387">
        <v>61415</v>
      </c>
      <c r="B399" s="388" t="s">
        <v>744</v>
      </c>
      <c r="C399" s="428">
        <v>0</v>
      </c>
      <c r="D399" s="428">
        <v>0</v>
      </c>
      <c r="E399" s="427">
        <v>0</v>
      </c>
      <c r="F399" s="428">
        <v>0</v>
      </c>
      <c r="G399" s="428">
        <v>0</v>
      </c>
      <c r="H399" s="427">
        <v>0</v>
      </c>
      <c r="I399" s="373" t="e">
        <v>#DIV/0!</v>
      </c>
    </row>
    <row r="400" spans="1:9" ht="45" hidden="1" x14ac:dyDescent="0.25">
      <c r="A400" s="387">
        <v>61424</v>
      </c>
      <c r="B400" s="388" t="s">
        <v>745</v>
      </c>
      <c r="C400" s="428">
        <v>0</v>
      </c>
      <c r="D400" s="428">
        <v>0</v>
      </c>
      <c r="E400" s="427">
        <v>0</v>
      </c>
      <c r="F400" s="428">
        <v>0</v>
      </c>
      <c r="G400" s="428">
        <v>0</v>
      </c>
      <c r="H400" s="427">
        <v>0</v>
      </c>
      <c r="I400" s="373" t="e">
        <v>#DIV/0!</v>
      </c>
    </row>
    <row r="401" spans="1:9" x14ac:dyDescent="0.25">
      <c r="A401" s="387">
        <v>61425</v>
      </c>
      <c r="B401" s="388" t="s">
        <v>746</v>
      </c>
      <c r="C401" s="428">
        <v>0</v>
      </c>
      <c r="D401" s="428">
        <v>1250826.1499999999</v>
      </c>
      <c r="E401" s="427">
        <v>1250826.1499999999</v>
      </c>
      <c r="F401" s="428">
        <v>718058.53</v>
      </c>
      <c r="G401" s="428">
        <v>718058.53</v>
      </c>
      <c r="H401" s="427">
        <v>532767.61999999988</v>
      </c>
      <c r="I401" s="373">
        <v>0.57406741136647976</v>
      </c>
    </row>
    <row r="402" spans="1:9" x14ac:dyDescent="0.25">
      <c r="A402" s="394">
        <v>6200</v>
      </c>
      <c r="B402" s="392" t="s">
        <v>756</v>
      </c>
      <c r="C402" s="428">
        <v>0</v>
      </c>
      <c r="D402" s="427">
        <v>0</v>
      </c>
      <c r="E402" s="427">
        <v>0</v>
      </c>
      <c r="F402" s="428">
        <v>0</v>
      </c>
      <c r="G402" s="428">
        <v>0</v>
      </c>
      <c r="H402" s="427">
        <v>0</v>
      </c>
      <c r="I402" s="373"/>
    </row>
    <row r="403" spans="1:9" ht="27" customHeight="1" x14ac:dyDescent="0.25">
      <c r="A403" s="395">
        <v>624</v>
      </c>
      <c r="B403" s="396" t="s">
        <v>757</v>
      </c>
      <c r="C403" s="428">
        <v>0</v>
      </c>
      <c r="D403" s="427">
        <v>0</v>
      </c>
      <c r="E403" s="427">
        <v>0</v>
      </c>
      <c r="F403" s="428">
        <v>0</v>
      </c>
      <c r="G403" s="428">
        <v>0</v>
      </c>
      <c r="H403" s="427">
        <v>0</v>
      </c>
      <c r="I403" s="373"/>
    </row>
    <row r="404" spans="1:9" x14ac:dyDescent="0.25">
      <c r="A404" s="397">
        <v>62404</v>
      </c>
      <c r="B404" s="388" t="s">
        <v>740</v>
      </c>
      <c r="C404" s="428">
        <v>0</v>
      </c>
      <c r="D404" s="428">
        <v>0</v>
      </c>
      <c r="E404" s="427">
        <v>0</v>
      </c>
      <c r="F404" s="428">
        <v>0</v>
      </c>
      <c r="G404" s="428">
        <v>0</v>
      </c>
      <c r="H404" s="427">
        <v>0</v>
      </c>
      <c r="I404" s="373"/>
    </row>
    <row r="405" spans="1:9" x14ac:dyDescent="0.25">
      <c r="A405" s="387"/>
      <c r="B405" s="388"/>
      <c r="C405" s="428"/>
      <c r="D405" s="428"/>
      <c r="E405" s="427"/>
      <c r="F405" s="428"/>
      <c r="G405" s="428"/>
      <c r="H405" s="427"/>
      <c r="I405" s="373"/>
    </row>
    <row r="406" spans="1:9" ht="27.75" customHeight="1" x14ac:dyDescent="0.25">
      <c r="A406" s="385">
        <v>7000</v>
      </c>
      <c r="B406" s="371" t="s">
        <v>758</v>
      </c>
      <c r="C406" s="427">
        <v>27951116.004999999</v>
      </c>
      <c r="D406" s="427">
        <v>0</v>
      </c>
      <c r="E406" s="427">
        <v>27951116.004999999</v>
      </c>
      <c r="F406" s="428">
        <v>0</v>
      </c>
      <c r="G406" s="428">
        <v>0</v>
      </c>
      <c r="H406" s="427">
        <v>27951116.004999999</v>
      </c>
      <c r="I406" s="373">
        <v>0</v>
      </c>
    </row>
    <row r="407" spans="1:9" ht="22.5" x14ac:dyDescent="0.25">
      <c r="A407" s="385">
        <v>7900</v>
      </c>
      <c r="B407" s="371" t="s">
        <v>759</v>
      </c>
      <c r="C407" s="427">
        <v>27951116.004999999</v>
      </c>
      <c r="D407" s="427">
        <v>0</v>
      </c>
      <c r="E407" s="427">
        <v>27951116.004999999</v>
      </c>
      <c r="F407" s="428">
        <v>0</v>
      </c>
      <c r="G407" s="428">
        <v>0</v>
      </c>
      <c r="H407" s="427">
        <v>27951116.004999999</v>
      </c>
      <c r="I407" s="373">
        <v>0</v>
      </c>
    </row>
    <row r="408" spans="1:9" x14ac:dyDescent="0.25">
      <c r="A408" s="386">
        <v>799</v>
      </c>
      <c r="B408" s="371" t="s">
        <v>760</v>
      </c>
      <c r="C408" s="427">
        <v>27951116.004999999</v>
      </c>
      <c r="D408" s="427">
        <v>0</v>
      </c>
      <c r="E408" s="427">
        <v>27951116.004999999</v>
      </c>
      <c r="F408" s="428">
        <v>0</v>
      </c>
      <c r="G408" s="428">
        <v>0</v>
      </c>
      <c r="H408" s="427">
        <v>27951116.004999999</v>
      </c>
      <c r="I408" s="373">
        <v>0</v>
      </c>
    </row>
    <row r="409" spans="1:9" x14ac:dyDescent="0.25">
      <c r="A409" s="387">
        <v>79901</v>
      </c>
      <c r="B409" s="388" t="s">
        <v>760</v>
      </c>
      <c r="C409" s="428">
        <v>27951116.004999999</v>
      </c>
      <c r="D409" s="428">
        <v>0</v>
      </c>
      <c r="E409" s="427">
        <v>27951116.004999999</v>
      </c>
      <c r="F409" s="428">
        <v>0</v>
      </c>
      <c r="G409" s="428">
        <v>0</v>
      </c>
      <c r="H409" s="427">
        <v>27951116.004999999</v>
      </c>
      <c r="I409" s="373">
        <v>0</v>
      </c>
    </row>
    <row r="410" spans="1:9" x14ac:dyDescent="0.25">
      <c r="A410" s="389"/>
      <c r="B410" s="390"/>
      <c r="C410" s="428"/>
      <c r="D410" s="428"/>
      <c r="E410" s="427"/>
      <c r="F410" s="428"/>
      <c r="G410" s="428"/>
      <c r="H410" s="427"/>
      <c r="I410" s="373"/>
    </row>
    <row r="411" spans="1:9" x14ac:dyDescent="0.25">
      <c r="A411" s="385">
        <v>9000</v>
      </c>
      <c r="B411" s="392" t="s">
        <v>761</v>
      </c>
      <c r="C411" s="427">
        <v>90000000</v>
      </c>
      <c r="D411" s="427">
        <v>-320102.93999997154</v>
      </c>
      <c r="E411" s="427">
        <v>89679897.060000032</v>
      </c>
      <c r="F411" s="427">
        <v>69977902.400000006</v>
      </c>
      <c r="G411" s="427">
        <v>68698950.810000002</v>
      </c>
      <c r="H411" s="427">
        <v>19701994.660000026</v>
      </c>
      <c r="I411" s="373">
        <v>0.780307568296845</v>
      </c>
    </row>
    <row r="412" spans="1:9" x14ac:dyDescent="0.25">
      <c r="A412" s="385">
        <v>9100</v>
      </c>
      <c r="B412" s="392" t="s">
        <v>762</v>
      </c>
      <c r="C412" s="427">
        <v>90000000</v>
      </c>
      <c r="D412" s="427">
        <v>-56608003.209999979</v>
      </c>
      <c r="E412" s="427">
        <v>33391996.790000021</v>
      </c>
      <c r="F412" s="427">
        <v>30931478.789999999</v>
      </c>
      <c r="G412" s="427">
        <v>30933478.789999999</v>
      </c>
      <c r="H412" s="427">
        <v>2460518.0000000224</v>
      </c>
      <c r="I412" s="373">
        <v>0.92631414001762002</v>
      </c>
    </row>
    <row r="413" spans="1:9" ht="33.75" x14ac:dyDescent="0.25">
      <c r="A413" s="386">
        <v>911</v>
      </c>
      <c r="B413" s="392" t="s">
        <v>763</v>
      </c>
      <c r="C413" s="427">
        <v>90000000</v>
      </c>
      <c r="D413" s="427">
        <v>-56608003.209999979</v>
      </c>
      <c r="E413" s="427">
        <v>33391996.790000021</v>
      </c>
      <c r="F413" s="427">
        <v>30931478.789999999</v>
      </c>
      <c r="G413" s="427">
        <v>30933478.789999999</v>
      </c>
      <c r="H413" s="427">
        <v>2460518.0000000224</v>
      </c>
      <c r="I413" s="373">
        <v>0.92631414001762002</v>
      </c>
    </row>
    <row r="414" spans="1:9" x14ac:dyDescent="0.25">
      <c r="A414" s="387">
        <v>91101</v>
      </c>
      <c r="B414" s="390" t="s">
        <v>764</v>
      </c>
      <c r="C414" s="428"/>
      <c r="D414" s="428">
        <v>0</v>
      </c>
      <c r="E414" s="427">
        <v>0</v>
      </c>
      <c r="F414" s="428">
        <v>0</v>
      </c>
      <c r="G414" s="428">
        <v>0</v>
      </c>
      <c r="H414" s="427">
        <v>0</v>
      </c>
      <c r="I414" s="373"/>
    </row>
    <row r="415" spans="1:9" x14ac:dyDescent="0.25">
      <c r="A415" s="387">
        <v>91102</v>
      </c>
      <c r="B415" s="390" t="s">
        <v>765</v>
      </c>
      <c r="C415" s="428">
        <v>90000000</v>
      </c>
      <c r="D415" s="428">
        <v>-56608003.209999979</v>
      </c>
      <c r="E415" s="427">
        <v>33391996.790000021</v>
      </c>
      <c r="F415" s="428">
        <v>30931478.789999999</v>
      </c>
      <c r="G415" s="428">
        <v>30933478.789999999</v>
      </c>
      <c r="H415" s="427">
        <v>2460518.0000000224</v>
      </c>
      <c r="I415" s="373">
        <v>0.92631414001762002</v>
      </c>
    </row>
    <row r="416" spans="1:9" x14ac:dyDescent="0.25">
      <c r="A416" s="385">
        <v>9200</v>
      </c>
      <c r="B416" s="392" t="s">
        <v>766</v>
      </c>
      <c r="C416" s="427">
        <v>0</v>
      </c>
      <c r="D416" s="427">
        <v>28432546.320000004</v>
      </c>
      <c r="E416" s="427">
        <v>28432546.320000004</v>
      </c>
      <c r="F416" s="427">
        <v>28432546.32</v>
      </c>
      <c r="G416" s="427">
        <v>28432546.32</v>
      </c>
      <c r="H416" s="427">
        <v>0</v>
      </c>
      <c r="I416" s="373"/>
    </row>
    <row r="417" spans="1:9" ht="22.5" x14ac:dyDescent="0.25">
      <c r="A417" s="386">
        <v>921</v>
      </c>
      <c r="B417" s="392" t="s">
        <v>767</v>
      </c>
      <c r="C417" s="427">
        <v>0</v>
      </c>
      <c r="D417" s="427">
        <v>28432546.320000004</v>
      </c>
      <c r="E417" s="427">
        <v>28432546.320000004</v>
      </c>
      <c r="F417" s="427">
        <v>28432546.32</v>
      </c>
      <c r="G417" s="427">
        <v>28432546.32</v>
      </c>
      <c r="H417" s="427">
        <v>0</v>
      </c>
      <c r="I417" s="373"/>
    </row>
    <row r="418" spans="1:9" x14ac:dyDescent="0.25">
      <c r="A418" s="387">
        <v>92101</v>
      </c>
      <c r="B418" s="390" t="s">
        <v>768</v>
      </c>
      <c r="C418" s="428"/>
      <c r="D418" s="431">
        <v>0</v>
      </c>
      <c r="E418" s="427">
        <v>0</v>
      </c>
      <c r="F418" s="428">
        <v>0</v>
      </c>
      <c r="G418" s="428">
        <v>0</v>
      </c>
      <c r="H418" s="427">
        <v>0</v>
      </c>
      <c r="I418" s="373"/>
    </row>
    <row r="419" spans="1:9" x14ac:dyDescent="0.25">
      <c r="A419" s="387">
        <v>92102</v>
      </c>
      <c r="B419" s="390" t="s">
        <v>769</v>
      </c>
      <c r="C419" s="428"/>
      <c r="D419" s="428">
        <v>28432546.320000004</v>
      </c>
      <c r="E419" s="427">
        <v>28432546.320000004</v>
      </c>
      <c r="F419" s="428">
        <v>28432546.32</v>
      </c>
      <c r="G419" s="428">
        <v>28432546.32</v>
      </c>
      <c r="H419" s="427">
        <v>0</v>
      </c>
      <c r="I419" s="373"/>
    </row>
    <row r="420" spans="1:9" ht="30" customHeight="1" x14ac:dyDescent="0.25">
      <c r="A420" s="385">
        <v>9900</v>
      </c>
      <c r="B420" s="392" t="s">
        <v>770</v>
      </c>
      <c r="C420" s="427">
        <v>0</v>
      </c>
      <c r="D420" s="427">
        <v>27855353.950000003</v>
      </c>
      <c r="E420" s="427">
        <v>27855353.950000003</v>
      </c>
      <c r="F420" s="427">
        <v>10613877.289999999</v>
      </c>
      <c r="G420" s="427">
        <v>9332925.6999999993</v>
      </c>
      <c r="H420" s="427">
        <v>17241476.660000004</v>
      </c>
      <c r="I420" s="373">
        <v>0.38103544866282335</v>
      </c>
    </row>
    <row r="421" spans="1:9" x14ac:dyDescent="0.25">
      <c r="A421" s="398">
        <v>991</v>
      </c>
      <c r="B421" s="392" t="s">
        <v>771</v>
      </c>
      <c r="C421" s="427">
        <v>0</v>
      </c>
      <c r="D421" s="427">
        <v>27855353.950000003</v>
      </c>
      <c r="E421" s="427">
        <v>27855353.950000003</v>
      </c>
      <c r="F421" s="427">
        <v>10613877.289999999</v>
      </c>
      <c r="G421" s="427">
        <v>9332925.6999999993</v>
      </c>
      <c r="H421" s="427">
        <v>17241476.660000004</v>
      </c>
      <c r="I421" s="373">
        <v>0.38103544866282335</v>
      </c>
    </row>
    <row r="422" spans="1:9" x14ac:dyDescent="0.25">
      <c r="A422" s="389">
        <v>99101</v>
      </c>
      <c r="B422" s="390" t="s">
        <v>772</v>
      </c>
      <c r="C422" s="428"/>
      <c r="D422" s="428">
        <v>27855353.950000003</v>
      </c>
      <c r="E422" s="427">
        <v>27855353.950000003</v>
      </c>
      <c r="F422" s="428">
        <v>10613877.289999999</v>
      </c>
      <c r="G422" s="428">
        <v>9332925.6999999993</v>
      </c>
      <c r="H422" s="427">
        <v>17241476.660000004</v>
      </c>
      <c r="I422" s="373">
        <v>0.38103544866282335</v>
      </c>
    </row>
    <row r="423" spans="1:9" x14ac:dyDescent="0.25">
      <c r="A423" s="389">
        <v>99101</v>
      </c>
      <c r="B423" s="390" t="s">
        <v>773</v>
      </c>
      <c r="C423" s="428"/>
      <c r="D423" s="428">
        <v>0</v>
      </c>
      <c r="E423" s="427">
        <v>0</v>
      </c>
      <c r="F423" s="428">
        <v>0</v>
      </c>
      <c r="G423" s="428">
        <v>0</v>
      </c>
      <c r="H423" s="427">
        <v>0</v>
      </c>
      <c r="I423" s="373"/>
    </row>
    <row r="424" spans="1:9" ht="27.75" customHeight="1" x14ac:dyDescent="0.25">
      <c r="A424" s="389">
        <v>99101</v>
      </c>
      <c r="B424" s="390" t="s">
        <v>774</v>
      </c>
      <c r="C424" s="428">
        <v>0</v>
      </c>
      <c r="D424" s="428">
        <v>0</v>
      </c>
      <c r="E424" s="427">
        <v>0</v>
      </c>
      <c r="F424" s="428">
        <v>0</v>
      </c>
      <c r="G424" s="428">
        <v>0</v>
      </c>
      <c r="H424" s="427">
        <v>0</v>
      </c>
      <c r="I424" s="373"/>
    </row>
    <row r="425" spans="1:9" x14ac:dyDescent="0.25">
      <c r="A425" s="399"/>
      <c r="B425" s="399"/>
      <c r="C425" s="400">
        <v>782667131.32148921</v>
      </c>
      <c r="D425" s="400">
        <v>3346323507.4600005</v>
      </c>
      <c r="E425" s="400">
        <v>4128990638.7814894</v>
      </c>
      <c r="F425" s="401">
        <v>2542826802.1500001</v>
      </c>
      <c r="G425" s="400">
        <v>2472706686.1100001</v>
      </c>
      <c r="H425" s="400">
        <v>1586163836.6314895</v>
      </c>
      <c r="I425" s="373">
        <v>0.61584707368104286</v>
      </c>
    </row>
    <row r="426" spans="1:9" x14ac:dyDescent="0.25">
      <c r="C426" s="370">
        <v>782667131.32148921</v>
      </c>
      <c r="D426" s="370">
        <v>3346323507.4600005</v>
      </c>
      <c r="E426" s="432">
        <v>4128990638.7814894</v>
      </c>
      <c r="F426" s="402">
        <v>2542826802.1500001</v>
      </c>
      <c r="G426" s="402">
        <v>2472706686.1100001</v>
      </c>
      <c r="H426" s="370">
        <v>1586163836.6314895</v>
      </c>
      <c r="I426" s="403"/>
    </row>
    <row r="427" spans="1:9" x14ac:dyDescent="0.25">
      <c r="C427" s="404">
        <f>C425-C426</f>
        <v>0</v>
      </c>
      <c r="D427" s="404">
        <f t="shared" ref="D427:I427" si="7">D425-D426</f>
        <v>0</v>
      </c>
      <c r="E427" s="404">
        <f t="shared" si="7"/>
        <v>0</v>
      </c>
      <c r="F427" s="404">
        <f t="shared" si="7"/>
        <v>0</v>
      </c>
      <c r="G427" s="404">
        <f t="shared" si="7"/>
        <v>0</v>
      </c>
      <c r="H427" s="404">
        <f t="shared" si="7"/>
        <v>0</v>
      </c>
      <c r="I427" s="405">
        <f t="shared" si="7"/>
        <v>0.61584707368104286</v>
      </c>
    </row>
    <row r="428" spans="1:9" x14ac:dyDescent="0.25">
      <c r="C428" s="402"/>
      <c r="E428" s="405"/>
      <c r="F428" s="405"/>
      <c r="G428" s="405"/>
      <c r="H428" s="405"/>
      <c r="I428" s="405"/>
    </row>
    <row r="429" spans="1:9" ht="16.5" x14ac:dyDescent="0.25">
      <c r="B429" s="406"/>
      <c r="C429" s="406"/>
      <c r="D429" s="407"/>
      <c r="E429" s="406"/>
      <c r="F429" s="406"/>
      <c r="G429" s="406"/>
      <c r="H429" s="406"/>
      <c r="I429" s="408"/>
    </row>
    <row r="430" spans="1:9" ht="16.5" x14ac:dyDescent="0.25">
      <c r="B430" s="409"/>
      <c r="C430" s="406"/>
      <c r="D430" s="588"/>
      <c r="E430" s="588"/>
      <c r="F430" s="588"/>
      <c r="G430" s="410"/>
      <c r="H430" s="410"/>
      <c r="I430" s="410"/>
    </row>
    <row r="431" spans="1:9" ht="16.5" x14ac:dyDescent="0.25">
      <c r="B431" s="409"/>
      <c r="C431" s="406"/>
      <c r="D431" s="410"/>
      <c r="G431" s="411"/>
      <c r="H431" s="411"/>
      <c r="I431" s="411"/>
    </row>
    <row r="432" spans="1:9" ht="16.5" x14ac:dyDescent="0.25">
      <c r="B432" s="406"/>
      <c r="C432" s="406"/>
      <c r="D432" s="407"/>
      <c r="E432" s="406"/>
      <c r="F432" s="406"/>
      <c r="G432" s="406"/>
      <c r="H432" s="406"/>
      <c r="I432" s="408"/>
    </row>
    <row r="433" spans="4:6" x14ac:dyDescent="0.25">
      <c r="F433" s="412"/>
    </row>
    <row r="439" spans="4:6" x14ac:dyDescent="0.25">
      <c r="D439" s="370" t="s">
        <v>38</v>
      </c>
    </row>
  </sheetData>
  <mergeCells count="17">
    <mergeCell ref="D6:E6"/>
    <mergeCell ref="H6:I6"/>
    <mergeCell ref="A1:I1"/>
    <mergeCell ref="A2:I2"/>
    <mergeCell ref="A3:I3"/>
    <mergeCell ref="A4:I4"/>
    <mergeCell ref="A5:I5"/>
    <mergeCell ref="G7:G8"/>
    <mergeCell ref="H7:H8"/>
    <mergeCell ref="I7:I8"/>
    <mergeCell ref="D430:F430"/>
    <mergeCell ref="A7:A8"/>
    <mergeCell ref="B7:B8"/>
    <mergeCell ref="C7:C8"/>
    <mergeCell ref="D7:D8"/>
    <mergeCell ref="E7:E8"/>
    <mergeCell ref="F7:F8"/>
  </mergeCells>
  <pageMargins left="0" right="0" top="0.35433070866141736" bottom="0" header="0.31496062992125984" footer="0.31496062992125984"/>
  <pageSetup scale="8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 tint="-0.249977111117893"/>
  </sheetPr>
  <dimension ref="A1:I32"/>
  <sheetViews>
    <sheetView view="pageBreakPreview" zoomScale="110" zoomScaleSheetLayoutView="110" workbookViewId="0">
      <selection activeCell="A11" sqref="A10:O16"/>
    </sheetView>
  </sheetViews>
  <sheetFormatPr baseColWidth="10" defaultColWidth="11.42578125" defaultRowHeight="15" x14ac:dyDescent="0.25"/>
  <cols>
    <col min="1" max="1" width="32.140625" customWidth="1"/>
    <col min="3" max="3" width="13" customWidth="1"/>
  </cols>
  <sheetData>
    <row r="1" spans="1:9" ht="15.75" x14ac:dyDescent="0.25">
      <c r="A1" s="445" t="e">
        <f>#REF!</f>
        <v>#REF!</v>
      </c>
      <c r="B1" s="445"/>
      <c r="C1" s="445"/>
      <c r="D1" s="445"/>
      <c r="E1" s="445"/>
      <c r="F1" s="445"/>
      <c r="G1" s="445"/>
      <c r="H1" s="257"/>
      <c r="I1" s="257"/>
    </row>
    <row r="2" spans="1:9" ht="15.75" customHeight="1" x14ac:dyDescent="0.25">
      <c r="A2" s="444" t="s">
        <v>378</v>
      </c>
      <c r="B2" s="444"/>
      <c r="C2" s="444"/>
      <c r="D2" s="444"/>
      <c r="E2" s="444"/>
      <c r="F2" s="444"/>
      <c r="G2" s="444"/>
      <c r="H2" s="46"/>
      <c r="I2" s="46"/>
    </row>
    <row r="3" spans="1:9" ht="15.75" customHeight="1" x14ac:dyDescent="0.25">
      <c r="A3" s="444" t="s">
        <v>379</v>
      </c>
      <c r="B3" s="444"/>
      <c r="C3" s="444"/>
      <c r="D3" s="444"/>
      <c r="E3" s="444"/>
      <c r="F3" s="444"/>
      <c r="G3" s="444"/>
      <c r="H3" s="46"/>
      <c r="I3" s="46"/>
    </row>
    <row r="4" spans="1:9" ht="15.75" customHeight="1" x14ac:dyDescent="0.25">
      <c r="A4" s="607" t="e">
        <f>#REF!</f>
        <v>#REF!</v>
      </c>
      <c r="B4" s="607"/>
      <c r="C4" s="607"/>
      <c r="D4" s="607"/>
      <c r="E4" s="607"/>
      <c r="F4" s="607"/>
      <c r="G4" s="607"/>
      <c r="H4" s="258"/>
      <c r="I4" s="258"/>
    </row>
    <row r="5" spans="1:9" ht="15.75" customHeight="1" thickBot="1" x14ac:dyDescent="0.3">
      <c r="A5" s="450" t="s">
        <v>5</v>
      </c>
      <c r="B5" s="450"/>
      <c r="C5" s="450"/>
      <c r="D5" s="450"/>
      <c r="E5" s="450"/>
      <c r="F5" s="450"/>
      <c r="G5" s="450"/>
      <c r="H5" s="259"/>
      <c r="I5" s="259"/>
    </row>
    <row r="6" spans="1:9" ht="15.75" thickBot="1" x14ac:dyDescent="0.3">
      <c r="A6" s="600" t="s">
        <v>6</v>
      </c>
      <c r="B6" s="602" t="s">
        <v>193</v>
      </c>
      <c r="C6" s="603"/>
      <c r="D6" s="603"/>
      <c r="E6" s="603"/>
      <c r="F6" s="604"/>
      <c r="G6" s="605" t="s">
        <v>194</v>
      </c>
    </row>
    <row r="7" spans="1:9" ht="20.25" thickBot="1" x14ac:dyDescent="0.3">
      <c r="A7" s="601"/>
      <c r="B7" s="247" t="s">
        <v>195</v>
      </c>
      <c r="C7" s="247" t="s">
        <v>196</v>
      </c>
      <c r="D7" s="247" t="s">
        <v>197</v>
      </c>
      <c r="E7" s="247" t="s">
        <v>380</v>
      </c>
      <c r="F7" s="247" t="s">
        <v>293</v>
      </c>
      <c r="G7" s="606"/>
    </row>
    <row r="8" spans="1:9" ht="19.5" x14ac:dyDescent="0.25">
      <c r="A8" s="251" t="s">
        <v>381</v>
      </c>
      <c r="B8" s="280">
        <f>B9+B10+B11+B12+B13+B14+B15+B18</f>
        <v>227702200.89527455</v>
      </c>
      <c r="C8" s="280">
        <f t="shared" ref="C8:G8" si="0">C9+C10+C11+C12+C13+C14+C15+C18</f>
        <v>21177279.109999999</v>
      </c>
      <c r="D8" s="280">
        <f t="shared" si="0"/>
        <v>248879480.00527453</v>
      </c>
      <c r="E8" s="280">
        <f t="shared" si="0"/>
        <v>248868916.04999998</v>
      </c>
      <c r="F8" s="280">
        <f t="shared" si="0"/>
        <v>236451307.04999998</v>
      </c>
      <c r="G8" s="280">
        <f t="shared" si="0"/>
        <v>10563.955274552107</v>
      </c>
    </row>
    <row r="9" spans="1:9" ht="19.5" x14ac:dyDescent="0.25">
      <c r="A9" s="252" t="s">
        <v>382</v>
      </c>
      <c r="B9" s="282">
        <v>227702200.89527455</v>
      </c>
      <c r="C9" s="283">
        <v>21177279.109999999</v>
      </c>
      <c r="D9" s="281">
        <f>B9+C9</f>
        <v>248879480.00527453</v>
      </c>
      <c r="E9" s="283">
        <v>248868916.04999998</v>
      </c>
      <c r="F9" s="283">
        <v>236451307.04999998</v>
      </c>
      <c r="G9" s="281">
        <f>D9-E9</f>
        <v>10563.955274552107</v>
      </c>
    </row>
    <row r="10" spans="1:9" x14ac:dyDescent="0.25">
      <c r="A10" s="252" t="s">
        <v>383</v>
      </c>
      <c r="B10" s="282"/>
      <c r="C10" s="283"/>
      <c r="D10" s="281">
        <f t="shared" ref="D10:D18" si="1">B10+C10</f>
        <v>0</v>
      </c>
      <c r="E10" s="283"/>
      <c r="F10" s="283"/>
      <c r="G10" s="281">
        <f t="shared" ref="G10:G14" si="2">D10-E10</f>
        <v>0</v>
      </c>
    </row>
    <row r="11" spans="1:9" x14ac:dyDescent="0.25">
      <c r="A11" s="252" t="s">
        <v>384</v>
      </c>
      <c r="B11" s="282"/>
      <c r="C11" s="283"/>
      <c r="D11" s="281">
        <f t="shared" si="1"/>
        <v>0</v>
      </c>
      <c r="E11" s="283"/>
      <c r="F11" s="283"/>
      <c r="G11" s="281">
        <f t="shared" si="2"/>
        <v>0</v>
      </c>
    </row>
    <row r="12" spans="1:9" x14ac:dyDescent="0.25">
      <c r="A12" s="252" t="s">
        <v>385</v>
      </c>
      <c r="B12" s="282"/>
      <c r="C12" s="283"/>
      <c r="D12" s="281">
        <f t="shared" si="1"/>
        <v>0</v>
      </c>
      <c r="E12" s="283"/>
      <c r="F12" s="283"/>
      <c r="G12" s="281">
        <f t="shared" si="2"/>
        <v>0</v>
      </c>
    </row>
    <row r="13" spans="1:9" x14ac:dyDescent="0.25">
      <c r="A13" s="252" t="s">
        <v>386</v>
      </c>
      <c r="B13" s="282"/>
      <c r="C13" s="283"/>
      <c r="D13" s="281">
        <f t="shared" si="1"/>
        <v>0</v>
      </c>
      <c r="E13" s="283"/>
      <c r="F13" s="283"/>
      <c r="G13" s="281">
        <f t="shared" si="2"/>
        <v>0</v>
      </c>
    </row>
    <row r="14" spans="1:9" x14ac:dyDescent="0.25">
      <c r="A14" s="252" t="s">
        <v>387</v>
      </c>
      <c r="B14" s="282"/>
      <c r="C14" s="283"/>
      <c r="D14" s="281">
        <f t="shared" si="1"/>
        <v>0</v>
      </c>
      <c r="E14" s="283"/>
      <c r="F14" s="283"/>
      <c r="G14" s="281">
        <f t="shared" si="2"/>
        <v>0</v>
      </c>
    </row>
    <row r="15" spans="1:9" ht="29.25" x14ac:dyDescent="0.25">
      <c r="A15" s="252" t="s">
        <v>388</v>
      </c>
      <c r="B15" s="280">
        <f>B16+B17</f>
        <v>0</v>
      </c>
      <c r="C15" s="280">
        <f t="shared" ref="C15:G15" si="3">C16+C17</f>
        <v>0</v>
      </c>
      <c r="D15" s="280">
        <f t="shared" si="3"/>
        <v>0</v>
      </c>
      <c r="E15" s="280">
        <f t="shared" si="3"/>
        <v>0</v>
      </c>
      <c r="F15" s="280">
        <f t="shared" si="3"/>
        <v>0</v>
      </c>
      <c r="G15" s="280">
        <f t="shared" si="3"/>
        <v>0</v>
      </c>
    </row>
    <row r="16" spans="1:9" x14ac:dyDescent="0.25">
      <c r="A16" s="253" t="s">
        <v>389</v>
      </c>
      <c r="B16" s="282"/>
      <c r="C16" s="283"/>
      <c r="D16" s="281">
        <f t="shared" si="1"/>
        <v>0</v>
      </c>
      <c r="E16" s="283"/>
      <c r="F16" s="283"/>
      <c r="G16" s="281">
        <f t="shared" ref="G16:G18" si="4">D16-E16</f>
        <v>0</v>
      </c>
    </row>
    <row r="17" spans="1:7" x14ac:dyDescent="0.25">
      <c r="A17" s="253" t="s">
        <v>390</v>
      </c>
      <c r="B17" s="282"/>
      <c r="C17" s="283"/>
      <c r="D17" s="281">
        <f t="shared" si="1"/>
        <v>0</v>
      </c>
      <c r="E17" s="283"/>
      <c r="F17" s="283"/>
      <c r="G17" s="281">
        <f t="shared" si="4"/>
        <v>0</v>
      </c>
    </row>
    <row r="18" spans="1:7" x14ac:dyDescent="0.25">
      <c r="A18" s="252" t="s">
        <v>391</v>
      </c>
      <c r="B18" s="282"/>
      <c r="C18" s="283"/>
      <c r="D18" s="281">
        <f t="shared" si="1"/>
        <v>0</v>
      </c>
      <c r="E18" s="283"/>
      <c r="F18" s="283"/>
      <c r="G18" s="281">
        <f t="shared" si="4"/>
        <v>0</v>
      </c>
    </row>
    <row r="19" spans="1:7" x14ac:dyDescent="0.25">
      <c r="A19" s="252"/>
      <c r="B19" s="280"/>
      <c r="C19" s="281"/>
      <c r="D19" s="281"/>
      <c r="E19" s="281"/>
      <c r="F19" s="281"/>
      <c r="G19" s="281"/>
    </row>
    <row r="20" spans="1:7" ht="19.5" x14ac:dyDescent="0.25">
      <c r="A20" s="251" t="s">
        <v>392</v>
      </c>
      <c r="B20" s="280">
        <f>B21+B22+B23+B24+B25+B26+B27+B30</f>
        <v>0</v>
      </c>
      <c r="C20" s="280">
        <f t="shared" ref="C20:G20" si="5">C21+C22+C23+C24+C25+C26+C27+C30</f>
        <v>0</v>
      </c>
      <c r="D20" s="280">
        <f t="shared" si="5"/>
        <v>0</v>
      </c>
      <c r="E20" s="280">
        <f t="shared" si="5"/>
        <v>0</v>
      </c>
      <c r="F20" s="280">
        <f t="shared" si="5"/>
        <v>0</v>
      </c>
      <c r="G20" s="280">
        <f t="shared" si="5"/>
        <v>0</v>
      </c>
    </row>
    <row r="21" spans="1:7" ht="19.5" x14ac:dyDescent="0.25">
      <c r="A21" s="252" t="s">
        <v>382</v>
      </c>
      <c r="B21" s="282"/>
      <c r="C21" s="283"/>
      <c r="D21" s="281">
        <f>B21+C21</f>
        <v>0</v>
      </c>
      <c r="E21" s="283"/>
      <c r="F21" s="283"/>
      <c r="G21" s="281">
        <f t="shared" ref="G21:G26" si="6">D21-E21</f>
        <v>0</v>
      </c>
    </row>
    <row r="22" spans="1:7" x14ac:dyDescent="0.25">
      <c r="A22" s="252" t="s">
        <v>383</v>
      </c>
      <c r="B22" s="282"/>
      <c r="C22" s="283"/>
      <c r="D22" s="281">
        <f t="shared" ref="D22:D26" si="7">B22+C22</f>
        <v>0</v>
      </c>
      <c r="E22" s="283"/>
      <c r="F22" s="283"/>
      <c r="G22" s="281">
        <f t="shared" si="6"/>
        <v>0</v>
      </c>
    </row>
    <row r="23" spans="1:7" x14ac:dyDescent="0.25">
      <c r="A23" s="252" t="s">
        <v>384</v>
      </c>
      <c r="B23" s="282"/>
      <c r="C23" s="283"/>
      <c r="D23" s="281">
        <f t="shared" si="7"/>
        <v>0</v>
      </c>
      <c r="E23" s="283"/>
      <c r="F23" s="283"/>
      <c r="G23" s="281">
        <f t="shared" si="6"/>
        <v>0</v>
      </c>
    </row>
    <row r="24" spans="1:7" x14ac:dyDescent="0.25">
      <c r="A24" s="252" t="s">
        <v>385</v>
      </c>
      <c r="B24" s="282"/>
      <c r="C24" s="283"/>
      <c r="D24" s="281">
        <f t="shared" si="7"/>
        <v>0</v>
      </c>
      <c r="E24" s="283"/>
      <c r="F24" s="283"/>
      <c r="G24" s="281">
        <f t="shared" si="6"/>
        <v>0</v>
      </c>
    </row>
    <row r="25" spans="1:7" x14ac:dyDescent="0.25">
      <c r="A25" s="252" t="s">
        <v>386</v>
      </c>
      <c r="B25" s="282"/>
      <c r="C25" s="283"/>
      <c r="D25" s="281">
        <f t="shared" si="7"/>
        <v>0</v>
      </c>
      <c r="E25" s="283"/>
      <c r="F25" s="283"/>
      <c r="G25" s="281">
        <f t="shared" si="6"/>
        <v>0</v>
      </c>
    </row>
    <row r="26" spans="1:7" x14ac:dyDescent="0.25">
      <c r="A26" s="252" t="s">
        <v>387</v>
      </c>
      <c r="B26" s="282"/>
      <c r="C26" s="283"/>
      <c r="D26" s="281">
        <f t="shared" si="7"/>
        <v>0</v>
      </c>
      <c r="E26" s="283"/>
      <c r="F26" s="283"/>
      <c r="G26" s="281">
        <f t="shared" si="6"/>
        <v>0</v>
      </c>
    </row>
    <row r="27" spans="1:7" ht="29.25" x14ac:dyDescent="0.25">
      <c r="A27" s="252" t="s">
        <v>388</v>
      </c>
      <c r="B27" s="280">
        <f>B28+B29</f>
        <v>0</v>
      </c>
      <c r="C27" s="280">
        <f t="shared" ref="C27:G27" si="8">C28+C29</f>
        <v>0</v>
      </c>
      <c r="D27" s="280">
        <f t="shared" si="8"/>
        <v>0</v>
      </c>
      <c r="E27" s="280">
        <f t="shared" si="8"/>
        <v>0</v>
      </c>
      <c r="F27" s="280">
        <f t="shared" si="8"/>
        <v>0</v>
      </c>
      <c r="G27" s="280">
        <f t="shared" si="8"/>
        <v>0</v>
      </c>
    </row>
    <row r="28" spans="1:7" x14ac:dyDescent="0.25">
      <c r="A28" s="253" t="s">
        <v>389</v>
      </c>
      <c r="B28" s="282"/>
      <c r="C28" s="283"/>
      <c r="D28" s="281">
        <f>B28+C28</f>
        <v>0</v>
      </c>
      <c r="E28" s="283"/>
      <c r="F28" s="283"/>
      <c r="G28" s="281">
        <f t="shared" ref="G28:G30" si="9">D28-E28</f>
        <v>0</v>
      </c>
    </row>
    <row r="29" spans="1:7" x14ac:dyDescent="0.25">
      <c r="A29" s="253" t="s">
        <v>390</v>
      </c>
      <c r="B29" s="282"/>
      <c r="C29" s="283"/>
      <c r="D29" s="281">
        <f>B29+C29</f>
        <v>0</v>
      </c>
      <c r="E29" s="283"/>
      <c r="F29" s="283"/>
      <c r="G29" s="281">
        <f t="shared" si="9"/>
        <v>0</v>
      </c>
    </row>
    <row r="30" spans="1:7" x14ac:dyDescent="0.25">
      <c r="A30" s="252" t="s">
        <v>391</v>
      </c>
      <c r="B30" s="282"/>
      <c r="C30" s="283"/>
      <c r="D30" s="281">
        <f>B30+C30</f>
        <v>0</v>
      </c>
      <c r="E30" s="283"/>
      <c r="F30" s="283"/>
      <c r="G30" s="281">
        <f t="shared" si="9"/>
        <v>0</v>
      </c>
    </row>
    <row r="31" spans="1:7" ht="19.5" x14ac:dyDescent="0.25">
      <c r="A31" s="251" t="s">
        <v>393</v>
      </c>
      <c r="B31" s="280">
        <f>B8+B20</f>
        <v>227702200.89527455</v>
      </c>
      <c r="C31" s="280">
        <f t="shared" ref="C31:G31" si="10">C8+C20</f>
        <v>21177279.109999999</v>
      </c>
      <c r="D31" s="280">
        <f t="shared" si="10"/>
        <v>248879480.00527453</v>
      </c>
      <c r="E31" s="280">
        <f t="shared" si="10"/>
        <v>248868916.04999998</v>
      </c>
      <c r="F31" s="280">
        <f t="shared" si="10"/>
        <v>236451307.04999998</v>
      </c>
      <c r="G31" s="280">
        <f t="shared" si="10"/>
        <v>10563.955274552107</v>
      </c>
    </row>
    <row r="32" spans="1:7" ht="15.75" thickBot="1" x14ac:dyDescent="0.3">
      <c r="A32" s="254"/>
      <c r="B32" s="255"/>
      <c r="C32" s="256"/>
      <c r="D32" s="256"/>
      <c r="E32" s="256"/>
      <c r="F32" s="256"/>
      <c r="G32" s="256"/>
    </row>
  </sheetData>
  <sheetProtection password="C195" sheet="1" scenarios="1" insertHyperlinks="0"/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16">
    <tabColor theme="0" tint="-0.249977111117893"/>
    <pageSetUpPr fitToPage="1"/>
  </sheetPr>
  <dimension ref="A1:D48"/>
  <sheetViews>
    <sheetView view="pageBreakPreview" zoomScale="110" zoomScaleSheetLayoutView="110" workbookViewId="0">
      <selection activeCell="A11" sqref="A10:O16"/>
    </sheetView>
  </sheetViews>
  <sheetFormatPr baseColWidth="10" defaultColWidth="11.28515625" defaultRowHeight="16.5" x14ac:dyDescent="0.25"/>
  <cols>
    <col min="1" max="1" width="64.5703125" style="8" customWidth="1"/>
    <col min="2" max="2" width="25.7109375" style="8" customWidth="1"/>
    <col min="3" max="3" width="25.7109375" style="157" customWidth="1"/>
    <col min="4" max="4" width="89.140625" style="8" customWidth="1"/>
    <col min="5" max="16384" width="11.28515625" style="8"/>
  </cols>
  <sheetData>
    <row r="1" spans="1:4" x14ac:dyDescent="0.25">
      <c r="A1" s="447" t="e">
        <f>#REF!</f>
        <v>#REF!</v>
      </c>
      <c r="B1" s="447"/>
      <c r="C1" s="447"/>
      <c r="D1" s="172"/>
    </row>
    <row r="2" spans="1:4" s="9" customFormat="1" ht="15.75" x14ac:dyDescent="0.25">
      <c r="A2" s="447" t="s">
        <v>1</v>
      </c>
      <c r="B2" s="447"/>
      <c r="C2" s="447"/>
    </row>
    <row r="3" spans="1:4" s="9" customFormat="1" x14ac:dyDescent="0.25">
      <c r="A3" s="448" t="e">
        <f>#REF!</f>
        <v>#REF!</v>
      </c>
      <c r="B3" s="448"/>
      <c r="C3" s="448"/>
    </row>
    <row r="4" spans="1:4" s="11" customFormat="1" ht="17.25" thickBot="1" x14ac:dyDescent="0.3">
      <c r="A4" s="147"/>
      <c r="B4" s="234"/>
      <c r="C4" s="148"/>
    </row>
    <row r="5" spans="1:4" s="12" customFormat="1" ht="27" customHeight="1" thickBot="1" x14ac:dyDescent="0.3">
      <c r="A5" s="149" t="s">
        <v>394</v>
      </c>
      <c r="B5" s="15"/>
      <c r="C5" s="60">
        <f>'ETCA-II-04'!E80</f>
        <v>2542826802.1500001</v>
      </c>
      <c r="D5" s="158" t="str">
        <f>IF((C5-'ETCA-II-04'!E80)&gt;0.9,"ERROR!!!!! EL MONTO NO COINCIDE CON LO REPORTADO EN EL FORMATO ETCA-II-04, EN EL TOTAL DE EGRESOS DEVENGADO ANUAL","")</f>
        <v/>
      </c>
    </row>
    <row r="6" spans="1:4" s="12" customFormat="1" ht="9.75" customHeight="1" x14ac:dyDescent="0.25">
      <c r="A6" s="150"/>
      <c r="B6" s="77"/>
      <c r="C6" s="159"/>
      <c r="D6" s="158"/>
    </row>
    <row r="7" spans="1:4" s="12" customFormat="1" ht="17.25" customHeight="1" thickBot="1" x14ac:dyDescent="0.3">
      <c r="A7" s="151"/>
      <c r="B7" s="80"/>
      <c r="C7" s="160"/>
      <c r="D7" s="158"/>
    </row>
    <row r="8" spans="1:4" ht="20.100000000000001" customHeight="1" x14ac:dyDescent="0.25">
      <c r="A8" s="152" t="s">
        <v>419</v>
      </c>
      <c r="B8" s="328"/>
      <c r="C8" s="161">
        <f>SUM(B9:B29)</f>
        <v>1938408611.2499998</v>
      </c>
      <c r="D8" s="1"/>
    </row>
    <row r="9" spans="1:4" ht="20.100000000000001" customHeight="1" x14ac:dyDescent="0.25">
      <c r="A9" s="153" t="s">
        <v>420</v>
      </c>
      <c r="B9" s="347"/>
      <c r="C9" s="162"/>
      <c r="D9" s="1"/>
    </row>
    <row r="10" spans="1:4" ht="20.100000000000001" customHeight="1" x14ac:dyDescent="0.25">
      <c r="A10" s="153" t="s">
        <v>421</v>
      </c>
      <c r="B10" s="347"/>
      <c r="C10" s="162"/>
      <c r="D10" s="1"/>
    </row>
    <row r="11" spans="1:4" ht="20.100000000000001" customHeight="1" x14ac:dyDescent="0.25">
      <c r="A11" s="153" t="s">
        <v>168</v>
      </c>
      <c r="B11" s="347">
        <v>1299360.48</v>
      </c>
      <c r="C11" s="162"/>
      <c r="D11" s="1"/>
    </row>
    <row r="12" spans="1:4" x14ac:dyDescent="0.25">
      <c r="A12" s="153" t="s">
        <v>169</v>
      </c>
      <c r="B12" s="347"/>
      <c r="C12" s="162"/>
      <c r="D12" s="1"/>
    </row>
    <row r="13" spans="1:4" ht="20.100000000000001" customHeight="1" x14ac:dyDescent="0.25">
      <c r="A13" s="153" t="s">
        <v>170</v>
      </c>
      <c r="B13" s="347">
        <v>121800</v>
      </c>
      <c r="C13" s="162"/>
      <c r="D13" s="1"/>
    </row>
    <row r="14" spans="1:4" ht="20.100000000000001" customHeight="1" x14ac:dyDescent="0.25">
      <c r="A14" s="153" t="s">
        <v>171</v>
      </c>
      <c r="B14" s="347">
        <v>14738790</v>
      </c>
      <c r="C14" s="162"/>
      <c r="D14" s="1"/>
    </row>
    <row r="15" spans="1:4" ht="20.100000000000001" customHeight="1" x14ac:dyDescent="0.25">
      <c r="A15" s="153" t="s">
        <v>172</v>
      </c>
      <c r="B15" s="347"/>
      <c r="C15" s="162"/>
      <c r="D15" s="1"/>
    </row>
    <row r="16" spans="1:4" ht="20.100000000000001" customHeight="1" x14ac:dyDescent="0.25">
      <c r="A16" s="153" t="s">
        <v>173</v>
      </c>
      <c r="B16" s="347">
        <v>8068526.3499999996</v>
      </c>
      <c r="C16" s="162"/>
      <c r="D16" s="1"/>
    </row>
    <row r="17" spans="1:4" ht="20.100000000000001" customHeight="1" x14ac:dyDescent="0.25">
      <c r="A17" s="153" t="s">
        <v>441</v>
      </c>
      <c r="B17" s="347"/>
      <c r="C17" s="162"/>
      <c r="D17" s="1"/>
    </row>
    <row r="18" spans="1:4" ht="20.100000000000001" customHeight="1" x14ac:dyDescent="0.25">
      <c r="A18" s="153" t="s">
        <v>175</v>
      </c>
      <c r="B18" s="347"/>
      <c r="C18" s="162"/>
      <c r="D18" s="1"/>
    </row>
    <row r="19" spans="1:4" ht="20.100000000000001" customHeight="1" x14ac:dyDescent="0.25">
      <c r="A19" s="153" t="s">
        <v>2</v>
      </c>
      <c r="B19" s="347">
        <v>106348.92000000001</v>
      </c>
      <c r="C19" s="162"/>
      <c r="D19" s="1"/>
    </row>
    <row r="20" spans="1:4" ht="20.100000000000001" customHeight="1" x14ac:dyDescent="0.25">
      <c r="A20" s="153" t="s">
        <v>176</v>
      </c>
      <c r="B20" s="347">
        <v>1842248162.79</v>
      </c>
      <c r="C20" s="162"/>
      <c r="D20" s="1"/>
    </row>
    <row r="21" spans="1:4" ht="20.100000000000001" customHeight="1" x14ac:dyDescent="0.25">
      <c r="A21" s="153" t="s">
        <v>177</v>
      </c>
      <c r="B21" s="347"/>
      <c r="C21" s="162"/>
      <c r="D21" s="1"/>
    </row>
    <row r="22" spans="1:4" ht="20.100000000000001" customHeight="1" x14ac:dyDescent="0.25">
      <c r="A22" s="153" t="s">
        <v>181</v>
      </c>
      <c r="B22" s="347"/>
      <c r="C22" s="162"/>
      <c r="D22" s="1"/>
    </row>
    <row r="23" spans="1:4" ht="20.100000000000001" customHeight="1" x14ac:dyDescent="0.25">
      <c r="A23" s="153" t="s">
        <v>182</v>
      </c>
      <c r="B23" s="347"/>
      <c r="C23" s="162"/>
      <c r="D23" s="1"/>
    </row>
    <row r="24" spans="1:4" ht="20.100000000000001" customHeight="1" x14ac:dyDescent="0.25">
      <c r="A24" s="153" t="s">
        <v>183</v>
      </c>
      <c r="B24" s="347"/>
      <c r="C24" s="162"/>
      <c r="D24" s="1"/>
    </row>
    <row r="25" spans="1:4" ht="20.100000000000001" customHeight="1" x14ac:dyDescent="0.25">
      <c r="A25" s="153" t="s">
        <v>184</v>
      </c>
      <c r="B25" s="347"/>
      <c r="C25" s="162"/>
      <c r="D25" s="1"/>
    </row>
    <row r="26" spans="1:4" ht="20.100000000000001" customHeight="1" x14ac:dyDescent="0.25">
      <c r="A26" s="153" t="s">
        <v>186</v>
      </c>
      <c r="B26" s="347"/>
      <c r="C26" s="162"/>
      <c r="D26" s="1"/>
    </row>
    <row r="27" spans="1:4" ht="20.100000000000001" customHeight="1" x14ac:dyDescent="0.25">
      <c r="A27" s="153" t="s">
        <v>442</v>
      </c>
      <c r="B27" s="347">
        <v>30931478.789999999</v>
      </c>
      <c r="C27" s="162"/>
      <c r="D27" s="1"/>
    </row>
    <row r="28" spans="1:4" ht="20.100000000000001" customHeight="1" x14ac:dyDescent="0.25">
      <c r="A28" s="153" t="s">
        <v>443</v>
      </c>
      <c r="B28" s="347">
        <v>10613877.289999999</v>
      </c>
      <c r="C28" s="162"/>
      <c r="D28" s="1"/>
    </row>
    <row r="29" spans="1:4" ht="20.100000000000001" customHeight="1" thickBot="1" x14ac:dyDescent="0.3">
      <c r="A29" s="153" t="s">
        <v>395</v>
      </c>
      <c r="B29" s="348">
        <v>30280266.629999932</v>
      </c>
      <c r="C29" s="163"/>
      <c r="D29" s="1"/>
    </row>
    <row r="30" spans="1:4" ht="7.5" customHeight="1" x14ac:dyDescent="0.25">
      <c r="A30" s="154"/>
      <c r="B30" s="77"/>
      <c r="C30" s="164"/>
      <c r="D30" s="1"/>
    </row>
    <row r="31" spans="1:4" ht="20.100000000000001" customHeight="1" thickBot="1" x14ac:dyDescent="0.3">
      <c r="A31" s="155"/>
      <c r="B31" s="80"/>
      <c r="C31" s="165"/>
      <c r="D31" s="1"/>
    </row>
    <row r="32" spans="1:4" ht="20.100000000000001" customHeight="1" x14ac:dyDescent="0.25">
      <c r="A32" s="152" t="s">
        <v>422</v>
      </c>
      <c r="B32" s="349"/>
      <c r="C32" s="161">
        <f>SUM(B33:B39)</f>
        <v>86352453.159999996</v>
      </c>
      <c r="D32" s="1"/>
    </row>
    <row r="33" spans="1:4" x14ac:dyDescent="0.25">
      <c r="A33" s="153" t="s">
        <v>33</v>
      </c>
      <c r="B33" s="347">
        <v>10520972.83</v>
      </c>
      <c r="C33" s="162"/>
      <c r="D33" s="1"/>
    </row>
    <row r="34" spans="1:4" ht="20.100000000000001" customHeight="1" x14ac:dyDescent="0.25">
      <c r="A34" s="153" t="s">
        <v>34</v>
      </c>
      <c r="B34" s="347">
        <v>75831480.329999998</v>
      </c>
      <c r="C34" s="162"/>
      <c r="D34" s="168" t="e">
        <f>IF(B33&lt;&gt;#REF!,"ERROR!!!!! EL MONTO NO COINCIDE CON LO REPORTADO EN EL FORMATO ETCA-I-02 POR CONCEPTO DE ESTIMACIONES, DEPRECIACIONES, ETC..","")</f>
        <v>#REF!</v>
      </c>
    </row>
    <row r="35" spans="1:4" ht="20.100000000000001" customHeight="1" x14ac:dyDescent="0.25">
      <c r="A35" s="153" t="s">
        <v>35</v>
      </c>
      <c r="B35" s="347"/>
      <c r="C35" s="162"/>
      <c r="D35" s="1"/>
    </row>
    <row r="36" spans="1:4" ht="25.5" customHeight="1" x14ac:dyDescent="0.25">
      <c r="A36" s="153" t="s">
        <v>36</v>
      </c>
      <c r="B36" s="347"/>
      <c r="C36" s="162"/>
      <c r="D36" s="1"/>
    </row>
    <row r="37" spans="1:4" ht="20.100000000000001" customHeight="1" x14ac:dyDescent="0.25">
      <c r="A37" s="153" t="s">
        <v>456</v>
      </c>
      <c r="B37" s="347"/>
      <c r="C37" s="162"/>
      <c r="D37" s="1"/>
    </row>
    <row r="38" spans="1:4" ht="20.100000000000001" customHeight="1" x14ac:dyDescent="0.25">
      <c r="A38" s="153" t="s">
        <v>421</v>
      </c>
      <c r="B38" s="347"/>
      <c r="C38" s="162"/>
      <c r="D38" s="1"/>
    </row>
    <row r="39" spans="1:4" ht="20.100000000000001" customHeight="1" x14ac:dyDescent="0.25">
      <c r="A39" s="153" t="s">
        <v>396</v>
      </c>
      <c r="B39" s="347"/>
      <c r="C39" s="162"/>
      <c r="D39" s="1"/>
    </row>
    <row r="40" spans="1:4" ht="20.100000000000001" customHeight="1" thickBot="1" x14ac:dyDescent="0.3">
      <c r="A40" s="156"/>
      <c r="B40" s="350"/>
      <c r="C40" s="163"/>
      <c r="D40" s="1"/>
    </row>
    <row r="41" spans="1:4" ht="20.100000000000001" customHeight="1" thickBot="1" x14ac:dyDescent="0.3">
      <c r="A41" s="220" t="s">
        <v>397</v>
      </c>
      <c r="B41" s="351"/>
      <c r="C41" s="60">
        <f>C5-C8+C32</f>
        <v>690770644.0600003</v>
      </c>
      <c r="D41" s="1"/>
    </row>
    <row r="42" spans="1:4" ht="20.100000000000001" customHeight="1" x14ac:dyDescent="0.25">
      <c r="A42" s="219"/>
      <c r="B42" s="217"/>
      <c r="C42" s="218"/>
      <c r="D42" s="1" t="e">
        <f>IF((C41-#REF!)&gt;0.9,"ERROR!!!!! EL MONTO NO COINCIDE CON LO REPORTADO EN EL FORMATO ETCA-I-03, EN EL MISMO RUBRO","")</f>
        <v>#REF!</v>
      </c>
    </row>
    <row r="43" spans="1:4" ht="20.100000000000001" customHeight="1" x14ac:dyDescent="0.25">
      <c r="A43" s="216"/>
      <c r="B43" s="217"/>
      <c r="C43" s="218"/>
      <c r="D43" s="1"/>
    </row>
    <row r="44" spans="1:4" ht="20.100000000000001" customHeight="1" x14ac:dyDescent="0.25">
      <c r="A44" s="216"/>
      <c r="B44" s="217"/>
      <c r="C44" s="218"/>
      <c r="D44" s="1"/>
    </row>
    <row r="45" spans="1:4" ht="20.100000000000001" customHeight="1" x14ac:dyDescent="0.25">
      <c r="A45" s="216"/>
      <c r="B45" s="217"/>
      <c r="C45" s="218"/>
      <c r="D45" s="1"/>
    </row>
    <row r="46" spans="1:4" ht="20.100000000000001" customHeight="1" x14ac:dyDescent="0.25">
      <c r="A46" s="216"/>
      <c r="B46" s="217"/>
      <c r="C46" s="218"/>
      <c r="D46" s="1"/>
    </row>
    <row r="47" spans="1:4" ht="26.25" customHeight="1" x14ac:dyDescent="0.25">
      <c r="A47" s="219"/>
      <c r="B47" s="217"/>
      <c r="C47" s="218"/>
      <c r="D47" s="1"/>
    </row>
    <row r="48" spans="1:4" x14ac:dyDescent="0.25">
      <c r="D48" s="1"/>
    </row>
  </sheetData>
  <sheetProtection password="C115" sheet="1" scenarios="1" formatColumns="0" formatRows="0" insertHyperlinks="0"/>
  <mergeCells count="3">
    <mergeCell ref="A1:C1"/>
    <mergeCell ref="A2:C2"/>
    <mergeCell ref="A3:C3"/>
  </mergeCells>
  <printOptions horizontalCentered="1"/>
  <pageMargins left="0.39370078740157483" right="0.39370078740157483" top="0.74803149606299213" bottom="0.74803149606299213" header="0.31496062992125984" footer="0.31496062992125984"/>
  <pageSetup scale="79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17">
    <tabColor theme="0" tint="-0.249977111117893"/>
    <pageSetUpPr fitToPage="1"/>
  </sheetPr>
  <dimension ref="A1:J37"/>
  <sheetViews>
    <sheetView zoomScaleNormal="100" zoomScaleSheetLayoutView="100" workbookViewId="0">
      <selection activeCell="A11" sqref="A10:O16"/>
    </sheetView>
  </sheetViews>
  <sheetFormatPr baseColWidth="10" defaultColWidth="11.28515625" defaultRowHeight="16.5" x14ac:dyDescent="0.3"/>
  <cols>
    <col min="1" max="1" width="4.28515625" style="3" customWidth="1"/>
    <col min="2" max="2" width="41.7109375" style="3" customWidth="1"/>
    <col min="3" max="5" width="16.7109375" style="3" customWidth="1"/>
    <col min="6" max="6" width="12.85546875" style="3" bestFit="1" customWidth="1"/>
    <col min="7" max="16384" width="11.28515625" style="3"/>
  </cols>
  <sheetData>
    <row r="1" spans="1:5" x14ac:dyDescent="0.3">
      <c r="A1" s="445" t="e">
        <f>#REF!</f>
        <v>#REF!</v>
      </c>
      <c r="B1" s="445"/>
      <c r="C1" s="445"/>
      <c r="D1" s="445"/>
      <c r="E1" s="445"/>
    </row>
    <row r="2" spans="1:5" x14ac:dyDescent="0.3">
      <c r="A2" s="611" t="s">
        <v>41</v>
      </c>
      <c r="B2" s="611"/>
      <c r="C2" s="611"/>
      <c r="D2" s="611"/>
      <c r="E2" s="611"/>
    </row>
    <row r="3" spans="1:5" x14ac:dyDescent="0.3">
      <c r="A3" s="446" t="e">
        <f>#REF!</f>
        <v>#REF!</v>
      </c>
      <c r="B3" s="446"/>
      <c r="C3" s="446"/>
      <c r="D3" s="446"/>
      <c r="E3" s="446"/>
    </row>
    <row r="4" spans="1:5" ht="17.25" thickBot="1" x14ac:dyDescent="0.35">
      <c r="A4" s="123"/>
      <c r="B4" s="611" t="s">
        <v>398</v>
      </c>
      <c r="C4" s="611"/>
      <c r="D4" s="4"/>
      <c r="E4" s="123"/>
    </row>
    <row r="5" spans="1:5" s="22" customFormat="1" ht="30" customHeight="1" x14ac:dyDescent="0.25">
      <c r="A5" s="612" t="s">
        <v>399</v>
      </c>
      <c r="B5" s="613"/>
      <c r="C5" s="124" t="s">
        <v>400</v>
      </c>
      <c r="D5" s="125" t="s">
        <v>401</v>
      </c>
      <c r="E5" s="126" t="s">
        <v>41</v>
      </c>
    </row>
    <row r="6" spans="1:5" s="22" customFormat="1" ht="30" customHeight="1" thickBot="1" x14ac:dyDescent="0.3">
      <c r="A6" s="614"/>
      <c r="B6" s="615"/>
      <c r="C6" s="127" t="s">
        <v>402</v>
      </c>
      <c r="D6" s="127" t="s">
        <v>403</v>
      </c>
      <c r="E6" s="128" t="s">
        <v>404</v>
      </c>
    </row>
    <row r="7" spans="1:5" s="22" customFormat="1" ht="21" customHeight="1" x14ac:dyDescent="0.25">
      <c r="A7" s="616" t="s">
        <v>405</v>
      </c>
      <c r="B7" s="617"/>
      <c r="C7" s="617"/>
      <c r="D7" s="617"/>
      <c r="E7" s="618"/>
    </row>
    <row r="8" spans="1:5" s="22" customFormat="1" ht="20.25" customHeight="1" x14ac:dyDescent="0.25">
      <c r="A8" s="129">
        <v>1</v>
      </c>
      <c r="B8" s="130" t="s">
        <v>458</v>
      </c>
      <c r="C8" s="131">
        <v>446913961</v>
      </c>
      <c r="D8" s="131">
        <f>202174549.06+7304237.74+7583157.37+7872727.83+8173355.84</f>
        <v>233108027.84000003</v>
      </c>
      <c r="E8" s="140">
        <f>IF(B8="","",C8-D8)</f>
        <v>213805933.15999997</v>
      </c>
    </row>
    <row r="9" spans="1:5" s="22" customFormat="1" ht="20.25" customHeight="1" x14ac:dyDescent="0.25">
      <c r="A9" s="129">
        <v>2</v>
      </c>
      <c r="B9" s="130"/>
      <c r="C9" s="131"/>
      <c r="D9" s="132"/>
      <c r="E9" s="140" t="str">
        <f t="shared" ref="E9:E17" si="0">IF(B9="","",C9-D9)</f>
        <v/>
      </c>
    </row>
    <row r="10" spans="1:5" s="22" customFormat="1" ht="20.25" customHeight="1" x14ac:dyDescent="0.25">
      <c r="A10" s="129">
        <v>3</v>
      </c>
      <c r="B10" s="130"/>
      <c r="C10" s="131"/>
      <c r="D10" s="132"/>
      <c r="E10" s="140" t="str">
        <f t="shared" si="0"/>
        <v/>
      </c>
    </row>
    <row r="11" spans="1:5" s="22" customFormat="1" ht="20.25" customHeight="1" x14ac:dyDescent="0.25">
      <c r="A11" s="129">
        <v>4</v>
      </c>
      <c r="B11" s="130"/>
      <c r="C11" s="131"/>
      <c r="D11" s="132"/>
      <c r="E11" s="140" t="str">
        <f t="shared" si="0"/>
        <v/>
      </c>
    </row>
    <row r="12" spans="1:5" s="22" customFormat="1" ht="20.25" customHeight="1" x14ac:dyDescent="0.25">
      <c r="A12" s="129">
        <v>5</v>
      </c>
      <c r="B12" s="130"/>
      <c r="C12" s="131"/>
      <c r="D12" s="132"/>
      <c r="E12" s="140" t="str">
        <f t="shared" si="0"/>
        <v/>
      </c>
    </row>
    <row r="13" spans="1:5" s="22" customFormat="1" ht="20.25" customHeight="1" x14ac:dyDescent="0.25">
      <c r="A13" s="129">
        <v>6</v>
      </c>
      <c r="B13" s="130"/>
      <c r="C13" s="131"/>
      <c r="D13" s="132"/>
      <c r="E13" s="140" t="str">
        <f t="shared" si="0"/>
        <v/>
      </c>
    </row>
    <row r="14" spans="1:5" s="22" customFormat="1" ht="20.25" customHeight="1" x14ac:dyDescent="0.25">
      <c r="A14" s="129">
        <v>7</v>
      </c>
      <c r="B14" s="130"/>
      <c r="C14" s="131"/>
      <c r="D14" s="132"/>
      <c r="E14" s="140" t="str">
        <f t="shared" si="0"/>
        <v/>
      </c>
    </row>
    <row r="15" spans="1:5" s="22" customFormat="1" ht="20.25" customHeight="1" x14ac:dyDescent="0.25">
      <c r="A15" s="129">
        <v>8</v>
      </c>
      <c r="B15" s="130"/>
      <c r="C15" s="131"/>
      <c r="D15" s="132"/>
      <c r="E15" s="140" t="str">
        <f t="shared" si="0"/>
        <v/>
      </c>
    </row>
    <row r="16" spans="1:5" s="22" customFormat="1" ht="20.25" customHeight="1" x14ac:dyDescent="0.25">
      <c r="A16" s="129">
        <v>9</v>
      </c>
      <c r="B16" s="130"/>
      <c r="C16" s="131"/>
      <c r="D16" s="132"/>
      <c r="E16" s="140" t="str">
        <f t="shared" si="0"/>
        <v/>
      </c>
    </row>
    <row r="17" spans="1:6" s="22" customFormat="1" ht="20.25" customHeight="1" x14ac:dyDescent="0.25">
      <c r="A17" s="129">
        <v>10</v>
      </c>
      <c r="B17" s="130"/>
      <c r="C17" s="131"/>
      <c r="D17" s="132"/>
      <c r="E17" s="140" t="str">
        <f t="shared" si="0"/>
        <v/>
      </c>
    </row>
    <row r="18" spans="1:6" s="22" customFormat="1" ht="20.25" customHeight="1" x14ac:dyDescent="0.25">
      <c r="A18" s="129"/>
      <c r="B18" s="133" t="s">
        <v>406</v>
      </c>
      <c r="C18" s="138">
        <f>SUM(C8:C17)</f>
        <v>446913961</v>
      </c>
      <c r="D18" s="139">
        <f>SUM(D8:D17)</f>
        <v>233108027.84000003</v>
      </c>
      <c r="E18" s="140">
        <f>SUM(E8:E17)</f>
        <v>213805933.15999997</v>
      </c>
    </row>
    <row r="19" spans="1:6" s="22" customFormat="1" ht="21" customHeight="1" x14ac:dyDescent="0.25">
      <c r="A19" s="608" t="s">
        <v>407</v>
      </c>
      <c r="B19" s="609"/>
      <c r="C19" s="609"/>
      <c r="D19" s="609"/>
      <c r="E19" s="610"/>
    </row>
    <row r="20" spans="1:6" s="22" customFormat="1" ht="20.25" customHeight="1" x14ac:dyDescent="0.25">
      <c r="A20" s="129">
        <v>1</v>
      </c>
      <c r="B20" s="130"/>
      <c r="C20" s="131"/>
      <c r="D20" s="132"/>
      <c r="E20" s="140" t="str">
        <f>IF(B20="","",C20-D20)</f>
        <v/>
      </c>
    </row>
    <row r="21" spans="1:6" s="22" customFormat="1" ht="20.25" customHeight="1" x14ac:dyDescent="0.25">
      <c r="A21" s="129">
        <v>2</v>
      </c>
      <c r="B21" s="130"/>
      <c r="C21" s="131"/>
      <c r="D21" s="132"/>
      <c r="E21" s="140" t="str">
        <f t="shared" ref="E21:E29" si="1">IF(B21="","",C21-D21)</f>
        <v/>
      </c>
    </row>
    <row r="22" spans="1:6" s="22" customFormat="1" ht="20.25" customHeight="1" x14ac:dyDescent="0.25">
      <c r="A22" s="129">
        <v>3</v>
      </c>
      <c r="B22" s="130"/>
      <c r="C22" s="131"/>
      <c r="D22" s="132"/>
      <c r="E22" s="140" t="str">
        <f t="shared" si="1"/>
        <v/>
      </c>
    </row>
    <row r="23" spans="1:6" s="22" customFormat="1" ht="20.25" customHeight="1" x14ac:dyDescent="0.25">
      <c r="A23" s="129">
        <v>4</v>
      </c>
      <c r="B23" s="130"/>
      <c r="C23" s="131"/>
      <c r="D23" s="132"/>
      <c r="E23" s="140" t="str">
        <f t="shared" si="1"/>
        <v/>
      </c>
    </row>
    <row r="24" spans="1:6" s="22" customFormat="1" ht="20.25" customHeight="1" x14ac:dyDescent="0.25">
      <c r="A24" s="129">
        <v>5</v>
      </c>
      <c r="B24" s="130"/>
      <c r="C24" s="131"/>
      <c r="D24" s="132"/>
      <c r="E24" s="140" t="str">
        <f t="shared" si="1"/>
        <v/>
      </c>
    </row>
    <row r="25" spans="1:6" s="22" customFormat="1" ht="20.25" customHeight="1" x14ac:dyDescent="0.25">
      <c r="A25" s="129">
        <v>6</v>
      </c>
      <c r="B25" s="130"/>
      <c r="C25" s="131"/>
      <c r="D25" s="132"/>
      <c r="E25" s="140" t="str">
        <f t="shared" si="1"/>
        <v/>
      </c>
    </row>
    <row r="26" spans="1:6" s="22" customFormat="1" ht="20.25" customHeight="1" x14ac:dyDescent="0.25">
      <c r="A26" s="129">
        <v>7</v>
      </c>
      <c r="B26" s="130"/>
      <c r="C26" s="131"/>
      <c r="D26" s="132"/>
      <c r="E26" s="140" t="str">
        <f t="shared" si="1"/>
        <v/>
      </c>
    </row>
    <row r="27" spans="1:6" s="22" customFormat="1" ht="20.25" customHeight="1" x14ac:dyDescent="0.25">
      <c r="A27" s="129">
        <v>8</v>
      </c>
      <c r="B27" s="130"/>
      <c r="C27" s="131"/>
      <c r="D27" s="132"/>
      <c r="E27" s="140" t="str">
        <f>IF(B27="","",C27-D28)</f>
        <v/>
      </c>
    </row>
    <row r="28" spans="1:6" s="22" customFormat="1" ht="20.25" customHeight="1" x14ac:dyDescent="0.25">
      <c r="A28" s="129">
        <v>9</v>
      </c>
      <c r="B28" s="130"/>
      <c r="C28" s="131"/>
      <c r="D28" s="132"/>
      <c r="E28" s="140" t="str">
        <f>IF(B28="","",C28-#REF!)</f>
        <v/>
      </c>
    </row>
    <row r="29" spans="1:6" s="22" customFormat="1" ht="20.25" customHeight="1" x14ac:dyDescent="0.25">
      <c r="A29" s="129">
        <v>10</v>
      </c>
      <c r="B29" s="130"/>
      <c r="C29" s="131"/>
      <c r="D29" s="132"/>
      <c r="E29" s="140" t="str">
        <f t="shared" si="1"/>
        <v/>
      </c>
    </row>
    <row r="30" spans="1:6" s="5" customFormat="1" ht="39.950000000000003" customHeight="1" thickBot="1" x14ac:dyDescent="0.35">
      <c r="A30" s="129"/>
      <c r="B30" s="134" t="s">
        <v>408</v>
      </c>
      <c r="C30" s="138">
        <f>SUM(C20:C29)</f>
        <v>0</v>
      </c>
      <c r="D30" s="139">
        <f>SUM(D20:D29)</f>
        <v>0</v>
      </c>
      <c r="E30" s="140">
        <f>SUM(E20:E29)</f>
        <v>0</v>
      </c>
    </row>
    <row r="31" spans="1:6" ht="30" customHeight="1" thickBot="1" x14ac:dyDescent="0.35">
      <c r="A31" s="135"/>
      <c r="B31" s="136" t="s">
        <v>409</v>
      </c>
      <c r="C31" s="141">
        <f>SUM(C18,C30)</f>
        <v>446913961</v>
      </c>
      <c r="D31" s="141">
        <f>SUM(D18,D30)</f>
        <v>233108027.84000003</v>
      </c>
      <c r="E31" s="142">
        <f>SUM(E18,E30)</f>
        <v>213805933.15999997</v>
      </c>
      <c r="F31" s="423"/>
    </row>
    <row r="32" spans="1:6" ht="17.100000000000001" customHeight="1" x14ac:dyDescent="0.3">
      <c r="A32" s="7" t="s">
        <v>4</v>
      </c>
    </row>
    <row r="33" spans="1:10" ht="17.100000000000001" customHeight="1" x14ac:dyDescent="0.3">
      <c r="A33" s="221"/>
      <c r="B33" s="222"/>
      <c r="C33" s="223"/>
      <c r="D33" s="223"/>
      <c r="E33" s="223"/>
    </row>
    <row r="34" spans="1:10" ht="17.100000000000001" customHeight="1" x14ac:dyDescent="0.3">
      <c r="A34" s="221"/>
      <c r="B34" s="222"/>
      <c r="C34" s="223"/>
      <c r="D34" s="223"/>
      <c r="E34" s="223"/>
    </row>
    <row r="35" spans="1:10" ht="17.100000000000001" customHeight="1" x14ac:dyDescent="0.3">
      <c r="A35" s="221"/>
      <c r="B35" s="222"/>
      <c r="C35" s="223"/>
      <c r="D35" s="223"/>
      <c r="E35" s="223"/>
    </row>
    <row r="36" spans="1:10" ht="17.100000000000001" customHeight="1" x14ac:dyDescent="0.3">
      <c r="A36" s="221"/>
      <c r="B36" s="222"/>
      <c r="C36" s="223"/>
      <c r="D36" s="223"/>
      <c r="E36" s="223"/>
    </row>
    <row r="37" spans="1:10" ht="17.100000000000001" customHeight="1" x14ac:dyDescent="0.3">
      <c r="A37" s="3" t="s">
        <v>38</v>
      </c>
      <c r="J37" s="137"/>
    </row>
  </sheetData>
  <sheetProtection insertHyperlinks="0"/>
  <mergeCells count="7">
    <mergeCell ref="A1:E1"/>
    <mergeCell ref="A3:E3"/>
    <mergeCell ref="A19:E19"/>
    <mergeCell ref="A2:E2"/>
    <mergeCell ref="A5:B6"/>
    <mergeCell ref="A7:E7"/>
    <mergeCell ref="B4:C4"/>
  </mergeCells>
  <printOptions horizontalCentered="1"/>
  <pageMargins left="0.19685039370078741" right="0.19685039370078741" top="0.74803149606299213" bottom="0.74803149606299213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18">
    <tabColor theme="0" tint="-0.249977111117893"/>
  </sheetPr>
  <dimension ref="A1:I37"/>
  <sheetViews>
    <sheetView view="pageBreakPreview" zoomScale="90" zoomScaleSheetLayoutView="90" workbookViewId="0">
      <selection activeCell="A11" sqref="A10:O16"/>
    </sheetView>
  </sheetViews>
  <sheetFormatPr baseColWidth="10" defaultColWidth="11.28515625" defaultRowHeight="16.5" x14ac:dyDescent="0.3"/>
  <cols>
    <col min="1" max="1" width="4.85546875" style="3" customWidth="1"/>
    <col min="2" max="2" width="41" style="3" customWidth="1"/>
    <col min="3" max="4" width="25.7109375" style="3" customWidth="1"/>
    <col min="5" max="16384" width="11.28515625" style="3"/>
  </cols>
  <sheetData>
    <row r="1" spans="1:6" x14ac:dyDescent="0.3">
      <c r="A1" s="143"/>
      <c r="B1" s="445" t="e">
        <f>#REF!</f>
        <v>#REF!</v>
      </c>
      <c r="C1" s="445"/>
      <c r="D1" s="445"/>
    </row>
    <row r="2" spans="1:6" x14ac:dyDescent="0.3">
      <c r="B2" s="611" t="s">
        <v>410</v>
      </c>
      <c r="C2" s="611"/>
      <c r="D2" s="611"/>
      <c r="F2" s="122"/>
    </row>
    <row r="3" spans="1:6" x14ac:dyDescent="0.3">
      <c r="B3" s="446" t="e">
        <f>#REF!</f>
        <v>#REF!</v>
      </c>
      <c r="C3" s="446"/>
      <c r="D3" s="446"/>
    </row>
    <row r="4" spans="1:6" x14ac:dyDescent="0.3">
      <c r="A4" s="325"/>
      <c r="B4" s="623" t="s">
        <v>455</v>
      </c>
      <c r="C4" s="623"/>
      <c r="D4" s="6"/>
    </row>
    <row r="5" spans="1:6" ht="6.75" customHeight="1" thickBot="1" x14ac:dyDescent="0.35"/>
    <row r="6" spans="1:6" s="22" customFormat="1" ht="27.95" customHeight="1" x14ac:dyDescent="0.25">
      <c r="A6" s="612" t="s">
        <v>399</v>
      </c>
      <c r="B6" s="613"/>
      <c r="C6" s="619" t="s">
        <v>66</v>
      </c>
      <c r="D6" s="621" t="s">
        <v>293</v>
      </c>
    </row>
    <row r="7" spans="1:6" s="22" customFormat="1" ht="4.5" customHeight="1" thickBot="1" x14ac:dyDescent="0.3">
      <c r="A7" s="614"/>
      <c r="B7" s="615"/>
      <c r="C7" s="620"/>
      <c r="D7" s="622"/>
    </row>
    <row r="8" spans="1:6" s="22" customFormat="1" ht="21" customHeight="1" x14ac:dyDescent="0.25">
      <c r="A8" s="616" t="s">
        <v>405</v>
      </c>
      <c r="B8" s="617"/>
      <c r="C8" s="617"/>
      <c r="D8" s="618"/>
    </row>
    <row r="9" spans="1:6" s="22" customFormat="1" ht="18" customHeight="1" x14ac:dyDescent="0.25">
      <c r="A9" s="129">
        <v>1</v>
      </c>
      <c r="B9" s="130" t="s">
        <v>458</v>
      </c>
      <c r="C9" s="366">
        <v>28432546.32</v>
      </c>
      <c r="D9" s="367">
        <v>28432546.32</v>
      </c>
    </row>
    <row r="10" spans="1:6" s="22" customFormat="1" ht="18" customHeight="1" x14ac:dyDescent="0.25">
      <c r="A10" s="129">
        <v>2</v>
      </c>
      <c r="B10" s="130"/>
      <c r="C10" s="144"/>
      <c r="D10" s="145"/>
    </row>
    <row r="11" spans="1:6" s="22" customFormat="1" ht="18" customHeight="1" x14ac:dyDescent="0.25">
      <c r="A11" s="129">
        <v>3</v>
      </c>
      <c r="B11" s="130"/>
      <c r="C11" s="144"/>
      <c r="D11" s="145"/>
    </row>
    <row r="12" spans="1:6" s="22" customFormat="1" ht="18" customHeight="1" x14ac:dyDescent="0.25">
      <c r="A12" s="129">
        <v>4</v>
      </c>
      <c r="B12" s="130"/>
      <c r="C12" s="144"/>
      <c r="D12" s="145"/>
    </row>
    <row r="13" spans="1:6" s="22" customFormat="1" ht="18" customHeight="1" x14ac:dyDescent="0.25">
      <c r="A13" s="129">
        <v>5</v>
      </c>
      <c r="B13" s="130"/>
      <c r="C13" s="144"/>
      <c r="D13" s="145"/>
    </row>
    <row r="14" spans="1:6" s="22" customFormat="1" ht="18" customHeight="1" x14ac:dyDescent="0.25">
      <c r="A14" s="129">
        <v>6</v>
      </c>
      <c r="B14" s="130"/>
      <c r="C14" s="144"/>
      <c r="D14" s="145"/>
    </row>
    <row r="15" spans="1:6" s="22" customFormat="1" ht="18" customHeight="1" x14ac:dyDescent="0.25">
      <c r="A15" s="129">
        <v>7</v>
      </c>
      <c r="B15" s="130"/>
      <c r="C15" s="144"/>
      <c r="D15" s="145"/>
    </row>
    <row r="16" spans="1:6" s="22" customFormat="1" ht="18" customHeight="1" x14ac:dyDescent="0.25">
      <c r="A16" s="129">
        <v>8</v>
      </c>
      <c r="B16" s="130"/>
      <c r="C16" s="144"/>
      <c r="D16" s="145"/>
    </row>
    <row r="17" spans="1:4" s="22" customFormat="1" ht="18" customHeight="1" x14ac:dyDescent="0.25">
      <c r="A17" s="129">
        <v>9</v>
      </c>
      <c r="B17" s="130"/>
      <c r="C17" s="144"/>
      <c r="D17" s="145"/>
    </row>
    <row r="18" spans="1:4" s="22" customFormat="1" ht="18" customHeight="1" x14ac:dyDescent="0.25">
      <c r="A18" s="129">
        <v>10</v>
      </c>
      <c r="B18" s="130"/>
      <c r="C18" s="144"/>
      <c r="D18" s="145"/>
    </row>
    <row r="19" spans="1:4" s="22" customFormat="1" ht="18" customHeight="1" x14ac:dyDescent="0.25">
      <c r="A19" s="129"/>
      <c r="B19" s="133" t="s">
        <v>411</v>
      </c>
      <c r="C19" s="138">
        <f>SUM(C9:C18)</f>
        <v>28432546.32</v>
      </c>
      <c r="D19" s="140">
        <f>SUM(D9:D18)</f>
        <v>28432546.32</v>
      </c>
    </row>
    <row r="20" spans="1:4" s="22" customFormat="1" ht="21" customHeight="1" x14ac:dyDescent="0.25">
      <c r="A20" s="608" t="s">
        <v>407</v>
      </c>
      <c r="B20" s="609"/>
      <c r="C20" s="609"/>
      <c r="D20" s="610"/>
    </row>
    <row r="21" spans="1:4" s="22" customFormat="1" ht="18" customHeight="1" x14ac:dyDescent="0.25">
      <c r="A21" s="129">
        <v>1</v>
      </c>
      <c r="B21" s="130"/>
      <c r="C21" s="144"/>
      <c r="D21" s="145"/>
    </row>
    <row r="22" spans="1:4" s="22" customFormat="1" ht="18" customHeight="1" x14ac:dyDescent="0.25">
      <c r="A22" s="129">
        <v>2</v>
      </c>
      <c r="B22" s="130"/>
      <c r="C22" s="144"/>
      <c r="D22" s="145"/>
    </row>
    <row r="23" spans="1:4" s="22" customFormat="1" ht="18" customHeight="1" x14ac:dyDescent="0.25">
      <c r="A23" s="129">
        <v>3</v>
      </c>
      <c r="B23" s="130"/>
      <c r="C23" s="144"/>
      <c r="D23" s="145"/>
    </row>
    <row r="24" spans="1:4" s="22" customFormat="1" ht="18" customHeight="1" x14ac:dyDescent="0.25">
      <c r="A24" s="129">
        <v>4</v>
      </c>
      <c r="B24" s="130"/>
      <c r="C24" s="144"/>
      <c r="D24" s="145"/>
    </row>
    <row r="25" spans="1:4" s="22" customFormat="1" ht="18" customHeight="1" x14ac:dyDescent="0.25">
      <c r="A25" s="129">
        <v>5</v>
      </c>
      <c r="B25" s="130"/>
      <c r="C25" s="144"/>
      <c r="D25" s="145"/>
    </row>
    <row r="26" spans="1:4" s="22" customFormat="1" ht="18" customHeight="1" x14ac:dyDescent="0.25">
      <c r="A26" s="129">
        <v>6</v>
      </c>
      <c r="B26" s="130"/>
      <c r="C26" s="144"/>
      <c r="D26" s="145"/>
    </row>
    <row r="27" spans="1:4" s="22" customFormat="1" ht="18" customHeight="1" x14ac:dyDescent="0.25">
      <c r="A27" s="129">
        <v>7</v>
      </c>
      <c r="B27" s="130"/>
      <c r="C27" s="144"/>
      <c r="D27" s="145"/>
    </row>
    <row r="28" spans="1:4" s="22" customFormat="1" ht="18" customHeight="1" x14ac:dyDescent="0.25">
      <c r="A28" s="129">
        <v>8</v>
      </c>
      <c r="B28" s="130"/>
      <c r="C28" s="144"/>
      <c r="D28" s="145"/>
    </row>
    <row r="29" spans="1:4" s="22" customFormat="1" ht="18" customHeight="1" x14ac:dyDescent="0.25">
      <c r="A29" s="129">
        <v>9</v>
      </c>
      <c r="B29" s="130"/>
      <c r="C29" s="144"/>
      <c r="D29" s="145"/>
    </row>
    <row r="30" spans="1:4" s="22" customFormat="1" ht="18" customHeight="1" x14ac:dyDescent="0.25">
      <c r="A30" s="129">
        <v>10</v>
      </c>
      <c r="B30" s="130"/>
      <c r="C30" s="144" t="s">
        <v>38</v>
      </c>
      <c r="D30" s="145"/>
    </row>
    <row r="31" spans="1:4" s="5" customFormat="1" ht="18" customHeight="1" thickBot="1" x14ac:dyDescent="0.35">
      <c r="A31" s="129"/>
      <c r="B31" s="134" t="s">
        <v>412</v>
      </c>
      <c r="C31" s="138">
        <f>SUM(C21:C30)</f>
        <v>0</v>
      </c>
      <c r="D31" s="140">
        <f>SUM(D21:D30)</f>
        <v>0</v>
      </c>
    </row>
    <row r="32" spans="1:4" ht="27.95" customHeight="1" thickBot="1" x14ac:dyDescent="0.35">
      <c r="A32" s="135"/>
      <c r="B32" s="136" t="s">
        <v>409</v>
      </c>
      <c r="C32" s="141">
        <f>SUM(C31,C19)</f>
        <v>28432546.32</v>
      </c>
      <c r="D32" s="146">
        <f>SUM(D31,D19)</f>
        <v>28432546.32</v>
      </c>
    </row>
    <row r="33" spans="1:9" s="5" customFormat="1" ht="18" customHeight="1" x14ac:dyDescent="0.3">
      <c r="A33" s="7" t="s">
        <v>4</v>
      </c>
      <c r="B33" s="3"/>
      <c r="C33" s="3"/>
      <c r="D33" s="3"/>
      <c r="E33" s="3"/>
    </row>
    <row r="34" spans="1:9" s="5" customFormat="1" ht="18" customHeight="1" x14ac:dyDescent="0.3">
      <c r="A34" s="3"/>
      <c r="B34" s="3"/>
      <c r="C34" s="3"/>
      <c r="D34" s="3"/>
      <c r="E34" s="3"/>
    </row>
    <row r="35" spans="1:9" s="5" customFormat="1" ht="18" customHeight="1" x14ac:dyDescent="0.3">
      <c r="A35" s="3"/>
      <c r="B35" s="3"/>
      <c r="C35" s="3"/>
      <c r="D35" s="3"/>
      <c r="E35" s="3"/>
    </row>
    <row r="36" spans="1:9" ht="17.100000000000001" customHeight="1" x14ac:dyDescent="0.3">
      <c r="A36" s="221"/>
      <c r="B36" s="222"/>
      <c r="C36" s="223"/>
      <c r="D36" s="223"/>
    </row>
    <row r="37" spans="1:9" ht="17.100000000000001" customHeight="1" x14ac:dyDescent="0.3">
      <c r="I37" s="137"/>
    </row>
  </sheetData>
  <sheetProtection insertHyperlinks="0"/>
  <mergeCells count="9">
    <mergeCell ref="A8:D8"/>
    <mergeCell ref="A20:D20"/>
    <mergeCell ref="C6:C7"/>
    <mergeCell ref="D6:D7"/>
    <mergeCell ref="B1:D1"/>
    <mergeCell ref="B2:D2"/>
    <mergeCell ref="B3:D3"/>
    <mergeCell ref="B4:C4"/>
    <mergeCell ref="A6:B7"/>
  </mergeCells>
  <printOptions horizontalCentered="1"/>
  <pageMargins left="0.39370078740157483" right="0.39370078740157483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249977111117893"/>
  </sheetPr>
  <dimension ref="A1:J90"/>
  <sheetViews>
    <sheetView view="pageBreakPreview" zoomScale="136" zoomScaleNormal="120" zoomScaleSheetLayoutView="136" workbookViewId="0">
      <selection activeCell="A11" sqref="A10:O16"/>
    </sheetView>
  </sheetViews>
  <sheetFormatPr baseColWidth="10" defaultColWidth="11.42578125" defaultRowHeight="15" x14ac:dyDescent="0.25"/>
  <cols>
    <col min="1" max="1" width="1.85546875" customWidth="1"/>
    <col min="2" max="2" width="0.85546875" customWidth="1"/>
    <col min="3" max="3" width="48.28515625" customWidth="1"/>
    <col min="5" max="5" width="12.85546875" customWidth="1"/>
    <col min="6" max="6" width="12.5703125" bestFit="1" customWidth="1"/>
    <col min="7" max="8" width="13.85546875" bestFit="1" customWidth="1"/>
  </cols>
  <sheetData>
    <row r="1" spans="1:9" ht="15.75" x14ac:dyDescent="0.25">
      <c r="A1" s="445" t="e">
        <f>#REF!</f>
        <v>#REF!</v>
      </c>
      <c r="B1" s="445"/>
      <c r="C1" s="445"/>
      <c r="D1" s="445"/>
      <c r="E1" s="445"/>
      <c r="F1" s="445"/>
      <c r="G1" s="445"/>
      <c r="H1" s="445"/>
      <c r="I1" s="445"/>
    </row>
    <row r="2" spans="1:9" ht="15.75" customHeight="1" x14ac:dyDescent="0.25">
      <c r="A2" s="444" t="s">
        <v>60</v>
      </c>
      <c r="B2" s="444"/>
      <c r="C2" s="444"/>
      <c r="D2" s="444"/>
      <c r="E2" s="444"/>
      <c r="F2" s="444"/>
      <c r="G2" s="444"/>
      <c r="H2" s="444"/>
      <c r="I2" s="444"/>
    </row>
    <row r="3" spans="1:9" ht="15.75" customHeight="1" x14ac:dyDescent="0.25">
      <c r="A3" s="498" t="e">
        <f>#REF!</f>
        <v>#REF!</v>
      </c>
      <c r="B3" s="498"/>
      <c r="C3" s="498"/>
      <c r="D3" s="498"/>
      <c r="E3" s="498"/>
      <c r="F3" s="498"/>
      <c r="G3" s="498"/>
      <c r="H3" s="498"/>
      <c r="I3" s="498"/>
    </row>
    <row r="4" spans="1:9" ht="15.75" customHeight="1" thickBot="1" x14ac:dyDescent="0.3">
      <c r="A4" s="450"/>
      <c r="B4" s="450"/>
      <c r="C4" s="450"/>
      <c r="D4" s="450"/>
      <c r="E4" s="450"/>
      <c r="F4" s="450"/>
      <c r="G4" s="450"/>
      <c r="H4" s="450"/>
      <c r="I4" s="450"/>
    </row>
    <row r="5" spans="1:9" ht="15.75" thickBot="1" x14ac:dyDescent="0.3">
      <c r="A5" s="499"/>
      <c r="B5" s="500"/>
      <c r="C5" s="501"/>
      <c r="D5" s="502" t="s">
        <v>61</v>
      </c>
      <c r="E5" s="503"/>
      <c r="F5" s="503"/>
      <c r="G5" s="503"/>
      <c r="H5" s="504"/>
      <c r="I5" s="505" t="s">
        <v>62</v>
      </c>
    </row>
    <row r="6" spans="1:9" x14ac:dyDescent="0.25">
      <c r="A6" s="508" t="s">
        <v>39</v>
      </c>
      <c r="B6" s="509"/>
      <c r="C6" s="510"/>
      <c r="D6" s="505" t="s">
        <v>63</v>
      </c>
      <c r="E6" s="514" t="s">
        <v>64</v>
      </c>
      <c r="F6" s="505" t="s">
        <v>65</v>
      </c>
      <c r="G6" s="505" t="s">
        <v>66</v>
      </c>
      <c r="H6" s="505" t="s">
        <v>67</v>
      </c>
      <c r="I6" s="506"/>
    </row>
    <row r="7" spans="1:9" ht="15.75" thickBot="1" x14ac:dyDescent="0.3">
      <c r="A7" s="511" t="s">
        <v>68</v>
      </c>
      <c r="B7" s="512"/>
      <c r="C7" s="513"/>
      <c r="D7" s="507"/>
      <c r="E7" s="515"/>
      <c r="F7" s="507"/>
      <c r="G7" s="507"/>
      <c r="H7" s="507"/>
      <c r="I7" s="507"/>
    </row>
    <row r="8" spans="1:9" x14ac:dyDescent="0.25">
      <c r="A8" s="493"/>
      <c r="B8" s="494"/>
      <c r="C8" s="495"/>
      <c r="D8" s="311"/>
      <c r="E8" s="311"/>
      <c r="F8" s="311"/>
      <c r="G8" s="311"/>
      <c r="H8" s="311"/>
      <c r="I8" s="311"/>
    </row>
    <row r="9" spans="1:9" x14ac:dyDescent="0.25">
      <c r="A9" s="479" t="s">
        <v>69</v>
      </c>
      <c r="B9" s="480"/>
      <c r="C9" s="497"/>
      <c r="D9" s="260"/>
      <c r="E9" s="260"/>
      <c r="F9" s="260"/>
      <c r="G9" s="260"/>
      <c r="H9" s="260"/>
      <c r="I9" s="260"/>
    </row>
    <row r="10" spans="1:9" x14ac:dyDescent="0.25">
      <c r="A10" s="319"/>
      <c r="B10" s="482" t="s">
        <v>70</v>
      </c>
      <c r="C10" s="483"/>
      <c r="D10" s="265">
        <v>0</v>
      </c>
      <c r="E10" s="265">
        <v>0</v>
      </c>
      <c r="F10" s="265">
        <f t="shared" ref="F10:F16" si="0">+D10+E10</f>
        <v>0</v>
      </c>
      <c r="G10" s="265">
        <v>0</v>
      </c>
      <c r="H10" s="265">
        <v>0</v>
      </c>
      <c r="I10" s="262">
        <f>+H10-D10</f>
        <v>0</v>
      </c>
    </row>
    <row r="11" spans="1:9" x14ac:dyDescent="0.25">
      <c r="A11" s="319"/>
      <c r="B11" s="482" t="s">
        <v>71</v>
      </c>
      <c r="C11" s="483"/>
      <c r="D11" s="265">
        <v>0</v>
      </c>
      <c r="E11" s="265">
        <v>0</v>
      </c>
      <c r="F11" s="265">
        <f t="shared" si="0"/>
        <v>0</v>
      </c>
      <c r="G11" s="265">
        <v>0</v>
      </c>
      <c r="H11" s="265">
        <v>0</v>
      </c>
      <c r="I11" s="262">
        <f t="shared" ref="I11:I16" si="1">+H11-D11</f>
        <v>0</v>
      </c>
    </row>
    <row r="12" spans="1:9" x14ac:dyDescent="0.25">
      <c r="A12" s="319"/>
      <c r="B12" s="482" t="s">
        <v>72</v>
      </c>
      <c r="C12" s="483"/>
      <c r="D12" s="265">
        <v>0</v>
      </c>
      <c r="E12" s="265">
        <v>0</v>
      </c>
      <c r="F12" s="265">
        <f t="shared" si="0"/>
        <v>0</v>
      </c>
      <c r="G12" s="265">
        <v>0</v>
      </c>
      <c r="H12" s="265">
        <v>0</v>
      </c>
      <c r="I12" s="262">
        <f t="shared" si="1"/>
        <v>0</v>
      </c>
    </row>
    <row r="13" spans="1:9" x14ac:dyDescent="0.25">
      <c r="A13" s="319"/>
      <c r="B13" s="482" t="s">
        <v>73</v>
      </c>
      <c r="C13" s="483"/>
      <c r="D13" s="265">
        <v>0</v>
      </c>
      <c r="E13" s="265">
        <v>0</v>
      </c>
      <c r="F13" s="265">
        <f t="shared" si="0"/>
        <v>0</v>
      </c>
      <c r="G13" s="265">
        <v>0</v>
      </c>
      <c r="H13" s="265">
        <v>0</v>
      </c>
      <c r="I13" s="262">
        <f t="shared" si="1"/>
        <v>0</v>
      </c>
    </row>
    <row r="14" spans="1:9" x14ac:dyDescent="0.25">
      <c r="A14" s="319"/>
      <c r="B14" s="482" t="s">
        <v>74</v>
      </c>
      <c r="C14" s="483"/>
      <c r="D14" s="265">
        <v>0</v>
      </c>
      <c r="E14" s="265">
        <v>17883398.410000004</v>
      </c>
      <c r="F14" s="265">
        <f t="shared" si="0"/>
        <v>17883398.410000004</v>
      </c>
      <c r="G14" s="265">
        <v>17883398.410000004</v>
      </c>
      <c r="H14" s="265">
        <v>17883398.410000004</v>
      </c>
      <c r="I14" s="262">
        <f t="shared" si="1"/>
        <v>17883398.410000004</v>
      </c>
    </row>
    <row r="15" spans="1:9" x14ac:dyDescent="0.25">
      <c r="A15" s="319"/>
      <c r="B15" s="482" t="s">
        <v>75</v>
      </c>
      <c r="C15" s="483"/>
      <c r="D15" s="265">
        <v>0</v>
      </c>
      <c r="E15" s="265">
        <v>0</v>
      </c>
      <c r="F15" s="265">
        <f t="shared" si="0"/>
        <v>0</v>
      </c>
      <c r="G15" s="265">
        <v>0</v>
      </c>
      <c r="H15" s="265"/>
      <c r="I15" s="262">
        <f t="shared" si="1"/>
        <v>0</v>
      </c>
    </row>
    <row r="16" spans="1:9" x14ac:dyDescent="0.25">
      <c r="A16" s="319"/>
      <c r="B16" s="482" t="s">
        <v>433</v>
      </c>
      <c r="C16" s="483"/>
      <c r="D16" s="265">
        <v>269652719.99859548</v>
      </c>
      <c r="E16" s="265">
        <v>53094892.630000018</v>
      </c>
      <c r="F16" s="265">
        <f t="shared" si="0"/>
        <v>322747612.62859547</v>
      </c>
      <c r="G16" s="265">
        <v>318441597.06000006</v>
      </c>
      <c r="H16" s="265">
        <v>232326347.48000002</v>
      </c>
      <c r="I16" s="262">
        <f t="shared" si="1"/>
        <v>-37326372.518595457</v>
      </c>
    </row>
    <row r="17" spans="1:9" x14ac:dyDescent="0.25">
      <c r="A17" s="496"/>
      <c r="B17" s="482" t="s">
        <v>76</v>
      </c>
      <c r="C17" s="483"/>
      <c r="D17" s="490">
        <f t="shared" ref="D17:I17" si="2">SUM(D19:D29)</f>
        <v>0</v>
      </c>
      <c r="E17" s="490">
        <f t="shared" si="2"/>
        <v>0</v>
      </c>
      <c r="F17" s="490">
        <f t="shared" si="2"/>
        <v>0</v>
      </c>
      <c r="G17" s="490">
        <f t="shared" si="2"/>
        <v>0</v>
      </c>
      <c r="H17" s="490">
        <f t="shared" si="2"/>
        <v>0</v>
      </c>
      <c r="I17" s="490">
        <f t="shared" si="2"/>
        <v>0</v>
      </c>
    </row>
    <row r="18" spans="1:9" x14ac:dyDescent="0.25">
      <c r="A18" s="496"/>
      <c r="B18" s="482" t="s">
        <v>77</v>
      </c>
      <c r="C18" s="483"/>
      <c r="D18" s="490"/>
      <c r="E18" s="490"/>
      <c r="F18" s="490"/>
      <c r="G18" s="490"/>
      <c r="H18" s="490"/>
      <c r="I18" s="490"/>
    </row>
    <row r="19" spans="1:9" x14ac:dyDescent="0.25">
      <c r="A19" s="319"/>
      <c r="B19" s="317"/>
      <c r="C19" s="318" t="s">
        <v>78</v>
      </c>
      <c r="D19" s="265">
        <v>0</v>
      </c>
      <c r="E19" s="265">
        <v>0</v>
      </c>
      <c r="F19" s="265">
        <f t="shared" ref="F19:F29" si="3">+D19+E19</f>
        <v>0</v>
      </c>
      <c r="G19" s="265">
        <v>0</v>
      </c>
      <c r="H19" s="265">
        <v>0</v>
      </c>
      <c r="I19" s="262">
        <f>+H19-D19</f>
        <v>0</v>
      </c>
    </row>
    <row r="20" spans="1:9" x14ac:dyDescent="0.25">
      <c r="A20" s="319"/>
      <c r="B20" s="317"/>
      <c r="C20" s="318" t="s">
        <v>79</v>
      </c>
      <c r="D20" s="265">
        <v>0</v>
      </c>
      <c r="E20" s="265">
        <v>0</v>
      </c>
      <c r="F20" s="265">
        <f t="shared" si="3"/>
        <v>0</v>
      </c>
      <c r="G20" s="265">
        <v>0</v>
      </c>
      <c r="H20" s="265">
        <v>0</v>
      </c>
      <c r="I20" s="262">
        <f t="shared" ref="I20:I36" si="4">+H20-D20</f>
        <v>0</v>
      </c>
    </row>
    <row r="21" spans="1:9" x14ac:dyDescent="0.25">
      <c r="A21" s="319"/>
      <c r="B21" s="317"/>
      <c r="C21" s="318" t="s">
        <v>80</v>
      </c>
      <c r="D21" s="265">
        <v>0</v>
      </c>
      <c r="E21" s="265">
        <v>0</v>
      </c>
      <c r="F21" s="265">
        <f t="shared" si="3"/>
        <v>0</v>
      </c>
      <c r="G21" s="265">
        <v>0</v>
      </c>
      <c r="H21" s="265">
        <v>0</v>
      </c>
      <c r="I21" s="262">
        <f t="shared" si="4"/>
        <v>0</v>
      </c>
    </row>
    <row r="22" spans="1:9" x14ac:dyDescent="0.25">
      <c r="A22" s="319"/>
      <c r="B22" s="317"/>
      <c r="C22" s="318" t="s">
        <v>81</v>
      </c>
      <c r="D22" s="265">
        <v>0</v>
      </c>
      <c r="E22" s="265">
        <v>0</v>
      </c>
      <c r="F22" s="265">
        <f t="shared" si="3"/>
        <v>0</v>
      </c>
      <c r="G22" s="265">
        <v>0</v>
      </c>
      <c r="H22" s="265">
        <v>0</v>
      </c>
      <c r="I22" s="262">
        <f t="shared" si="4"/>
        <v>0</v>
      </c>
    </row>
    <row r="23" spans="1:9" x14ac:dyDescent="0.25">
      <c r="A23" s="319"/>
      <c r="B23" s="317"/>
      <c r="C23" s="318" t="s">
        <v>82</v>
      </c>
      <c r="D23" s="265">
        <v>0</v>
      </c>
      <c r="E23" s="265">
        <v>0</v>
      </c>
      <c r="F23" s="265">
        <f t="shared" si="3"/>
        <v>0</v>
      </c>
      <c r="G23" s="265">
        <v>0</v>
      </c>
      <c r="H23" s="265">
        <v>0</v>
      </c>
      <c r="I23" s="262">
        <f t="shared" si="4"/>
        <v>0</v>
      </c>
    </row>
    <row r="24" spans="1:9" x14ac:dyDescent="0.25">
      <c r="A24" s="319"/>
      <c r="B24" s="317"/>
      <c r="C24" s="318" t="s">
        <v>83</v>
      </c>
      <c r="D24" s="265">
        <v>0</v>
      </c>
      <c r="E24" s="265">
        <v>0</v>
      </c>
      <c r="F24" s="265">
        <f t="shared" si="3"/>
        <v>0</v>
      </c>
      <c r="G24" s="265">
        <v>0</v>
      </c>
      <c r="H24" s="265">
        <v>0</v>
      </c>
      <c r="I24" s="262">
        <f t="shared" si="4"/>
        <v>0</v>
      </c>
    </row>
    <row r="25" spans="1:9" x14ac:dyDescent="0.25">
      <c r="A25" s="319"/>
      <c r="B25" s="317"/>
      <c r="C25" s="318" t="s">
        <v>84</v>
      </c>
      <c r="D25" s="265">
        <v>0</v>
      </c>
      <c r="E25" s="265">
        <v>0</v>
      </c>
      <c r="F25" s="265">
        <f t="shared" si="3"/>
        <v>0</v>
      </c>
      <c r="G25" s="265">
        <v>0</v>
      </c>
      <c r="H25" s="265">
        <v>0</v>
      </c>
      <c r="I25" s="262">
        <f t="shared" si="4"/>
        <v>0</v>
      </c>
    </row>
    <row r="26" spans="1:9" x14ac:dyDescent="0.25">
      <c r="A26" s="319"/>
      <c r="B26" s="317"/>
      <c r="C26" s="318" t="s">
        <v>85</v>
      </c>
      <c r="D26" s="265">
        <v>0</v>
      </c>
      <c r="E26" s="265">
        <v>0</v>
      </c>
      <c r="F26" s="265">
        <f t="shared" si="3"/>
        <v>0</v>
      </c>
      <c r="G26" s="265">
        <v>0</v>
      </c>
      <c r="H26" s="265">
        <v>0</v>
      </c>
      <c r="I26" s="262">
        <f t="shared" si="4"/>
        <v>0</v>
      </c>
    </row>
    <row r="27" spans="1:9" x14ac:dyDescent="0.25">
      <c r="A27" s="319"/>
      <c r="B27" s="317"/>
      <c r="C27" s="318" t="s">
        <v>86</v>
      </c>
      <c r="D27" s="265">
        <v>0</v>
      </c>
      <c r="E27" s="265">
        <v>0</v>
      </c>
      <c r="F27" s="265">
        <f t="shared" si="3"/>
        <v>0</v>
      </c>
      <c r="G27" s="265">
        <v>0</v>
      </c>
      <c r="H27" s="265">
        <v>0</v>
      </c>
      <c r="I27" s="262">
        <f t="shared" si="4"/>
        <v>0</v>
      </c>
    </row>
    <row r="28" spans="1:9" x14ac:dyDescent="0.25">
      <c r="A28" s="319"/>
      <c r="B28" s="317"/>
      <c r="C28" s="318" t="s">
        <v>87</v>
      </c>
      <c r="D28" s="265">
        <v>0</v>
      </c>
      <c r="E28" s="265">
        <v>0</v>
      </c>
      <c r="F28" s="265">
        <f t="shared" si="3"/>
        <v>0</v>
      </c>
      <c r="G28" s="265">
        <v>0</v>
      </c>
      <c r="H28" s="265">
        <v>0</v>
      </c>
      <c r="I28" s="262">
        <f t="shared" si="4"/>
        <v>0</v>
      </c>
    </row>
    <row r="29" spans="1:9" x14ac:dyDescent="0.25">
      <c r="A29" s="319"/>
      <c r="B29" s="317"/>
      <c r="C29" s="318" t="s">
        <v>88</v>
      </c>
      <c r="D29" s="265">
        <v>0</v>
      </c>
      <c r="E29" s="265">
        <v>0</v>
      </c>
      <c r="F29" s="265">
        <f t="shared" si="3"/>
        <v>0</v>
      </c>
      <c r="G29" s="265">
        <v>0</v>
      </c>
      <c r="H29" s="265">
        <v>0</v>
      </c>
      <c r="I29" s="262">
        <f t="shared" si="4"/>
        <v>0</v>
      </c>
    </row>
    <row r="30" spans="1:9" x14ac:dyDescent="0.25">
      <c r="A30" s="319"/>
      <c r="B30" s="482" t="s">
        <v>89</v>
      </c>
      <c r="C30" s="483"/>
      <c r="D30" s="262">
        <f t="shared" ref="D30:I30" si="5">SUM(D31:D35)</f>
        <v>0</v>
      </c>
      <c r="E30" s="262">
        <f t="shared" si="5"/>
        <v>0</v>
      </c>
      <c r="F30" s="262">
        <f t="shared" si="5"/>
        <v>0</v>
      </c>
      <c r="G30" s="262">
        <f t="shared" si="5"/>
        <v>0</v>
      </c>
      <c r="H30" s="262">
        <f t="shared" si="5"/>
        <v>0</v>
      </c>
      <c r="I30" s="262">
        <f t="shared" si="5"/>
        <v>0</v>
      </c>
    </row>
    <row r="31" spans="1:9" x14ac:dyDescent="0.25">
      <c r="A31" s="319"/>
      <c r="B31" s="317"/>
      <c r="C31" s="318" t="s">
        <v>90</v>
      </c>
      <c r="D31" s="265">
        <v>0</v>
      </c>
      <c r="E31" s="265">
        <v>0</v>
      </c>
      <c r="F31" s="265">
        <v>0</v>
      </c>
      <c r="G31" s="265"/>
      <c r="H31" s="265">
        <v>0</v>
      </c>
      <c r="I31" s="262">
        <f t="shared" si="4"/>
        <v>0</v>
      </c>
    </row>
    <row r="32" spans="1:9" x14ac:dyDescent="0.25">
      <c r="A32" s="319"/>
      <c r="B32" s="317"/>
      <c r="C32" s="318" t="s">
        <v>91</v>
      </c>
      <c r="D32" s="265">
        <v>0</v>
      </c>
      <c r="E32" s="265">
        <v>0</v>
      </c>
      <c r="F32" s="265">
        <f t="shared" ref="F32:F36" si="6">+D32+E32</f>
        <v>0</v>
      </c>
      <c r="G32" s="265"/>
      <c r="H32" s="265">
        <v>0</v>
      </c>
      <c r="I32" s="262">
        <f t="shared" si="4"/>
        <v>0</v>
      </c>
    </row>
    <row r="33" spans="1:9" ht="15.75" thickBot="1" x14ac:dyDescent="0.3">
      <c r="A33" s="249"/>
      <c r="B33" s="284"/>
      <c r="C33" s="314" t="s">
        <v>92</v>
      </c>
      <c r="D33" s="266">
        <v>0</v>
      </c>
      <c r="E33" s="266">
        <v>0</v>
      </c>
      <c r="F33" s="266">
        <f t="shared" si="6"/>
        <v>0</v>
      </c>
      <c r="G33" s="266"/>
      <c r="H33" s="266"/>
      <c r="I33" s="263">
        <f t="shared" si="4"/>
        <v>0</v>
      </c>
    </row>
    <row r="34" spans="1:9" x14ac:dyDescent="0.25">
      <c r="A34" s="319"/>
      <c r="B34" s="317"/>
      <c r="C34" s="318" t="s">
        <v>93</v>
      </c>
      <c r="D34" s="265">
        <v>0</v>
      </c>
      <c r="E34" s="265">
        <v>0</v>
      </c>
      <c r="F34" s="265">
        <f t="shared" si="6"/>
        <v>0</v>
      </c>
      <c r="G34" s="265"/>
      <c r="H34" s="265"/>
      <c r="I34" s="262">
        <f t="shared" si="4"/>
        <v>0</v>
      </c>
    </row>
    <row r="35" spans="1:9" x14ac:dyDescent="0.25">
      <c r="A35" s="319"/>
      <c r="B35" s="317"/>
      <c r="C35" s="318" t="s">
        <v>94</v>
      </c>
      <c r="D35" s="265">
        <v>0</v>
      </c>
      <c r="E35" s="265">
        <v>0</v>
      </c>
      <c r="F35" s="265">
        <f t="shared" si="6"/>
        <v>0</v>
      </c>
      <c r="G35" s="265"/>
      <c r="H35" s="265"/>
      <c r="I35" s="262">
        <f t="shared" si="4"/>
        <v>0</v>
      </c>
    </row>
    <row r="36" spans="1:9" x14ac:dyDescent="0.25">
      <c r="A36" s="319"/>
      <c r="B36" s="491" t="s">
        <v>434</v>
      </c>
      <c r="C36" s="492"/>
      <c r="D36" s="265">
        <v>398014411.31999999</v>
      </c>
      <c r="E36" s="265">
        <v>173564342.15999985</v>
      </c>
      <c r="F36" s="312">
        <f t="shared" si="6"/>
        <v>571578753.47999978</v>
      </c>
      <c r="G36" s="265">
        <v>511401063.61999989</v>
      </c>
      <c r="H36" s="265">
        <v>511401063.61999989</v>
      </c>
      <c r="I36" s="313">
        <f t="shared" si="4"/>
        <v>113386652.29999989</v>
      </c>
    </row>
    <row r="37" spans="1:9" x14ac:dyDescent="0.25">
      <c r="A37" s="319"/>
      <c r="B37" s="482" t="s">
        <v>95</v>
      </c>
      <c r="C37" s="483"/>
      <c r="D37" s="262">
        <f t="shared" ref="D37:I37" si="7">SUM(D38)</f>
        <v>0</v>
      </c>
      <c r="E37" s="262">
        <f t="shared" si="7"/>
        <v>0</v>
      </c>
      <c r="F37" s="262">
        <f t="shared" si="7"/>
        <v>0</v>
      </c>
      <c r="G37" s="262">
        <f t="shared" si="7"/>
        <v>0</v>
      </c>
      <c r="H37" s="262">
        <f t="shared" si="7"/>
        <v>0</v>
      </c>
      <c r="I37" s="262">
        <f t="shared" si="7"/>
        <v>0</v>
      </c>
    </row>
    <row r="38" spans="1:9" x14ac:dyDescent="0.25">
      <c r="A38" s="319"/>
      <c r="B38" s="317"/>
      <c r="C38" s="318" t="s">
        <v>96</v>
      </c>
      <c r="D38" s="265">
        <v>0</v>
      </c>
      <c r="E38" s="265"/>
      <c r="F38" s="265">
        <f>+D38+E38</f>
        <v>0</v>
      </c>
      <c r="G38" s="265"/>
      <c r="H38" s="265"/>
      <c r="I38" s="262">
        <f>+H38-D38</f>
        <v>0</v>
      </c>
    </row>
    <row r="39" spans="1:9" x14ac:dyDescent="0.25">
      <c r="A39" s="319"/>
      <c r="B39" s="482" t="s">
        <v>97</v>
      </c>
      <c r="C39" s="483"/>
      <c r="D39" s="262">
        <f t="shared" ref="D39:I39" si="8">SUM(D40:D41)</f>
        <v>0</v>
      </c>
      <c r="E39" s="262">
        <f t="shared" si="8"/>
        <v>0</v>
      </c>
      <c r="F39" s="262">
        <f t="shared" si="8"/>
        <v>0</v>
      </c>
      <c r="G39" s="262">
        <f t="shared" si="8"/>
        <v>0</v>
      </c>
      <c r="H39" s="262">
        <f t="shared" si="8"/>
        <v>0</v>
      </c>
      <c r="I39" s="262">
        <f t="shared" si="8"/>
        <v>0</v>
      </c>
    </row>
    <row r="40" spans="1:9" x14ac:dyDescent="0.25">
      <c r="A40" s="319"/>
      <c r="B40" s="317"/>
      <c r="C40" s="318" t="s">
        <v>98</v>
      </c>
      <c r="D40" s="265">
        <v>0</v>
      </c>
      <c r="E40" s="265">
        <v>0</v>
      </c>
      <c r="F40" s="265">
        <f>+D40+E40</f>
        <v>0</v>
      </c>
      <c r="G40" s="265"/>
      <c r="H40" s="265"/>
      <c r="I40" s="262">
        <f>H40-D40</f>
        <v>0</v>
      </c>
    </row>
    <row r="41" spans="1:9" x14ac:dyDescent="0.25">
      <c r="A41" s="319"/>
      <c r="B41" s="317"/>
      <c r="C41" s="318" t="s">
        <v>99</v>
      </c>
      <c r="D41" s="265">
        <v>0</v>
      </c>
      <c r="E41" s="265">
        <v>0</v>
      </c>
      <c r="F41" s="265">
        <f>+D41+E41</f>
        <v>0</v>
      </c>
      <c r="G41" s="265"/>
      <c r="H41" s="265"/>
      <c r="I41" s="262">
        <f>H41-D41</f>
        <v>0</v>
      </c>
    </row>
    <row r="42" spans="1:9" ht="8.25" customHeight="1" x14ac:dyDescent="0.25">
      <c r="A42" s="319"/>
      <c r="B42" s="317"/>
      <c r="C42" s="318"/>
      <c r="D42" s="262"/>
      <c r="E42" s="262"/>
      <c r="F42" s="262"/>
      <c r="G42" s="262"/>
      <c r="H42" s="262"/>
      <c r="I42" s="262"/>
    </row>
    <row r="43" spans="1:9" ht="15" customHeight="1" x14ac:dyDescent="0.25">
      <c r="A43" s="326" t="s">
        <v>100</v>
      </c>
      <c r="B43" s="250"/>
      <c r="C43" s="261"/>
      <c r="D43" s="489">
        <f>+D10+D11+D12+D13+D14+D15+D16+D17+D30+D36+D37+D39</f>
        <v>667667131.31859541</v>
      </c>
      <c r="E43" s="489">
        <f t="shared" ref="E43:I43" si="9">+E10+E11+E12+E13+E14+E15+E16+E17+E30+E36+E37+E39</f>
        <v>244542633.19999987</v>
      </c>
      <c r="F43" s="489">
        <f t="shared" si="9"/>
        <v>912209764.51859522</v>
      </c>
      <c r="G43" s="489">
        <f t="shared" si="9"/>
        <v>847726059.08999991</v>
      </c>
      <c r="H43" s="489">
        <f t="shared" si="9"/>
        <v>761610809.50999987</v>
      </c>
      <c r="I43" s="489">
        <f t="shared" si="9"/>
        <v>93943678.191404432</v>
      </c>
    </row>
    <row r="44" spans="1:9" x14ac:dyDescent="0.25">
      <c r="A44" s="326" t="s">
        <v>101</v>
      </c>
      <c r="B44" s="250"/>
      <c r="C44" s="261"/>
      <c r="D44" s="489"/>
      <c r="E44" s="489"/>
      <c r="F44" s="489"/>
      <c r="G44" s="489"/>
      <c r="H44" s="489"/>
      <c r="I44" s="489"/>
    </row>
    <row r="45" spans="1:9" ht="8.25" customHeight="1" x14ac:dyDescent="0.25">
      <c r="A45" s="327"/>
      <c r="B45" s="320"/>
      <c r="C45" s="321"/>
      <c r="D45" s="489"/>
      <c r="E45" s="489"/>
      <c r="F45" s="489"/>
      <c r="G45" s="489"/>
      <c r="H45" s="489"/>
      <c r="I45" s="489"/>
    </row>
    <row r="46" spans="1:9" x14ac:dyDescent="0.25">
      <c r="A46" s="479" t="s">
        <v>102</v>
      </c>
      <c r="B46" s="480"/>
      <c r="C46" s="481"/>
      <c r="D46" s="267"/>
      <c r="E46" s="267"/>
      <c r="F46" s="267"/>
      <c r="G46" s="267"/>
      <c r="H46" s="267"/>
      <c r="I46" s="262">
        <f>IF(($H$43-$D$43)&lt;=0," ",$H$43-$D$43)</f>
        <v>93943678.191404462</v>
      </c>
    </row>
    <row r="47" spans="1:9" ht="11.25" customHeight="1" x14ac:dyDescent="0.25">
      <c r="A47" s="319"/>
      <c r="B47" s="317"/>
      <c r="C47" s="318"/>
      <c r="D47" s="262"/>
      <c r="E47" s="262"/>
      <c r="F47" s="262"/>
      <c r="G47" s="262"/>
      <c r="H47" s="262"/>
      <c r="I47" s="262"/>
    </row>
    <row r="48" spans="1:9" x14ac:dyDescent="0.25">
      <c r="A48" s="479" t="s">
        <v>103</v>
      </c>
      <c r="B48" s="480"/>
      <c r="C48" s="481"/>
      <c r="D48" s="262"/>
      <c r="E48" s="262"/>
      <c r="F48" s="262"/>
      <c r="G48" s="262"/>
      <c r="H48" s="262"/>
      <c r="I48" s="262"/>
    </row>
    <row r="49" spans="1:9" x14ac:dyDescent="0.25">
      <c r="A49" s="319"/>
      <c r="B49" s="482" t="s">
        <v>104</v>
      </c>
      <c r="C49" s="483"/>
      <c r="D49" s="262">
        <f t="shared" ref="D49:I49" si="10">SUM(D50:D57)</f>
        <v>0</v>
      </c>
      <c r="E49" s="262">
        <f t="shared" si="10"/>
        <v>0</v>
      </c>
      <c r="F49" s="262">
        <f t="shared" si="10"/>
        <v>0</v>
      </c>
      <c r="G49" s="262">
        <f t="shared" si="10"/>
        <v>0</v>
      </c>
      <c r="H49" s="262">
        <f t="shared" si="10"/>
        <v>0</v>
      </c>
      <c r="I49" s="262">
        <f t="shared" si="10"/>
        <v>0</v>
      </c>
    </row>
    <row r="50" spans="1:9" x14ac:dyDescent="0.25">
      <c r="A50" s="319"/>
      <c r="B50" s="317"/>
      <c r="C50" s="318" t="s">
        <v>105</v>
      </c>
      <c r="D50" s="265">
        <v>0</v>
      </c>
      <c r="E50" s="265">
        <v>0</v>
      </c>
      <c r="F50" s="265">
        <f t="shared" ref="F50:F78" si="11">+D50+E50</f>
        <v>0</v>
      </c>
      <c r="G50" s="265">
        <v>0</v>
      </c>
      <c r="H50" s="265">
        <v>0</v>
      </c>
      <c r="I50" s="262">
        <f>H50-D50</f>
        <v>0</v>
      </c>
    </row>
    <row r="51" spans="1:9" x14ac:dyDescent="0.25">
      <c r="A51" s="319"/>
      <c r="B51" s="317"/>
      <c r="C51" s="318" t="s">
        <v>106</v>
      </c>
      <c r="D51" s="265">
        <v>0</v>
      </c>
      <c r="E51" s="265"/>
      <c r="F51" s="265">
        <f t="shared" si="11"/>
        <v>0</v>
      </c>
      <c r="G51" s="265"/>
      <c r="H51" s="265"/>
      <c r="I51" s="262">
        <f t="shared" ref="I51:I62" si="12">H51-D51</f>
        <v>0</v>
      </c>
    </row>
    <row r="52" spans="1:9" x14ac:dyDescent="0.25">
      <c r="A52" s="319"/>
      <c r="B52" s="317"/>
      <c r="C52" s="318" t="s">
        <v>107</v>
      </c>
      <c r="D52" s="265">
        <v>0</v>
      </c>
      <c r="E52" s="265"/>
      <c r="F52" s="265">
        <f t="shared" si="11"/>
        <v>0</v>
      </c>
      <c r="G52" s="265"/>
      <c r="H52" s="265"/>
      <c r="I52" s="262">
        <f t="shared" si="12"/>
        <v>0</v>
      </c>
    </row>
    <row r="53" spans="1:9" ht="19.5" x14ac:dyDescent="0.25">
      <c r="A53" s="319"/>
      <c r="B53" s="317"/>
      <c r="C53" s="322" t="s">
        <v>108</v>
      </c>
      <c r="D53" s="265">
        <v>0</v>
      </c>
      <c r="E53" s="265"/>
      <c r="F53" s="265">
        <f t="shared" si="11"/>
        <v>0</v>
      </c>
      <c r="G53" s="265"/>
      <c r="H53" s="265"/>
      <c r="I53" s="262">
        <f t="shared" si="12"/>
        <v>0</v>
      </c>
    </row>
    <row r="54" spans="1:9" x14ac:dyDescent="0.25">
      <c r="A54" s="319"/>
      <c r="B54" s="317"/>
      <c r="C54" s="318" t="s">
        <v>109</v>
      </c>
      <c r="D54" s="265">
        <v>0</v>
      </c>
      <c r="E54" s="265">
        <v>0</v>
      </c>
      <c r="F54" s="265">
        <f t="shared" si="11"/>
        <v>0</v>
      </c>
      <c r="G54" s="265">
        <v>0</v>
      </c>
      <c r="H54" s="265">
        <v>0</v>
      </c>
      <c r="I54" s="262">
        <f t="shared" si="12"/>
        <v>0</v>
      </c>
    </row>
    <row r="55" spans="1:9" x14ac:dyDescent="0.25">
      <c r="A55" s="319"/>
      <c r="B55" s="317"/>
      <c r="C55" s="318" t="s">
        <v>110</v>
      </c>
      <c r="D55" s="265">
        <v>0</v>
      </c>
      <c r="E55" s="265"/>
      <c r="F55" s="265">
        <f t="shared" si="11"/>
        <v>0</v>
      </c>
      <c r="G55" s="265"/>
      <c r="H55" s="265"/>
      <c r="I55" s="262">
        <f t="shared" si="12"/>
        <v>0</v>
      </c>
    </row>
    <row r="56" spans="1:9" ht="19.5" x14ac:dyDescent="0.25">
      <c r="A56" s="319"/>
      <c r="B56" s="317"/>
      <c r="C56" s="322" t="s">
        <v>111</v>
      </c>
      <c r="D56" s="265">
        <v>0</v>
      </c>
      <c r="E56" s="265"/>
      <c r="F56" s="265">
        <f t="shared" si="11"/>
        <v>0</v>
      </c>
      <c r="G56" s="265"/>
      <c r="H56" s="265"/>
      <c r="I56" s="262">
        <f t="shared" si="12"/>
        <v>0</v>
      </c>
    </row>
    <row r="57" spans="1:9" ht="19.5" x14ac:dyDescent="0.25">
      <c r="A57" s="319"/>
      <c r="B57" s="317"/>
      <c r="C57" s="322" t="s">
        <v>112</v>
      </c>
      <c r="D57" s="265">
        <v>0</v>
      </c>
      <c r="E57" s="265"/>
      <c r="F57" s="265">
        <f t="shared" si="11"/>
        <v>0</v>
      </c>
      <c r="G57" s="265"/>
      <c r="H57" s="265"/>
      <c r="I57" s="262">
        <f t="shared" si="12"/>
        <v>0</v>
      </c>
    </row>
    <row r="58" spans="1:9" x14ac:dyDescent="0.25">
      <c r="A58" s="319"/>
      <c r="B58" s="482" t="s">
        <v>113</v>
      </c>
      <c r="C58" s="483"/>
      <c r="D58" s="262">
        <f t="shared" ref="D58:I58" si="13">SUM(D59:D62)</f>
        <v>115000000</v>
      </c>
      <c r="E58" s="262">
        <f t="shared" si="13"/>
        <v>2114900000</v>
      </c>
      <c r="F58" s="262">
        <f t="shared" si="13"/>
        <v>2229900000</v>
      </c>
      <c r="G58" s="262">
        <f t="shared" si="13"/>
        <v>2171637081.6399999</v>
      </c>
      <c r="H58" s="262">
        <f t="shared" si="13"/>
        <v>2171637081.6399999</v>
      </c>
      <c r="I58" s="262">
        <f t="shared" si="13"/>
        <v>2056637081.6399999</v>
      </c>
    </row>
    <row r="59" spans="1:9" x14ac:dyDescent="0.25">
      <c r="A59" s="319"/>
      <c r="B59" s="317"/>
      <c r="C59" s="318" t="s">
        <v>114</v>
      </c>
      <c r="D59" s="265">
        <v>0</v>
      </c>
      <c r="E59" s="265"/>
      <c r="F59" s="265">
        <f t="shared" si="11"/>
        <v>0</v>
      </c>
      <c r="G59" s="265"/>
      <c r="H59" s="265"/>
      <c r="I59" s="262">
        <f t="shared" si="12"/>
        <v>0</v>
      </c>
    </row>
    <row r="60" spans="1:9" x14ac:dyDescent="0.25">
      <c r="A60" s="319"/>
      <c r="B60" s="317"/>
      <c r="C60" s="318" t="s">
        <v>115</v>
      </c>
      <c r="D60" s="265">
        <v>0</v>
      </c>
      <c r="E60" s="265"/>
      <c r="F60" s="265">
        <v>0</v>
      </c>
      <c r="G60" s="265"/>
      <c r="H60" s="265"/>
      <c r="I60" s="262">
        <f t="shared" si="12"/>
        <v>0</v>
      </c>
    </row>
    <row r="61" spans="1:9" x14ac:dyDescent="0.25">
      <c r="A61" s="319"/>
      <c r="B61" s="317"/>
      <c r="C61" s="318" t="s">
        <v>116</v>
      </c>
      <c r="D61" s="265">
        <v>0</v>
      </c>
      <c r="E61" s="265"/>
      <c r="F61" s="265">
        <v>0</v>
      </c>
      <c r="G61" s="265"/>
      <c r="H61" s="265"/>
      <c r="I61" s="262">
        <f t="shared" si="12"/>
        <v>0</v>
      </c>
    </row>
    <row r="62" spans="1:9" x14ac:dyDescent="0.25">
      <c r="A62" s="319"/>
      <c r="B62" s="317"/>
      <c r="C62" s="318" t="s">
        <v>117</v>
      </c>
      <c r="D62" s="265">
        <v>115000000</v>
      </c>
      <c r="E62" s="265">
        <v>2114900000</v>
      </c>
      <c r="F62" s="265">
        <f>+D62+E62</f>
        <v>2229900000</v>
      </c>
      <c r="G62" s="265">
        <v>2171637081.6399999</v>
      </c>
      <c r="H62" s="265">
        <v>2171637081.6399999</v>
      </c>
      <c r="I62" s="262">
        <f t="shared" si="12"/>
        <v>2056637081.6399999</v>
      </c>
    </row>
    <row r="63" spans="1:9" x14ac:dyDescent="0.25">
      <c r="A63" s="319"/>
      <c r="B63" s="482" t="s">
        <v>118</v>
      </c>
      <c r="C63" s="483"/>
      <c r="D63" s="262">
        <f t="shared" ref="D63:I63" si="14">SUM(D64:D65)</f>
        <v>0</v>
      </c>
      <c r="E63" s="262">
        <f t="shared" si="14"/>
        <v>10230926</v>
      </c>
      <c r="F63" s="262">
        <f t="shared" si="14"/>
        <v>10230926</v>
      </c>
      <c r="G63" s="262">
        <f t="shared" si="14"/>
        <v>10230926</v>
      </c>
      <c r="H63" s="262">
        <f t="shared" si="14"/>
        <v>10230926</v>
      </c>
      <c r="I63" s="262">
        <f t="shared" si="14"/>
        <v>10230926</v>
      </c>
    </row>
    <row r="64" spans="1:9" ht="20.25" thickBot="1" x14ac:dyDescent="0.3">
      <c r="A64" s="249"/>
      <c r="B64" s="284"/>
      <c r="C64" s="285" t="s">
        <v>119</v>
      </c>
      <c r="D64" s="266">
        <v>0</v>
      </c>
      <c r="E64" s="266">
        <v>0</v>
      </c>
      <c r="F64" s="266">
        <f t="shared" si="11"/>
        <v>0</v>
      </c>
      <c r="G64" s="266">
        <v>0</v>
      </c>
      <c r="H64" s="266">
        <v>0</v>
      </c>
      <c r="I64" s="263">
        <f>H64-D64</f>
        <v>0</v>
      </c>
    </row>
    <row r="65" spans="1:10" x14ac:dyDescent="0.25">
      <c r="A65" s="319"/>
      <c r="B65" s="317"/>
      <c r="C65" s="322" t="s">
        <v>120</v>
      </c>
      <c r="D65" s="265">
        <v>0</v>
      </c>
      <c r="E65" s="265">
        <v>10230926</v>
      </c>
      <c r="F65" s="312">
        <v>10230926</v>
      </c>
      <c r="G65" s="265">
        <v>10230926</v>
      </c>
      <c r="H65" s="265">
        <v>10230926</v>
      </c>
      <c r="I65" s="262">
        <f>H65-D65</f>
        <v>10230926</v>
      </c>
    </row>
    <row r="66" spans="1:10" x14ac:dyDescent="0.25">
      <c r="A66" s="319"/>
      <c r="B66" s="482" t="s">
        <v>438</v>
      </c>
      <c r="C66" s="483"/>
      <c r="D66" s="265">
        <v>0</v>
      </c>
      <c r="E66" s="265">
        <v>0</v>
      </c>
      <c r="F66" s="265">
        <f t="shared" si="11"/>
        <v>0</v>
      </c>
      <c r="G66" s="265">
        <v>0</v>
      </c>
      <c r="H66" s="265">
        <v>0</v>
      </c>
      <c r="I66" s="262">
        <f>H66-D66</f>
        <v>0</v>
      </c>
    </row>
    <row r="67" spans="1:10" x14ac:dyDescent="0.25">
      <c r="A67" s="319"/>
      <c r="B67" s="482" t="s">
        <v>121</v>
      </c>
      <c r="C67" s="483"/>
      <c r="D67" s="265">
        <v>0</v>
      </c>
      <c r="E67" s="265">
        <v>0</v>
      </c>
      <c r="F67" s="265">
        <f t="shared" si="11"/>
        <v>0</v>
      </c>
      <c r="G67" s="265">
        <v>0</v>
      </c>
      <c r="H67" s="265">
        <v>0</v>
      </c>
      <c r="I67" s="262">
        <f>H67-D67</f>
        <v>0</v>
      </c>
    </row>
    <row r="68" spans="1:10" ht="8.25" customHeight="1" x14ac:dyDescent="0.25">
      <c r="A68" s="319"/>
      <c r="B68" s="482"/>
      <c r="C68" s="483"/>
      <c r="D68" s="262"/>
      <c r="E68" s="262"/>
      <c r="F68" s="262" t="s">
        <v>38</v>
      </c>
      <c r="G68" s="262"/>
      <c r="H68" s="262"/>
      <c r="I68" s="262"/>
    </row>
    <row r="69" spans="1:10" x14ac:dyDescent="0.25">
      <c r="A69" s="486" t="s">
        <v>122</v>
      </c>
      <c r="B69" s="487"/>
      <c r="C69" s="488"/>
      <c r="D69" s="264">
        <f t="shared" ref="D69:I69" si="15">+D49+D58+D63+D66+D67</f>
        <v>115000000</v>
      </c>
      <c r="E69" s="264">
        <f t="shared" si="15"/>
        <v>2125130926</v>
      </c>
      <c r="F69" s="264">
        <f t="shared" si="15"/>
        <v>2240130926</v>
      </c>
      <c r="G69" s="264">
        <f t="shared" si="15"/>
        <v>2181868007.6399999</v>
      </c>
      <c r="H69" s="264">
        <f t="shared" si="15"/>
        <v>2181868007.6399999</v>
      </c>
      <c r="I69" s="264">
        <f t="shared" si="15"/>
        <v>2066868007.6399999</v>
      </c>
    </row>
    <row r="70" spans="1:10" ht="6" customHeight="1" x14ac:dyDescent="0.25">
      <c r="A70" s="319"/>
      <c r="B70" s="482"/>
      <c r="C70" s="483"/>
      <c r="D70" s="262"/>
      <c r="E70" s="262"/>
      <c r="F70" s="262" t="s">
        <v>38</v>
      </c>
      <c r="G70" s="262"/>
      <c r="H70" s="262"/>
      <c r="I70" s="262"/>
    </row>
    <row r="71" spans="1:10" x14ac:dyDescent="0.25">
      <c r="A71" s="479" t="s">
        <v>123</v>
      </c>
      <c r="B71" s="480"/>
      <c r="C71" s="481"/>
      <c r="D71" s="264">
        <f t="shared" ref="D71:I71" si="16">SUM(D72)</f>
        <v>0</v>
      </c>
      <c r="E71" s="264">
        <f t="shared" si="16"/>
        <v>0</v>
      </c>
      <c r="F71" s="264">
        <f t="shared" si="16"/>
        <v>0</v>
      </c>
      <c r="G71" s="264">
        <f t="shared" si="16"/>
        <v>0</v>
      </c>
      <c r="H71" s="264">
        <f t="shared" si="16"/>
        <v>0</v>
      </c>
      <c r="I71" s="264">
        <f t="shared" si="16"/>
        <v>0</v>
      </c>
    </row>
    <row r="72" spans="1:10" x14ac:dyDescent="0.25">
      <c r="A72" s="319"/>
      <c r="B72" s="482" t="s">
        <v>124</v>
      </c>
      <c r="C72" s="483"/>
      <c r="D72" s="265">
        <v>0</v>
      </c>
      <c r="E72" s="265"/>
      <c r="F72" s="265" t="s">
        <v>38</v>
      </c>
      <c r="G72" s="265"/>
      <c r="H72" s="265">
        <v>0</v>
      </c>
      <c r="I72" s="262">
        <f>H72-D72</f>
        <v>0</v>
      </c>
    </row>
    <row r="73" spans="1:10" ht="7.5" customHeight="1" x14ac:dyDescent="0.25">
      <c r="A73" s="319"/>
      <c r="B73" s="482"/>
      <c r="C73" s="483"/>
      <c r="D73" s="262"/>
      <c r="E73" s="262"/>
      <c r="F73" s="262" t="s">
        <v>38</v>
      </c>
      <c r="G73" s="262"/>
      <c r="H73" s="262"/>
      <c r="I73" s="262"/>
    </row>
    <row r="74" spans="1:10" x14ac:dyDescent="0.25">
      <c r="A74" s="479" t="s">
        <v>125</v>
      </c>
      <c r="B74" s="480"/>
      <c r="C74" s="481"/>
      <c r="D74" s="264">
        <f t="shared" ref="D74:I74" si="17">+D43+D69+D71</f>
        <v>782667131.31859541</v>
      </c>
      <c r="E74" s="264">
        <f t="shared" si="17"/>
        <v>2369673559.1999998</v>
      </c>
      <c r="F74" s="264">
        <f t="shared" si="17"/>
        <v>3152340690.5185952</v>
      </c>
      <c r="G74" s="264">
        <f t="shared" si="17"/>
        <v>3029594066.7299995</v>
      </c>
      <c r="H74" s="264">
        <f t="shared" si="17"/>
        <v>2943478817.1499996</v>
      </c>
      <c r="I74" s="264">
        <f t="shared" si="17"/>
        <v>2160811685.8314042</v>
      </c>
    </row>
    <row r="75" spans="1:10" ht="6" customHeight="1" x14ac:dyDescent="0.25">
      <c r="A75" s="319"/>
      <c r="B75" s="482"/>
      <c r="C75" s="483"/>
      <c r="D75" s="262"/>
      <c r="E75" s="262"/>
      <c r="F75" s="262" t="s">
        <v>38</v>
      </c>
      <c r="G75" s="262"/>
      <c r="H75" s="262"/>
      <c r="I75" s="262"/>
    </row>
    <row r="76" spans="1:10" x14ac:dyDescent="0.25">
      <c r="A76" s="319"/>
      <c r="B76" s="480" t="s">
        <v>126</v>
      </c>
      <c r="C76" s="481"/>
      <c r="D76" s="262"/>
      <c r="E76" s="262"/>
      <c r="F76" s="262" t="s">
        <v>38</v>
      </c>
      <c r="G76" s="262"/>
      <c r="H76" s="262"/>
      <c r="I76" s="262"/>
    </row>
    <row r="77" spans="1:10" ht="21.75" customHeight="1" x14ac:dyDescent="0.25">
      <c r="A77" s="319"/>
      <c r="B77" s="484" t="s">
        <v>127</v>
      </c>
      <c r="C77" s="485"/>
      <c r="D77" s="265">
        <v>0</v>
      </c>
      <c r="E77" s="265">
        <v>0</v>
      </c>
      <c r="F77" s="265">
        <f t="shared" si="11"/>
        <v>0</v>
      </c>
      <c r="G77" s="265">
        <v>0</v>
      </c>
      <c r="H77" s="265">
        <v>0</v>
      </c>
      <c r="I77" s="262">
        <f t="shared" ref="I77:I78" si="18">H77-D77</f>
        <v>0</v>
      </c>
    </row>
    <row r="78" spans="1:10" ht="22.5" customHeight="1" x14ac:dyDescent="0.25">
      <c r="A78" s="319"/>
      <c r="B78" s="484" t="s">
        <v>128</v>
      </c>
      <c r="C78" s="485"/>
      <c r="D78" s="265">
        <v>0</v>
      </c>
      <c r="E78" s="265">
        <v>0</v>
      </c>
      <c r="F78" s="265">
        <f t="shared" si="11"/>
        <v>0</v>
      </c>
      <c r="G78" s="265">
        <v>0</v>
      </c>
      <c r="H78" s="265">
        <v>0</v>
      </c>
      <c r="I78" s="262">
        <f t="shared" si="18"/>
        <v>0</v>
      </c>
    </row>
    <row r="79" spans="1:10" x14ac:dyDescent="0.25">
      <c r="A79" s="319"/>
      <c r="B79" s="480" t="s">
        <v>129</v>
      </c>
      <c r="C79" s="481"/>
      <c r="D79" s="264">
        <f t="shared" ref="D79:I79" si="19">+D77+D78</f>
        <v>0</v>
      </c>
      <c r="E79" s="264">
        <f t="shared" si="19"/>
        <v>0</v>
      </c>
      <c r="F79" s="264">
        <f t="shared" si="19"/>
        <v>0</v>
      </c>
      <c r="G79" s="264">
        <f t="shared" si="19"/>
        <v>0</v>
      </c>
      <c r="H79" s="264">
        <f t="shared" si="19"/>
        <v>0</v>
      </c>
      <c r="I79" s="264">
        <f t="shared" si="19"/>
        <v>0</v>
      </c>
      <c r="J79" s="224" t="str">
        <f>IF(D74&lt;&gt;'ETCA-II-01'!C19,"ERROR!!!!! EL MONTO ESTIMADO NO COINCIDE CON LO REPORTADO EN EL FORMATO ETCA-II-01 EN EL TOTAL DE INGRESOS","")</f>
        <v/>
      </c>
    </row>
    <row r="80" spans="1:10" ht="15.75" thickBot="1" x14ac:dyDescent="0.3">
      <c r="A80" s="248"/>
      <c r="B80" s="477"/>
      <c r="C80" s="478"/>
      <c r="D80" s="263"/>
      <c r="E80" s="263"/>
      <c r="F80" s="263"/>
      <c r="G80" s="263"/>
      <c r="H80" s="263"/>
      <c r="I80" s="263"/>
      <c r="J80" s="224" t="str">
        <f>IF(E74&lt;&gt;'ETCA-II-01'!D19,"ERROR!!!!! EL MONTO NO COINCIDE CON LO REPORTADO EN EL FORMATO ETCA-II-01 EN EL TOTAL DE INGRESOS","")</f>
        <v/>
      </c>
    </row>
    <row r="81" spans="10:10" x14ac:dyDescent="0.25">
      <c r="J81" s="224" t="str">
        <f>IF(F74&lt;&gt;'ETCA-II-01'!E19,"ERROR!!!!! EL MONTO NO COINCIDE CON LO REPORTADO EN EL FORMATO ETCA-II-01 EN EL TOTAL DE INGRESOS","")</f>
        <v/>
      </c>
    </row>
    <row r="82" spans="10:10" x14ac:dyDescent="0.25">
      <c r="J82" s="224" t="str">
        <f>IF(G74&lt;&gt;'ETCA-II-01'!F19,"ERROR!!!!! EL MONTO NO COINCIDE CON LO REPORTADO EN EL FORMATO ETCA-II-01 EN EL TOTAL DE INGRESOS","")</f>
        <v>ERROR!!!!! EL MONTO NO COINCIDE CON LO REPORTADO EN EL FORMATO ETCA-II-01 EN EL TOTAL DE INGRESOS</v>
      </c>
    </row>
    <row r="83" spans="10:10" x14ac:dyDescent="0.25">
      <c r="J83" s="224" t="str">
        <f>IF(H74&lt;&gt;'ETCA-II-01'!G19,"ERROR!!!!! EL MONTO NO COINCIDE CON LO REPORTADO EN EL FORMATO ETCA-II-01 EN EL TOTAL DE INGRESOS","")</f>
        <v/>
      </c>
    </row>
    <row r="84" spans="10:10" x14ac:dyDescent="0.25">
      <c r="J84" s="224" t="str">
        <f>IF(I74&lt;&gt;'ETCA-II-01'!H19,"ERROR!!!!! EL MONTO NO COINCIDE CON LO REPORTADO EN EL FORMATO ETCA-II-01 EN EL TOTAL DE INGRESOS","")</f>
        <v/>
      </c>
    </row>
    <row r="85" spans="10:10" x14ac:dyDescent="0.25">
      <c r="J85" s="224" t="str">
        <f>IF(D74&lt;&gt;'ETCA-II-01'!C44,"ERROR!!!!! EL MONTO NO COINCIDE CON LO REPORTADO EN EL FORMATO ETCA-II-01 EN EL TOTAL DE INGRESOS","")</f>
        <v/>
      </c>
    </row>
    <row r="86" spans="10:10" x14ac:dyDescent="0.25">
      <c r="J86" s="224" t="str">
        <f>IF(E74&lt;&gt;'ETCA-II-01'!D44,"ERROR!!!!! EL MONTO NO COINCIDE CON LO REPORTADO EN EL FORMATO ETCA-II-01 EN EL TOTAL DE INGRESOS","")</f>
        <v/>
      </c>
    </row>
    <row r="87" spans="10:10" x14ac:dyDescent="0.25">
      <c r="J87" s="224" t="str">
        <f>IF(F74&lt;&gt;'ETCA-II-01'!E44,"ERROR!!!!! EL MONTO NO COINCIDE CON LO REPORTADO EN EL FORMATO ETCA-II-01 EN EL TOTAL DE INGRESOS","")</f>
        <v/>
      </c>
    </row>
    <row r="88" spans="10:10" x14ac:dyDescent="0.25">
      <c r="J88" s="224" t="str">
        <f>IF(G74&lt;&gt;'ETCA-II-01'!F44,"ERROR!!!!! EL MONTO NO COINCIDE CON LO REPORTADO EN EL FORMATO ETCA-II-01 EN EL TOTAL DE INGRESOS","")</f>
        <v>ERROR!!!!! EL MONTO NO COINCIDE CON LO REPORTADO EN EL FORMATO ETCA-II-01 EN EL TOTAL DE INGRESOS</v>
      </c>
    </row>
    <row r="89" spans="10:10" x14ac:dyDescent="0.25">
      <c r="J89" s="224" t="str">
        <f>IF(H74&lt;&gt;'ETCA-II-01'!G44,"ERROR!!!!! EL MONTO NO COINCIDE CON LO REPORTADO EN EL FORMATO ETCA-II-01 EN EL TOTAL DE INGRESOS","")</f>
        <v/>
      </c>
    </row>
    <row r="90" spans="10:10" x14ac:dyDescent="0.25">
      <c r="J90" s="224" t="str">
        <f>IF(I74&lt;&gt;'ETCA-II-01'!H44,"ERROR!!!!! EL MONTO NO COINCIDE CON LO REPORTADO EN EL FORMATO ETCA-II-01 EN EL TOTAL DE INGRESOS","")</f>
        <v/>
      </c>
    </row>
  </sheetData>
  <sheetProtection password="C115" sheet="1" scenarios="1" formatColumns="0" formatRows="0" insertHyperlinks="0"/>
  <mergeCells count="62">
    <mergeCell ref="A4:I4"/>
    <mergeCell ref="A3:I3"/>
    <mergeCell ref="A2:I2"/>
    <mergeCell ref="A1:I1"/>
    <mergeCell ref="A5:C5"/>
    <mergeCell ref="D5:H5"/>
    <mergeCell ref="I5:I7"/>
    <mergeCell ref="A6:C6"/>
    <mergeCell ref="A7:C7"/>
    <mergeCell ref="D6:D7"/>
    <mergeCell ref="E6:E7"/>
    <mergeCell ref="F6:F7"/>
    <mergeCell ref="G6:G7"/>
    <mergeCell ref="H6:H7"/>
    <mergeCell ref="A8:C8"/>
    <mergeCell ref="B16:C16"/>
    <mergeCell ref="A17:A18"/>
    <mergeCell ref="B17:C17"/>
    <mergeCell ref="B18:C18"/>
    <mergeCell ref="B15:C15"/>
    <mergeCell ref="B14:C14"/>
    <mergeCell ref="A9:C9"/>
    <mergeCell ref="B10:C10"/>
    <mergeCell ref="B11:C11"/>
    <mergeCell ref="B12:C12"/>
    <mergeCell ref="B13:C13"/>
    <mergeCell ref="G43:G45"/>
    <mergeCell ref="H43:H45"/>
    <mergeCell ref="I43:I45"/>
    <mergeCell ref="B30:C30"/>
    <mergeCell ref="B36:C36"/>
    <mergeCell ref="G17:G18"/>
    <mergeCell ref="H17:H18"/>
    <mergeCell ref="I17:I18"/>
    <mergeCell ref="D17:D18"/>
    <mergeCell ref="E17:E18"/>
    <mergeCell ref="A46:C46"/>
    <mergeCell ref="B37:C37"/>
    <mergeCell ref="B39:C39"/>
    <mergeCell ref="D43:D45"/>
    <mergeCell ref="F17:F18"/>
    <mergeCell ref="E43:E45"/>
    <mergeCell ref="F43:F45"/>
    <mergeCell ref="B73:C73"/>
    <mergeCell ref="A48:C48"/>
    <mergeCell ref="B49:C49"/>
    <mergeCell ref="B58:C58"/>
    <mergeCell ref="B63:C63"/>
    <mergeCell ref="B66:C66"/>
    <mergeCell ref="B67:C67"/>
    <mergeCell ref="B68:C68"/>
    <mergeCell ref="A69:C69"/>
    <mergeCell ref="B70:C70"/>
    <mergeCell ref="A71:C71"/>
    <mergeCell ref="B72:C72"/>
    <mergeCell ref="B80:C80"/>
    <mergeCell ref="A74:C74"/>
    <mergeCell ref="B75:C75"/>
    <mergeCell ref="B76:C76"/>
    <mergeCell ref="B77:C77"/>
    <mergeCell ref="B78:C78"/>
    <mergeCell ref="B79:C79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r:id="rId1"/>
  <rowBreaks count="1" manualBreakCount="1">
    <brk id="33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1">
    <tabColor theme="0" tint="-0.249977111117893"/>
    <pageSetUpPr fitToPage="1"/>
  </sheetPr>
  <dimension ref="A1:E26"/>
  <sheetViews>
    <sheetView view="pageBreakPreview" zoomScale="120" zoomScaleSheetLayoutView="120" workbookViewId="0">
      <selection activeCell="A11" sqref="A10:O16"/>
    </sheetView>
  </sheetViews>
  <sheetFormatPr baseColWidth="10" defaultColWidth="11.28515625" defaultRowHeight="16.5" x14ac:dyDescent="0.25"/>
  <cols>
    <col min="1" max="1" width="1.28515625" style="8" customWidth="1"/>
    <col min="2" max="2" width="43.85546875" style="8" customWidth="1"/>
    <col min="3" max="4" width="25.7109375" style="8" customWidth="1"/>
    <col min="5" max="5" width="62" style="1" customWidth="1"/>
    <col min="6" max="16384" width="11.28515625" style="8"/>
  </cols>
  <sheetData>
    <row r="1" spans="1:5" x14ac:dyDescent="0.25">
      <c r="A1" s="447" t="e">
        <f>#REF!</f>
        <v>#REF!</v>
      </c>
      <c r="B1" s="447"/>
      <c r="C1" s="447"/>
      <c r="D1" s="447"/>
    </row>
    <row r="2" spans="1:5" s="9" customFormat="1" ht="15.75" x14ac:dyDescent="0.25">
      <c r="A2" s="447" t="s">
        <v>130</v>
      </c>
      <c r="B2" s="447"/>
      <c r="C2" s="447"/>
      <c r="D2" s="447"/>
      <c r="E2" s="166"/>
    </row>
    <row r="3" spans="1:5" s="9" customFormat="1" x14ac:dyDescent="0.25">
      <c r="A3" s="448" t="e">
        <f>#REF!</f>
        <v>#REF!</v>
      </c>
      <c r="B3" s="448"/>
      <c r="C3" s="448"/>
      <c r="D3" s="448"/>
      <c r="E3" s="2"/>
    </row>
    <row r="4" spans="1:5" s="11" customFormat="1" ht="17.25" thickBot="1" x14ac:dyDescent="0.3">
      <c r="A4" s="10"/>
      <c r="B4" s="449" t="s">
        <v>449</v>
      </c>
      <c r="C4" s="449"/>
      <c r="D4" s="6"/>
      <c r="E4" s="167"/>
    </row>
    <row r="5" spans="1:5" s="12" customFormat="1" ht="27" customHeight="1" thickBot="1" x14ac:dyDescent="0.3">
      <c r="A5" s="516" t="s">
        <v>415</v>
      </c>
      <c r="B5" s="517"/>
      <c r="C5" s="59"/>
      <c r="D5" s="60">
        <f>'ETCA-II-01'!F19</f>
        <v>3029594066.71</v>
      </c>
      <c r="E5" s="168" t="str">
        <f>IF(D5&lt;&gt;'ETCA-II-01'!F44,"ERROR!!!!! EL MONTO NO COINCIDE CON LO REPORTADO EN EL FORMATO ETCA-II-01 EN EL TOTAL DEVENGADO DEL ANALÍTICO DE INGRESOS","")</f>
        <v/>
      </c>
    </row>
    <row r="6" spans="1:5" s="53" customFormat="1" ht="9.75" customHeight="1" x14ac:dyDescent="0.25">
      <c r="A6" s="72"/>
      <c r="B6" s="51"/>
      <c r="C6" s="52"/>
      <c r="D6" s="74"/>
      <c r="E6" s="169"/>
    </row>
    <row r="7" spans="1:5" s="53" customFormat="1" ht="17.25" customHeight="1" thickBot="1" x14ac:dyDescent="0.3">
      <c r="A7" s="73"/>
      <c r="B7" s="54"/>
      <c r="C7" s="55"/>
      <c r="D7" s="75"/>
      <c r="E7" s="168"/>
    </row>
    <row r="8" spans="1:5" ht="20.100000000000001" customHeight="1" thickBot="1" x14ac:dyDescent="0.3">
      <c r="A8" s="61" t="s">
        <v>416</v>
      </c>
      <c r="B8" s="62"/>
      <c r="C8" s="63"/>
      <c r="D8" s="64">
        <f>SUM(C9:C14)</f>
        <v>0</v>
      </c>
      <c r="E8" s="168"/>
    </row>
    <row r="9" spans="1:5" ht="20.100000000000001" customHeight="1" x14ac:dyDescent="0.2">
      <c r="A9" s="13"/>
      <c r="B9" s="81" t="s">
        <v>413</v>
      </c>
      <c r="C9" s="65"/>
      <c r="D9" s="170"/>
      <c r="E9" s="175" t="e">
        <f>IF(C9&lt;&gt;#REF!,"ERROR!!!, NO COINCIDEN LOS MONTOS CON LO REPORTADO EN EL FORMATO ETCA-I-03","")</f>
        <v>#REF!</v>
      </c>
    </row>
    <row r="10" spans="1:5" ht="20.100000000000001" customHeight="1" x14ac:dyDescent="0.2">
      <c r="A10" s="13"/>
      <c r="B10" s="82" t="s">
        <v>11</v>
      </c>
      <c r="C10" s="65"/>
      <c r="D10" s="170"/>
      <c r="E10" s="175"/>
    </row>
    <row r="11" spans="1:5" ht="33" customHeight="1" x14ac:dyDescent="0.2">
      <c r="A11" s="13"/>
      <c r="B11" s="82" t="s">
        <v>12</v>
      </c>
      <c r="C11" s="65"/>
      <c r="D11" s="170"/>
      <c r="E11" s="175" t="e">
        <f>IF(C11&lt;&gt;#REF!,"ERROR!!!, NO COINCIDEN LOS MONTOS CON LO REPORTADO EN EL FORMATO ETCA-I-03","")</f>
        <v>#REF!</v>
      </c>
    </row>
    <row r="12" spans="1:5" ht="20.100000000000001" customHeight="1" x14ac:dyDescent="0.2">
      <c r="A12" s="14"/>
      <c r="B12" s="82" t="s">
        <v>13</v>
      </c>
      <c r="C12" s="65"/>
      <c r="D12" s="170"/>
      <c r="E12" s="175" t="e">
        <f>IF(C12&lt;&gt;#REF!,"ERROR!!!, NO COINCIDEN LOS MONTOS CON LO REPORTADO EN EL FORMATO ETCA-I-03","")</f>
        <v>#REF!</v>
      </c>
    </row>
    <row r="13" spans="1:5" ht="20.100000000000001" customHeight="1" x14ac:dyDescent="0.2">
      <c r="A13" s="14"/>
      <c r="B13" s="82" t="s">
        <v>14</v>
      </c>
      <c r="C13" s="65"/>
      <c r="D13" s="170"/>
      <c r="E13" s="175"/>
    </row>
    <row r="14" spans="1:5" ht="24.75" customHeight="1" thickBot="1" x14ac:dyDescent="0.3">
      <c r="A14" s="56" t="s">
        <v>439</v>
      </c>
      <c r="B14" s="85"/>
      <c r="C14" s="66"/>
      <c r="D14" s="171"/>
      <c r="E14" s="168"/>
    </row>
    <row r="15" spans="1:5" ht="7.5" customHeight="1" x14ac:dyDescent="0.25">
      <c r="A15" s="86"/>
      <c r="B15" s="76"/>
      <c r="C15" s="77"/>
      <c r="D15" s="78"/>
      <c r="E15" s="168"/>
    </row>
    <row r="16" spans="1:5" ht="20.100000000000001" customHeight="1" thickBot="1" x14ac:dyDescent="0.3">
      <c r="A16" s="87"/>
      <c r="B16" s="79"/>
      <c r="C16" s="80"/>
      <c r="D16" s="57"/>
      <c r="E16" s="168"/>
    </row>
    <row r="17" spans="1:5" ht="20.100000000000001" customHeight="1" thickBot="1" x14ac:dyDescent="0.3">
      <c r="A17" s="61" t="s">
        <v>417</v>
      </c>
      <c r="B17" s="62"/>
      <c r="C17" s="63"/>
      <c r="D17" s="64">
        <f>SUM(C18:C21)</f>
        <v>0</v>
      </c>
      <c r="E17" s="168"/>
    </row>
    <row r="18" spans="1:5" ht="20.100000000000001" customHeight="1" x14ac:dyDescent="0.25">
      <c r="A18" s="14"/>
      <c r="B18" s="81" t="s">
        <v>414</v>
      </c>
      <c r="C18" s="67"/>
      <c r="D18" s="170"/>
      <c r="E18" s="168"/>
    </row>
    <row r="19" spans="1:5" ht="20.100000000000001" customHeight="1" x14ac:dyDescent="0.25">
      <c r="A19" s="14"/>
      <c r="B19" s="82" t="s">
        <v>53</v>
      </c>
      <c r="C19" s="67"/>
      <c r="D19" s="170"/>
      <c r="E19" s="168"/>
    </row>
    <row r="20" spans="1:5" ht="20.100000000000001" customHeight="1" x14ac:dyDescent="0.25">
      <c r="A20" s="58" t="s">
        <v>440</v>
      </c>
      <c r="B20" s="83"/>
      <c r="C20" s="67"/>
      <c r="D20" s="170"/>
      <c r="E20" s="168"/>
    </row>
    <row r="21" spans="1:5" ht="20.100000000000001" customHeight="1" thickBot="1" x14ac:dyDescent="0.3">
      <c r="A21" s="14"/>
      <c r="B21" s="84"/>
      <c r="C21" s="68"/>
      <c r="D21" s="170"/>
      <c r="E21" s="168"/>
    </row>
    <row r="22" spans="1:5" ht="26.25" customHeight="1" thickBot="1" x14ac:dyDescent="0.3">
      <c r="A22" s="69" t="s">
        <v>418</v>
      </c>
      <c r="B22" s="70"/>
      <c r="C22" s="71"/>
      <c r="D22" s="60">
        <f>D5+D8-D17</f>
        <v>3029594066.71</v>
      </c>
      <c r="E22" s="168" t="e">
        <f>IF(D22&lt;&gt;#REF!,"ERROR!!!!! EL MONTO NO COINCIDE CON LO REPORTADO EN EL FORMATO ETCA-I-03 EN EL TOTAL DE INGRESOS Y OTROS BENEFICIOS","")</f>
        <v>#REF!</v>
      </c>
    </row>
    <row r="24" spans="1:5" x14ac:dyDescent="0.25">
      <c r="D24" s="438" t="e">
        <f>#REF!-'ETCA-II-03'!D22</f>
        <v>#REF!</v>
      </c>
    </row>
    <row r="25" spans="1:5" s="91" customFormat="1" ht="13.5" x14ac:dyDescent="0.25">
      <c r="B25" s="364" t="s">
        <v>447</v>
      </c>
      <c r="C25" s="364"/>
      <c r="D25" s="364"/>
      <c r="E25" s="358"/>
    </row>
    <row r="26" spans="1:5" s="91" customFormat="1" ht="13.5" x14ac:dyDescent="0.25">
      <c r="B26" s="364" t="s">
        <v>448</v>
      </c>
      <c r="C26" s="364"/>
      <c r="D26" s="364"/>
      <c r="E26" s="358"/>
    </row>
  </sheetData>
  <sheetProtection password="C195" sheet="1" scenarios="1" insertHyperlinks="0"/>
  <mergeCells count="5">
    <mergeCell ref="A5:B5"/>
    <mergeCell ref="A1:D1"/>
    <mergeCell ref="A2:D2"/>
    <mergeCell ref="A3:D3"/>
    <mergeCell ref="B4:C4"/>
  </mergeCells>
  <printOptions horizontalCentered="1"/>
  <pageMargins left="0.39370078740157483" right="0.39370078740157483" top="0.74803149606299213" bottom="0.74803149606299213" header="0.31496062992125984" footer="0.31496062992125984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249977111117893"/>
  </sheetPr>
  <dimension ref="A1:G90"/>
  <sheetViews>
    <sheetView view="pageBreakPreview" zoomScale="98" zoomScaleSheetLayoutView="98" workbookViewId="0">
      <selection activeCell="A11" sqref="A10:O16"/>
    </sheetView>
  </sheetViews>
  <sheetFormatPr baseColWidth="10" defaultRowHeight="15" x14ac:dyDescent="0.25"/>
  <cols>
    <col min="1" max="1" width="49.85546875" customWidth="1"/>
    <col min="2" max="2" width="13.7109375" customWidth="1"/>
    <col min="3" max="3" width="15.42578125" customWidth="1"/>
    <col min="4" max="7" width="13.7109375" customWidth="1"/>
  </cols>
  <sheetData>
    <row r="1" spans="1:7" ht="15.75" x14ac:dyDescent="0.25">
      <c r="A1" s="447" t="e">
        <f>#REF!</f>
        <v>#REF!</v>
      </c>
      <c r="B1" s="447"/>
      <c r="C1" s="447"/>
      <c r="D1" s="447"/>
      <c r="E1" s="447"/>
      <c r="F1" s="447"/>
      <c r="G1" s="447"/>
    </row>
    <row r="2" spans="1:7" ht="15.75" x14ac:dyDescent="0.25">
      <c r="A2" s="447" t="s">
        <v>131</v>
      </c>
      <c r="B2" s="447"/>
      <c r="C2" s="447"/>
      <c r="D2" s="447"/>
      <c r="E2" s="447"/>
      <c r="F2" s="447"/>
      <c r="G2" s="447"/>
    </row>
    <row r="3" spans="1:7" ht="15.75" x14ac:dyDescent="0.25">
      <c r="A3" s="447" t="s">
        <v>132</v>
      </c>
      <c r="B3" s="447"/>
      <c r="C3" s="447"/>
      <c r="D3" s="447"/>
      <c r="E3" s="447"/>
      <c r="F3" s="447"/>
      <c r="G3" s="447"/>
    </row>
    <row r="4" spans="1:7" ht="16.5" x14ac:dyDescent="0.25">
      <c r="A4" s="448" t="e">
        <f>#REF!</f>
        <v>#REF!</v>
      </c>
      <c r="B4" s="448"/>
      <c r="C4" s="448"/>
      <c r="D4" s="448"/>
      <c r="E4" s="448"/>
      <c r="F4" s="448"/>
      <c r="G4" s="448"/>
    </row>
    <row r="5" spans="1:7" ht="17.25" thickBot="1" x14ac:dyDescent="0.3">
      <c r="A5" s="520" t="s">
        <v>450</v>
      </c>
      <c r="B5" s="520"/>
      <c r="C5" s="520"/>
      <c r="D5" s="520"/>
      <c r="E5" s="520"/>
      <c r="F5" s="6"/>
      <c r="G5" s="11"/>
    </row>
    <row r="6" spans="1:7" ht="38.25" x14ac:dyDescent="0.25">
      <c r="A6" s="518" t="s">
        <v>133</v>
      </c>
      <c r="B6" s="19" t="s">
        <v>134</v>
      </c>
      <c r="C6" s="19" t="s">
        <v>64</v>
      </c>
      <c r="D6" s="16" t="s">
        <v>135</v>
      </c>
      <c r="E6" s="20" t="s">
        <v>136</v>
      </c>
      <c r="F6" s="20" t="s">
        <v>137</v>
      </c>
      <c r="G6" s="17" t="s">
        <v>138</v>
      </c>
    </row>
    <row r="7" spans="1:7" ht="15.75" thickBot="1" x14ac:dyDescent="0.3">
      <c r="A7" s="519"/>
      <c r="B7" s="23" t="s">
        <v>44</v>
      </c>
      <c r="C7" s="23" t="s">
        <v>45</v>
      </c>
      <c r="D7" s="194" t="s">
        <v>139</v>
      </c>
      <c r="E7" s="24" t="s">
        <v>47</v>
      </c>
      <c r="F7" s="24" t="s">
        <v>48</v>
      </c>
      <c r="G7" s="195" t="s">
        <v>140</v>
      </c>
    </row>
    <row r="8" spans="1:7" x14ac:dyDescent="0.25">
      <c r="A8" s="196" t="s">
        <v>15</v>
      </c>
      <c r="B8" s="183">
        <f>SUM(B9:B15)</f>
        <v>227702200.89527455</v>
      </c>
      <c r="C8" s="183">
        <f>SUM(C9:C15)</f>
        <v>21177279.109999999</v>
      </c>
      <c r="D8" s="183">
        <f>B8+C8</f>
        <v>248879480.00527453</v>
      </c>
      <c r="E8" s="183">
        <f>SUM(E9:E15)</f>
        <v>248868916.04999998</v>
      </c>
      <c r="F8" s="183">
        <f>SUM(F9:F15)</f>
        <v>236451307.04999998</v>
      </c>
      <c r="G8" s="184">
        <f>D8-E8</f>
        <v>10563.955274552107</v>
      </c>
    </row>
    <row r="9" spans="1:7" x14ac:dyDescent="0.25">
      <c r="A9" s="197" t="s">
        <v>141</v>
      </c>
      <c r="B9" s="182">
        <v>122826728.74877027</v>
      </c>
      <c r="C9" s="182">
        <v>9987709.2500000019</v>
      </c>
      <c r="D9" s="183">
        <f t="shared" ref="D9:D71" si="0">B9+C9</f>
        <v>132814437.99877027</v>
      </c>
      <c r="E9" s="182">
        <v>132813514.50999998</v>
      </c>
      <c r="F9" s="182">
        <v>127833439.16999999</v>
      </c>
      <c r="G9" s="184">
        <f t="shared" ref="G9:G72" si="1">D9-E9</f>
        <v>923.48877029120922</v>
      </c>
    </row>
    <row r="10" spans="1:7" x14ac:dyDescent="0.25">
      <c r="A10" s="197" t="s">
        <v>142</v>
      </c>
      <c r="B10" s="182">
        <v>2182566.3062395351</v>
      </c>
      <c r="C10" s="182">
        <v>-954506.50999999989</v>
      </c>
      <c r="D10" s="183">
        <f t="shared" si="0"/>
        <v>1228059.7962395353</v>
      </c>
      <c r="E10" s="182">
        <v>1228059.49</v>
      </c>
      <c r="F10" s="182">
        <v>1182961.1599999999</v>
      </c>
      <c r="G10" s="184">
        <f t="shared" si="1"/>
        <v>0.30623953533358872</v>
      </c>
    </row>
    <row r="11" spans="1:7" x14ac:dyDescent="0.25">
      <c r="A11" s="197" t="s">
        <v>143</v>
      </c>
      <c r="B11" s="182">
        <v>19695507.8909165</v>
      </c>
      <c r="C11" s="182">
        <v>12025337.08</v>
      </c>
      <c r="D11" s="183">
        <f t="shared" si="0"/>
        <v>31720844.970916502</v>
      </c>
      <c r="E11" s="182">
        <v>31720844.870000005</v>
      </c>
      <c r="F11" s="182">
        <v>31513504.610000003</v>
      </c>
      <c r="G11" s="184">
        <f t="shared" si="1"/>
        <v>0.10091649740934372</v>
      </c>
    </row>
    <row r="12" spans="1:7" x14ac:dyDescent="0.25">
      <c r="A12" s="197" t="s">
        <v>144</v>
      </c>
      <c r="B12" s="182">
        <v>43659190.108648501</v>
      </c>
      <c r="C12" s="182">
        <v>60272.739999999292</v>
      </c>
      <c r="D12" s="183">
        <f t="shared" si="0"/>
        <v>43719462.848648503</v>
      </c>
      <c r="E12" s="182">
        <v>43719358.630000003</v>
      </c>
      <c r="F12" s="182">
        <v>39056946.869999997</v>
      </c>
      <c r="G12" s="184">
        <f t="shared" si="1"/>
        <v>104.21864850074053</v>
      </c>
    </row>
    <row r="13" spans="1:7" x14ac:dyDescent="0.25">
      <c r="A13" s="197" t="s">
        <v>145</v>
      </c>
      <c r="B13" s="182">
        <v>36414157.083194152</v>
      </c>
      <c r="C13" s="182">
        <v>60188.140000000596</v>
      </c>
      <c r="D13" s="183">
        <f t="shared" si="0"/>
        <v>36474345.223194152</v>
      </c>
      <c r="E13" s="182">
        <v>36464809.519999996</v>
      </c>
      <c r="F13" s="182">
        <v>34092861.209999993</v>
      </c>
      <c r="G13" s="184">
        <f t="shared" si="1"/>
        <v>9535.7031941562891</v>
      </c>
    </row>
    <row r="14" spans="1:7" x14ac:dyDescent="0.25">
      <c r="A14" s="197" t="s">
        <v>146</v>
      </c>
      <c r="B14" s="182"/>
      <c r="C14" s="182">
        <v>0</v>
      </c>
      <c r="D14" s="183">
        <f t="shared" si="0"/>
        <v>0</v>
      </c>
      <c r="E14" s="182">
        <v>0</v>
      </c>
      <c r="F14" s="182">
        <v>0</v>
      </c>
      <c r="G14" s="184">
        <f t="shared" si="1"/>
        <v>0</v>
      </c>
    </row>
    <row r="15" spans="1:7" x14ac:dyDescent="0.25">
      <c r="A15" s="197" t="s">
        <v>147</v>
      </c>
      <c r="B15" s="182">
        <v>2924050.7575055668</v>
      </c>
      <c r="C15" s="182">
        <v>-1721.5899999999674</v>
      </c>
      <c r="D15" s="183">
        <f t="shared" si="0"/>
        <v>2922329.167505567</v>
      </c>
      <c r="E15" s="182">
        <v>2922329.0300000003</v>
      </c>
      <c r="F15" s="182">
        <v>2771594.0300000003</v>
      </c>
      <c r="G15" s="184">
        <f t="shared" si="1"/>
        <v>0.13750556670129299</v>
      </c>
    </row>
    <row r="16" spans="1:7" x14ac:dyDescent="0.25">
      <c r="A16" s="198" t="s">
        <v>16</v>
      </c>
      <c r="B16" s="183">
        <f>SUM(B17:B25)</f>
        <v>25483978.082213655</v>
      </c>
      <c r="C16" s="183">
        <f>SUM(C17:C25)</f>
        <v>25742681.009999998</v>
      </c>
      <c r="D16" s="183">
        <f>B16+C16</f>
        <v>51226659.092213653</v>
      </c>
      <c r="E16" s="183">
        <f>SUM(E17:E25)</f>
        <v>27168168.659999996</v>
      </c>
      <c r="F16" s="183">
        <f>SUM(F17:F25)</f>
        <v>24828425.310000002</v>
      </c>
      <c r="G16" s="184">
        <f t="shared" si="1"/>
        <v>24058490.432213657</v>
      </c>
    </row>
    <row r="17" spans="1:7" ht="25.5" x14ac:dyDescent="0.25">
      <c r="A17" s="197" t="s">
        <v>148</v>
      </c>
      <c r="B17" s="182">
        <v>2248291.971737816</v>
      </c>
      <c r="C17" s="182">
        <v>-429139.43</v>
      </c>
      <c r="D17" s="183">
        <f t="shared" si="0"/>
        <v>1819152.5417378161</v>
      </c>
      <c r="E17" s="182">
        <v>1482602.5400000003</v>
      </c>
      <c r="F17" s="182">
        <v>1479628.57</v>
      </c>
      <c r="G17" s="184">
        <f t="shared" si="1"/>
        <v>336550.00173781579</v>
      </c>
    </row>
    <row r="18" spans="1:7" x14ac:dyDescent="0.25">
      <c r="A18" s="197" t="s">
        <v>149</v>
      </c>
      <c r="B18" s="182">
        <v>612802.39880192175</v>
      </c>
      <c r="C18" s="182">
        <v>-147839.09000000003</v>
      </c>
      <c r="D18" s="183">
        <f t="shared" si="0"/>
        <v>464963.30880192172</v>
      </c>
      <c r="E18" s="182">
        <v>402077.98</v>
      </c>
      <c r="F18" s="182">
        <v>321409.37999999995</v>
      </c>
      <c r="G18" s="184">
        <f t="shared" si="1"/>
        <v>62885.328801921743</v>
      </c>
    </row>
    <row r="19" spans="1:7" x14ac:dyDescent="0.25">
      <c r="A19" s="197" t="s">
        <v>150</v>
      </c>
      <c r="B19" s="182">
        <v>2245216.0910823718</v>
      </c>
      <c r="C19" s="182">
        <v>6598564.0999999996</v>
      </c>
      <c r="D19" s="183">
        <f t="shared" si="0"/>
        <v>8843780.1910823714</v>
      </c>
      <c r="E19" s="182">
        <v>6692647.6399999997</v>
      </c>
      <c r="F19" s="182">
        <v>6182328.3700000001</v>
      </c>
      <c r="G19" s="184">
        <f t="shared" si="1"/>
        <v>2151132.5510823717</v>
      </c>
    </row>
    <row r="20" spans="1:7" x14ac:dyDescent="0.25">
      <c r="A20" s="197" t="s">
        <v>151</v>
      </c>
      <c r="B20" s="182">
        <v>877366.97313757439</v>
      </c>
      <c r="C20" s="182">
        <v>-152104.91999999998</v>
      </c>
      <c r="D20" s="183">
        <f t="shared" si="0"/>
        <v>725262.05313757434</v>
      </c>
      <c r="E20" s="182">
        <v>639767.05000000005</v>
      </c>
      <c r="F20" s="182">
        <v>637016.99</v>
      </c>
      <c r="G20" s="184">
        <f t="shared" si="1"/>
        <v>85495.003137574298</v>
      </c>
    </row>
    <row r="21" spans="1:7" x14ac:dyDescent="0.25">
      <c r="A21" s="197" t="s">
        <v>152</v>
      </c>
      <c r="B21" s="182">
        <v>3655443.332885351</v>
      </c>
      <c r="C21" s="182">
        <v>1867105.29</v>
      </c>
      <c r="D21" s="183">
        <f t="shared" si="0"/>
        <v>5522548.6228853511</v>
      </c>
      <c r="E21" s="182">
        <v>1923630.1199999999</v>
      </c>
      <c r="F21" s="182">
        <v>1577741.3199999998</v>
      </c>
      <c r="G21" s="184">
        <f t="shared" si="1"/>
        <v>3598918.502885351</v>
      </c>
    </row>
    <row r="22" spans="1:7" x14ac:dyDescent="0.25">
      <c r="A22" s="197" t="s">
        <v>153</v>
      </c>
      <c r="B22" s="182">
        <v>10294453.783337705</v>
      </c>
      <c r="C22" s="182">
        <v>2886437.1599999997</v>
      </c>
      <c r="D22" s="183">
        <f t="shared" si="0"/>
        <v>13180890.943337705</v>
      </c>
      <c r="E22" s="182">
        <v>11629472.039999999</v>
      </c>
      <c r="F22" s="182">
        <v>10980847.33</v>
      </c>
      <c r="G22" s="184">
        <f t="shared" si="1"/>
        <v>1551418.9033377059</v>
      </c>
    </row>
    <row r="23" spans="1:7" x14ac:dyDescent="0.25">
      <c r="A23" s="197" t="s">
        <v>154</v>
      </c>
      <c r="B23" s="182">
        <v>2625781.0166685618</v>
      </c>
      <c r="C23" s="182">
        <v>-994673.5199999999</v>
      </c>
      <c r="D23" s="183">
        <f t="shared" si="0"/>
        <v>1631107.4966685618</v>
      </c>
      <c r="E23" s="182">
        <v>1061972.2</v>
      </c>
      <c r="F23" s="182">
        <v>463885.03000000009</v>
      </c>
      <c r="G23" s="184">
        <f t="shared" si="1"/>
        <v>569135.29666856187</v>
      </c>
    </row>
    <row r="24" spans="1:7" x14ac:dyDescent="0.25">
      <c r="A24" s="197" t="s">
        <v>155</v>
      </c>
      <c r="B24" s="182">
        <v>6500</v>
      </c>
      <c r="C24" s="182">
        <v>-5400</v>
      </c>
      <c r="D24" s="183">
        <f t="shared" si="0"/>
        <v>1100</v>
      </c>
      <c r="E24" s="182">
        <v>0</v>
      </c>
      <c r="F24" s="182">
        <v>0</v>
      </c>
      <c r="G24" s="184">
        <f t="shared" si="1"/>
        <v>1100</v>
      </c>
    </row>
    <row r="25" spans="1:7" x14ac:dyDescent="0.25">
      <c r="A25" s="197" t="s">
        <v>156</v>
      </c>
      <c r="B25" s="182">
        <v>2918122.5145623544</v>
      </c>
      <c r="C25" s="182">
        <v>16119731.42</v>
      </c>
      <c r="D25" s="183">
        <f t="shared" si="0"/>
        <v>19037853.934562355</v>
      </c>
      <c r="E25" s="182">
        <v>3335999.09</v>
      </c>
      <c r="F25" s="182">
        <v>3185568.3200000003</v>
      </c>
      <c r="G25" s="184">
        <f t="shared" si="1"/>
        <v>15701854.844562355</v>
      </c>
    </row>
    <row r="26" spans="1:7" x14ac:dyDescent="0.25">
      <c r="A26" s="198" t="s">
        <v>17</v>
      </c>
      <c r="B26" s="183">
        <f>SUM(B27:B35)</f>
        <v>147233209.45890099</v>
      </c>
      <c r="C26" s="183">
        <f>SUM(C27:C35)</f>
        <v>167699943.33000001</v>
      </c>
      <c r="D26" s="183">
        <f>B26+C26</f>
        <v>314933152.78890097</v>
      </c>
      <c r="E26" s="183">
        <f>SUM(E27:E35)</f>
        <v>262049563.19999999</v>
      </c>
      <c r="F26" s="183">
        <f>SUM(F27:F35)</f>
        <v>239134510.09999999</v>
      </c>
      <c r="G26" s="184">
        <f t="shared" si="1"/>
        <v>52883589.588900983</v>
      </c>
    </row>
    <row r="27" spans="1:7" x14ac:dyDescent="0.25">
      <c r="A27" s="197" t="s">
        <v>157</v>
      </c>
      <c r="B27" s="182">
        <v>61038412.895877376</v>
      </c>
      <c r="C27" s="182">
        <v>72606782.280000001</v>
      </c>
      <c r="D27" s="183">
        <f t="shared" si="0"/>
        <v>133645195.17587738</v>
      </c>
      <c r="E27" s="182">
        <v>128237716.24999999</v>
      </c>
      <c r="F27" s="182">
        <v>127489716.44999999</v>
      </c>
      <c r="G27" s="184">
        <f t="shared" si="1"/>
        <v>5407478.9258773923</v>
      </c>
    </row>
    <row r="28" spans="1:7" x14ac:dyDescent="0.25">
      <c r="A28" s="197" t="s">
        <v>158</v>
      </c>
      <c r="B28" s="182">
        <v>6517933.3933127671</v>
      </c>
      <c r="C28" s="182">
        <v>4315296.3899999997</v>
      </c>
      <c r="D28" s="183">
        <f t="shared" si="0"/>
        <v>10833229.783312768</v>
      </c>
      <c r="E28" s="182">
        <v>7656212.8300000001</v>
      </c>
      <c r="F28" s="182">
        <v>6768783.1699999999</v>
      </c>
      <c r="G28" s="184">
        <f t="shared" si="1"/>
        <v>3177016.9533127677</v>
      </c>
    </row>
    <row r="29" spans="1:7" x14ac:dyDescent="0.25">
      <c r="A29" s="197" t="s">
        <v>159</v>
      </c>
      <c r="B29" s="182">
        <v>7749041.5543209761</v>
      </c>
      <c r="C29" s="182">
        <v>80734867.11999999</v>
      </c>
      <c r="D29" s="183">
        <f t="shared" si="0"/>
        <v>88483908.674320966</v>
      </c>
      <c r="E29" s="182">
        <v>86284238.400000006</v>
      </c>
      <c r="F29" s="182">
        <v>85599806.280000001</v>
      </c>
      <c r="G29" s="184">
        <f t="shared" si="1"/>
        <v>2199670.27432096</v>
      </c>
    </row>
    <row r="30" spans="1:7" x14ac:dyDescent="0.25">
      <c r="A30" s="197" t="s">
        <v>160</v>
      </c>
      <c r="B30" s="182">
        <v>10191755.271978199</v>
      </c>
      <c r="C30" s="182">
        <v>-5373304.2199999997</v>
      </c>
      <c r="D30" s="183">
        <f t="shared" si="0"/>
        <v>4818451.0519781997</v>
      </c>
      <c r="E30" s="182">
        <v>2978249.7</v>
      </c>
      <c r="F30" s="182">
        <v>2918303.0900000003</v>
      </c>
      <c r="G30" s="184">
        <f t="shared" si="1"/>
        <v>1840201.3519781996</v>
      </c>
    </row>
    <row r="31" spans="1:7" ht="25.5" x14ac:dyDescent="0.25">
      <c r="A31" s="197" t="s">
        <v>161</v>
      </c>
      <c r="B31" s="182">
        <v>16927289.39632158</v>
      </c>
      <c r="C31" s="182">
        <v>-2664231.5599999991</v>
      </c>
      <c r="D31" s="183">
        <f t="shared" si="0"/>
        <v>14263057.836321581</v>
      </c>
      <c r="E31" s="182">
        <v>10569506.140000001</v>
      </c>
      <c r="F31" s="182">
        <v>8330071.4100000001</v>
      </c>
      <c r="G31" s="184">
        <f t="shared" si="1"/>
        <v>3693551.6963215806</v>
      </c>
    </row>
    <row r="32" spans="1:7" x14ac:dyDescent="0.25">
      <c r="A32" s="197" t="s">
        <v>162</v>
      </c>
      <c r="B32" s="182">
        <v>1803370.7264297067</v>
      </c>
      <c r="C32" s="182">
        <v>-1334992.1299999999</v>
      </c>
      <c r="D32" s="183">
        <f t="shared" si="0"/>
        <v>468378.59642970678</v>
      </c>
      <c r="E32" s="182">
        <v>118011</v>
      </c>
      <c r="F32" s="182">
        <v>118011</v>
      </c>
      <c r="G32" s="184">
        <f t="shared" si="1"/>
        <v>350367.59642970678</v>
      </c>
    </row>
    <row r="33" spans="1:7" x14ac:dyDescent="0.25">
      <c r="A33" s="197" t="s">
        <v>163</v>
      </c>
      <c r="B33" s="182">
        <v>2769974.7739054281</v>
      </c>
      <c r="C33" s="182">
        <v>-644309.97000000009</v>
      </c>
      <c r="D33" s="183">
        <f t="shared" si="0"/>
        <v>2125664.8039054279</v>
      </c>
      <c r="E33" s="182">
        <v>1799477.41</v>
      </c>
      <c r="F33" s="182">
        <v>1797531.28</v>
      </c>
      <c r="G33" s="184">
        <f t="shared" si="1"/>
        <v>326187.39390542801</v>
      </c>
    </row>
    <row r="34" spans="1:7" ht="15.75" thickBot="1" x14ac:dyDescent="0.3">
      <c r="A34" s="199" t="s">
        <v>164</v>
      </c>
      <c r="B34" s="201">
        <v>92700</v>
      </c>
      <c r="C34" s="201">
        <v>658592.99</v>
      </c>
      <c r="D34" s="189">
        <f t="shared" si="0"/>
        <v>751292.99</v>
      </c>
      <c r="E34" s="201">
        <v>749934.99</v>
      </c>
      <c r="F34" s="201">
        <v>749934.99</v>
      </c>
      <c r="G34" s="190">
        <f t="shared" si="1"/>
        <v>1358</v>
      </c>
    </row>
    <row r="35" spans="1:7" x14ac:dyDescent="0.25">
      <c r="A35" s="197" t="s">
        <v>165</v>
      </c>
      <c r="B35" s="182">
        <v>40142731.44675497</v>
      </c>
      <c r="C35" s="182">
        <v>19401242.430000003</v>
      </c>
      <c r="D35" s="183">
        <f t="shared" si="0"/>
        <v>59543973.876754969</v>
      </c>
      <c r="E35" s="182">
        <v>23656216.479999997</v>
      </c>
      <c r="F35" s="182">
        <v>5362352.43</v>
      </c>
      <c r="G35" s="184">
        <f t="shared" si="1"/>
        <v>35887757.396754973</v>
      </c>
    </row>
    <row r="36" spans="1:7" x14ac:dyDescent="0.25">
      <c r="A36" s="198" t="s">
        <v>56</v>
      </c>
      <c r="B36" s="183">
        <f>SUM(B37:B45)</f>
        <v>0</v>
      </c>
      <c r="C36" s="183">
        <f>SUM(C37:C45)</f>
        <v>0</v>
      </c>
      <c r="D36" s="183">
        <f>B36+C36</f>
        <v>0</v>
      </c>
      <c r="E36" s="183">
        <f>SUM(E37:E45)</f>
        <v>0</v>
      </c>
      <c r="F36" s="183">
        <f>SUM(F37:F45)</f>
        <v>0</v>
      </c>
      <c r="G36" s="184">
        <f t="shared" si="1"/>
        <v>0</v>
      </c>
    </row>
    <row r="37" spans="1:7" x14ac:dyDescent="0.25">
      <c r="A37" s="197" t="s">
        <v>18</v>
      </c>
      <c r="B37" s="182"/>
      <c r="C37" s="182"/>
      <c r="D37" s="183">
        <f t="shared" si="0"/>
        <v>0</v>
      </c>
      <c r="E37" s="182"/>
      <c r="F37" s="182"/>
      <c r="G37" s="184">
        <f t="shared" si="1"/>
        <v>0</v>
      </c>
    </row>
    <row r="38" spans="1:7" x14ac:dyDescent="0.25">
      <c r="A38" s="197" t="s">
        <v>19</v>
      </c>
      <c r="B38" s="182"/>
      <c r="C38" s="182"/>
      <c r="D38" s="183">
        <f t="shared" si="0"/>
        <v>0</v>
      </c>
      <c r="E38" s="182"/>
      <c r="F38" s="182"/>
      <c r="G38" s="184">
        <f t="shared" si="1"/>
        <v>0</v>
      </c>
    </row>
    <row r="39" spans="1:7" x14ac:dyDescent="0.25">
      <c r="A39" s="197" t="s">
        <v>20</v>
      </c>
      <c r="B39" s="182"/>
      <c r="C39" s="182"/>
      <c r="D39" s="183">
        <f t="shared" si="0"/>
        <v>0</v>
      </c>
      <c r="E39" s="182"/>
      <c r="F39" s="182"/>
      <c r="G39" s="184">
        <f t="shared" si="1"/>
        <v>0</v>
      </c>
    </row>
    <row r="40" spans="1:7" x14ac:dyDescent="0.25">
      <c r="A40" s="197" t="s">
        <v>21</v>
      </c>
      <c r="B40" s="182"/>
      <c r="C40" s="182"/>
      <c r="D40" s="183">
        <f t="shared" si="0"/>
        <v>0</v>
      </c>
      <c r="E40" s="182"/>
      <c r="F40" s="182"/>
      <c r="G40" s="184">
        <f t="shared" si="1"/>
        <v>0</v>
      </c>
    </row>
    <row r="41" spans="1:7" x14ac:dyDescent="0.25">
      <c r="A41" s="197" t="s">
        <v>22</v>
      </c>
      <c r="B41" s="182"/>
      <c r="C41" s="182"/>
      <c r="D41" s="183">
        <f t="shared" si="0"/>
        <v>0</v>
      </c>
      <c r="E41" s="182"/>
      <c r="F41" s="182"/>
      <c r="G41" s="184">
        <f t="shared" si="1"/>
        <v>0</v>
      </c>
    </row>
    <row r="42" spans="1:7" x14ac:dyDescent="0.25">
      <c r="A42" s="197" t="s">
        <v>166</v>
      </c>
      <c r="B42" s="182"/>
      <c r="C42" s="182"/>
      <c r="D42" s="183">
        <f t="shared" si="0"/>
        <v>0</v>
      </c>
      <c r="E42" s="182"/>
      <c r="F42" s="182"/>
      <c r="G42" s="184">
        <f t="shared" si="1"/>
        <v>0</v>
      </c>
    </row>
    <row r="43" spans="1:7" x14ac:dyDescent="0.25">
      <c r="A43" s="197" t="s">
        <v>23</v>
      </c>
      <c r="B43" s="182"/>
      <c r="C43" s="182"/>
      <c r="D43" s="183">
        <f t="shared" si="0"/>
        <v>0</v>
      </c>
      <c r="E43" s="182"/>
      <c r="F43" s="182"/>
      <c r="G43" s="184">
        <f t="shared" si="1"/>
        <v>0</v>
      </c>
    </row>
    <row r="44" spans="1:7" x14ac:dyDescent="0.25">
      <c r="A44" s="197" t="s">
        <v>24</v>
      </c>
      <c r="B44" s="182"/>
      <c r="C44" s="182"/>
      <c r="D44" s="183">
        <f t="shared" si="0"/>
        <v>0</v>
      </c>
      <c r="E44" s="182"/>
      <c r="F44" s="182"/>
      <c r="G44" s="184">
        <f t="shared" si="1"/>
        <v>0</v>
      </c>
    </row>
    <row r="45" spans="1:7" x14ac:dyDescent="0.25">
      <c r="A45" s="197" t="s">
        <v>25</v>
      </c>
      <c r="B45" s="182"/>
      <c r="C45" s="182"/>
      <c r="D45" s="183">
        <f t="shared" si="0"/>
        <v>0</v>
      </c>
      <c r="E45" s="182"/>
      <c r="F45" s="182"/>
      <c r="G45" s="184">
        <f t="shared" si="1"/>
        <v>0</v>
      </c>
    </row>
    <row r="46" spans="1:7" x14ac:dyDescent="0.25">
      <c r="A46" s="198" t="s">
        <v>167</v>
      </c>
      <c r="B46" s="183">
        <f>SUM(B47:B55)</f>
        <v>4296626.8851000005</v>
      </c>
      <c r="C46" s="183">
        <f>SUM(C47:C55)</f>
        <v>20204593.010000002</v>
      </c>
      <c r="D46" s="183">
        <f>B46+C46</f>
        <v>24501219.895100001</v>
      </c>
      <c r="E46" s="183">
        <f>SUM(E47:E55)</f>
        <v>24334825.75</v>
      </c>
      <c r="F46" s="183">
        <f>SUM(F47:F55)</f>
        <v>20623712.390000001</v>
      </c>
      <c r="G46" s="184">
        <f t="shared" si="1"/>
        <v>166394.14510000125</v>
      </c>
    </row>
    <row r="47" spans="1:7" x14ac:dyDescent="0.25">
      <c r="A47" s="197" t="s">
        <v>168</v>
      </c>
      <c r="B47" s="182">
        <v>180354.8</v>
      </c>
      <c r="C47" s="182">
        <v>1119369.48</v>
      </c>
      <c r="D47" s="183">
        <f t="shared" si="0"/>
        <v>1299724.28</v>
      </c>
      <c r="E47" s="182">
        <v>1299360.48</v>
      </c>
      <c r="F47" s="182">
        <v>1147796.48</v>
      </c>
      <c r="G47" s="184">
        <f>D47-E47</f>
        <v>363.80000000004657</v>
      </c>
    </row>
    <row r="48" spans="1:7" x14ac:dyDescent="0.25">
      <c r="A48" s="197" t="s">
        <v>169</v>
      </c>
      <c r="B48" s="182"/>
      <c r="C48" s="182">
        <v>0</v>
      </c>
      <c r="D48" s="183">
        <f t="shared" si="0"/>
        <v>0</v>
      </c>
      <c r="E48" s="182">
        <v>0</v>
      </c>
      <c r="F48" s="182">
        <v>0</v>
      </c>
      <c r="G48" s="184">
        <f t="shared" si="1"/>
        <v>0</v>
      </c>
    </row>
    <row r="49" spans="1:7" x14ac:dyDescent="0.25">
      <c r="A49" s="197" t="s">
        <v>170</v>
      </c>
      <c r="B49" s="182"/>
      <c r="C49" s="182">
        <v>121800</v>
      </c>
      <c r="D49" s="183">
        <f t="shared" si="0"/>
        <v>121800</v>
      </c>
      <c r="E49" s="182">
        <v>121800</v>
      </c>
      <c r="F49" s="182">
        <v>121800</v>
      </c>
      <c r="G49" s="184">
        <f t="shared" si="1"/>
        <v>0</v>
      </c>
    </row>
    <row r="50" spans="1:7" x14ac:dyDescent="0.25">
      <c r="A50" s="197" t="s">
        <v>171</v>
      </c>
      <c r="B50" s="182">
        <v>1595000</v>
      </c>
      <c r="C50" s="182">
        <v>13254790</v>
      </c>
      <c r="D50" s="183">
        <f t="shared" si="0"/>
        <v>14849790</v>
      </c>
      <c r="E50" s="182">
        <v>14738790</v>
      </c>
      <c r="F50" s="182">
        <v>14738790</v>
      </c>
      <c r="G50" s="184">
        <f t="shared" si="1"/>
        <v>111000</v>
      </c>
    </row>
    <row r="51" spans="1:7" x14ac:dyDescent="0.25">
      <c r="A51" s="197" t="s">
        <v>172</v>
      </c>
      <c r="B51" s="182"/>
      <c r="C51" s="182"/>
      <c r="D51" s="183">
        <f t="shared" si="0"/>
        <v>0</v>
      </c>
      <c r="E51" s="182"/>
      <c r="F51" s="182"/>
      <c r="G51" s="184">
        <f t="shared" si="1"/>
        <v>0</v>
      </c>
    </row>
    <row r="52" spans="1:7" x14ac:dyDescent="0.25">
      <c r="A52" s="197" t="s">
        <v>173</v>
      </c>
      <c r="B52" s="182">
        <v>2521272.0851000003</v>
      </c>
      <c r="C52" s="182">
        <v>5602284.6099999994</v>
      </c>
      <c r="D52" s="183">
        <f t="shared" si="0"/>
        <v>8123556.6951000001</v>
      </c>
      <c r="E52" s="182">
        <v>8068526.3499999996</v>
      </c>
      <c r="F52" s="182">
        <v>4508976.99</v>
      </c>
      <c r="G52" s="184">
        <f t="shared" si="1"/>
        <v>55030.345100000501</v>
      </c>
    </row>
    <row r="53" spans="1:7" x14ac:dyDescent="0.25">
      <c r="A53" s="197" t="s">
        <v>174</v>
      </c>
      <c r="B53" s="182"/>
      <c r="C53" s="182"/>
      <c r="D53" s="183">
        <f t="shared" si="0"/>
        <v>0</v>
      </c>
      <c r="E53" s="182"/>
      <c r="F53" s="182"/>
      <c r="G53" s="184">
        <f t="shared" si="1"/>
        <v>0</v>
      </c>
    </row>
    <row r="54" spans="1:7" x14ac:dyDescent="0.25">
      <c r="A54" s="197" t="s">
        <v>175</v>
      </c>
      <c r="B54" s="182"/>
      <c r="C54" s="182"/>
      <c r="D54" s="183">
        <f t="shared" si="0"/>
        <v>0</v>
      </c>
      <c r="E54" s="182"/>
      <c r="F54" s="182"/>
      <c r="G54" s="184">
        <f t="shared" si="1"/>
        <v>0</v>
      </c>
    </row>
    <row r="55" spans="1:7" x14ac:dyDescent="0.25">
      <c r="A55" s="197" t="s">
        <v>2</v>
      </c>
      <c r="B55" s="182"/>
      <c r="C55" s="182">
        <v>106348.92000000001</v>
      </c>
      <c r="D55" s="183">
        <f t="shared" si="0"/>
        <v>106348.92000000001</v>
      </c>
      <c r="E55" s="182">
        <v>106348.92000000001</v>
      </c>
      <c r="F55" s="182">
        <v>106348.92000000001</v>
      </c>
      <c r="G55" s="184">
        <f t="shared" si="1"/>
        <v>0</v>
      </c>
    </row>
    <row r="56" spans="1:7" x14ac:dyDescent="0.25">
      <c r="A56" s="198" t="s">
        <v>37</v>
      </c>
      <c r="B56" s="183">
        <f>SUM(B57:B59)</f>
        <v>259999999.995</v>
      </c>
      <c r="C56" s="183">
        <f>SUM(C57:C59)</f>
        <v>3111819113.9400001</v>
      </c>
      <c r="D56" s="183">
        <f>B56+C56</f>
        <v>3371819113.9349999</v>
      </c>
      <c r="E56" s="183">
        <f>SUM(E57:E59)</f>
        <v>1910427426.0899999</v>
      </c>
      <c r="F56" s="183">
        <f>SUM(F57:F59)</f>
        <v>1882969780.4499998</v>
      </c>
      <c r="G56" s="184">
        <f t="shared" si="1"/>
        <v>1461391687.845</v>
      </c>
    </row>
    <row r="57" spans="1:7" x14ac:dyDescent="0.25">
      <c r="A57" s="197" t="s">
        <v>176</v>
      </c>
      <c r="B57" s="182">
        <v>259999999.995</v>
      </c>
      <c r="C57" s="182">
        <v>3109369193.9400001</v>
      </c>
      <c r="D57" s="183">
        <f t="shared" si="0"/>
        <v>3369369193.9349999</v>
      </c>
      <c r="E57" s="182">
        <v>1908143425.29</v>
      </c>
      <c r="F57" s="182">
        <v>1880685779.6499999</v>
      </c>
      <c r="G57" s="184">
        <f t="shared" si="1"/>
        <v>1461225768.645</v>
      </c>
    </row>
    <row r="58" spans="1:7" x14ac:dyDescent="0.25">
      <c r="A58" s="197" t="s">
        <v>177</v>
      </c>
      <c r="B58" s="182"/>
      <c r="C58" s="182">
        <v>2449920</v>
      </c>
      <c r="D58" s="183">
        <f t="shared" si="0"/>
        <v>2449920</v>
      </c>
      <c r="E58" s="182">
        <v>2284000.7999999998</v>
      </c>
      <c r="F58" s="182">
        <v>2284000.7999999998</v>
      </c>
      <c r="G58" s="184">
        <f t="shared" si="1"/>
        <v>165919.20000000019</v>
      </c>
    </row>
    <row r="59" spans="1:7" x14ac:dyDescent="0.25">
      <c r="A59" s="197" t="s">
        <v>178</v>
      </c>
      <c r="B59" s="182"/>
      <c r="C59" s="182"/>
      <c r="D59" s="183">
        <f t="shared" si="0"/>
        <v>0</v>
      </c>
      <c r="E59" s="182"/>
      <c r="F59" s="182"/>
      <c r="G59" s="184">
        <f t="shared" si="1"/>
        <v>0</v>
      </c>
    </row>
    <row r="60" spans="1:7" x14ac:dyDescent="0.25">
      <c r="A60" s="198" t="s">
        <v>179</v>
      </c>
      <c r="B60" s="183">
        <f>SUM(B61:B67)</f>
        <v>27951116.004999999</v>
      </c>
      <c r="C60" s="183">
        <f>SUM(C61:C67)</f>
        <v>0</v>
      </c>
      <c r="D60" s="183">
        <f>B60+C60</f>
        <v>27951116.004999999</v>
      </c>
      <c r="E60" s="183">
        <f>SUM(E61:E67)</f>
        <v>0</v>
      </c>
      <c r="F60" s="183">
        <f>SUM(F61:F67)</f>
        <v>0</v>
      </c>
      <c r="G60" s="184">
        <f t="shared" si="1"/>
        <v>27951116.004999999</v>
      </c>
    </row>
    <row r="61" spans="1:7" x14ac:dyDescent="0.25">
      <c r="A61" s="197" t="s">
        <v>180</v>
      </c>
      <c r="B61" s="182"/>
      <c r="C61" s="182"/>
      <c r="D61" s="183">
        <f t="shared" si="0"/>
        <v>0</v>
      </c>
      <c r="E61" s="182"/>
      <c r="F61" s="182"/>
      <c r="G61" s="184">
        <f t="shared" si="1"/>
        <v>0</v>
      </c>
    </row>
    <row r="62" spans="1:7" ht="15.75" thickBot="1" x14ac:dyDescent="0.3">
      <c r="A62" s="199" t="s">
        <v>181</v>
      </c>
      <c r="B62" s="201"/>
      <c r="C62" s="201"/>
      <c r="D62" s="189">
        <f t="shared" si="0"/>
        <v>0</v>
      </c>
      <c r="E62" s="201"/>
      <c r="F62" s="201"/>
      <c r="G62" s="190">
        <f t="shared" si="1"/>
        <v>0</v>
      </c>
    </row>
    <row r="63" spans="1:7" x14ac:dyDescent="0.25">
      <c r="A63" s="197" t="s">
        <v>182</v>
      </c>
      <c r="B63" s="182"/>
      <c r="C63" s="182"/>
      <c r="D63" s="183">
        <f t="shared" si="0"/>
        <v>0</v>
      </c>
      <c r="E63" s="182"/>
      <c r="F63" s="182"/>
      <c r="G63" s="184">
        <f t="shared" si="1"/>
        <v>0</v>
      </c>
    </row>
    <row r="64" spans="1:7" x14ac:dyDescent="0.25">
      <c r="A64" s="197" t="s">
        <v>183</v>
      </c>
      <c r="B64" s="182"/>
      <c r="C64" s="182"/>
      <c r="D64" s="183">
        <f t="shared" si="0"/>
        <v>0</v>
      </c>
      <c r="E64" s="182"/>
      <c r="F64" s="182"/>
      <c r="G64" s="184">
        <f t="shared" si="1"/>
        <v>0</v>
      </c>
    </row>
    <row r="65" spans="1:7" x14ac:dyDescent="0.25">
      <c r="A65" s="197" t="s">
        <v>184</v>
      </c>
      <c r="B65" s="182"/>
      <c r="C65" s="182"/>
      <c r="D65" s="183">
        <f t="shared" si="0"/>
        <v>0</v>
      </c>
      <c r="E65" s="182"/>
      <c r="F65" s="182"/>
      <c r="G65" s="184">
        <f t="shared" si="1"/>
        <v>0</v>
      </c>
    </row>
    <row r="66" spans="1:7" x14ac:dyDescent="0.25">
      <c r="A66" s="197" t="s">
        <v>185</v>
      </c>
      <c r="B66" s="182"/>
      <c r="C66" s="182"/>
      <c r="D66" s="183">
        <f t="shared" si="0"/>
        <v>0</v>
      </c>
      <c r="E66" s="182"/>
      <c r="F66" s="182"/>
      <c r="G66" s="184">
        <f t="shared" si="1"/>
        <v>0</v>
      </c>
    </row>
    <row r="67" spans="1:7" x14ac:dyDescent="0.25">
      <c r="A67" s="197" t="s">
        <v>186</v>
      </c>
      <c r="B67" s="182">
        <v>27951116.004999999</v>
      </c>
      <c r="C67" s="182"/>
      <c r="D67" s="183">
        <f t="shared" si="0"/>
        <v>27951116.004999999</v>
      </c>
      <c r="E67" s="182"/>
      <c r="F67" s="182"/>
      <c r="G67" s="184">
        <f t="shared" si="1"/>
        <v>27951116.004999999</v>
      </c>
    </row>
    <row r="68" spans="1:7" x14ac:dyDescent="0.25">
      <c r="A68" s="198" t="s">
        <v>10</v>
      </c>
      <c r="B68" s="183">
        <f>SUM(B69:B71)</f>
        <v>0</v>
      </c>
      <c r="C68" s="183">
        <f>SUM(C69:C71)</f>
        <v>0</v>
      </c>
      <c r="D68" s="183">
        <f>B68+C68</f>
        <v>0</v>
      </c>
      <c r="E68" s="183">
        <f>SUM(E69:E71)</f>
        <v>0</v>
      </c>
      <c r="F68" s="183">
        <f>SUM(F69:F71)</f>
        <v>0</v>
      </c>
      <c r="G68" s="184">
        <f t="shared" si="1"/>
        <v>0</v>
      </c>
    </row>
    <row r="69" spans="1:7" x14ac:dyDescent="0.25">
      <c r="A69" s="197" t="s">
        <v>26</v>
      </c>
      <c r="B69" s="182"/>
      <c r="C69" s="182"/>
      <c r="D69" s="183">
        <f t="shared" si="0"/>
        <v>0</v>
      </c>
      <c r="E69" s="182"/>
      <c r="F69" s="182"/>
      <c r="G69" s="184">
        <f t="shared" si="1"/>
        <v>0</v>
      </c>
    </row>
    <row r="70" spans="1:7" x14ac:dyDescent="0.25">
      <c r="A70" s="197" t="s">
        <v>3</v>
      </c>
      <c r="B70" s="182"/>
      <c r="C70" s="182"/>
      <c r="D70" s="183">
        <f t="shared" si="0"/>
        <v>0</v>
      </c>
      <c r="E70" s="182"/>
      <c r="F70" s="182"/>
      <c r="G70" s="184">
        <f t="shared" si="1"/>
        <v>0</v>
      </c>
    </row>
    <row r="71" spans="1:7" x14ac:dyDescent="0.25">
      <c r="A71" s="197" t="s">
        <v>27</v>
      </c>
      <c r="B71" s="182"/>
      <c r="C71" s="182"/>
      <c r="D71" s="183">
        <f t="shared" si="0"/>
        <v>0</v>
      </c>
      <c r="E71" s="182"/>
      <c r="F71" s="182"/>
      <c r="G71" s="184">
        <f t="shared" si="1"/>
        <v>0</v>
      </c>
    </row>
    <row r="72" spans="1:7" x14ac:dyDescent="0.25">
      <c r="A72" s="198" t="s">
        <v>187</v>
      </c>
      <c r="B72" s="183">
        <f>SUM(B73:B79)</f>
        <v>90000000</v>
      </c>
      <c r="C72" s="183">
        <f>SUM(C73:C79)</f>
        <v>-320102.93999997154</v>
      </c>
      <c r="D72" s="183">
        <f>B72+C72</f>
        <v>89679897.060000032</v>
      </c>
      <c r="E72" s="183">
        <f>SUM(E73:E79)</f>
        <v>69977902.400000006</v>
      </c>
      <c r="F72" s="183">
        <f>SUM(F73:F79)</f>
        <v>68698950.810000002</v>
      </c>
      <c r="G72" s="184">
        <f t="shared" si="1"/>
        <v>19701994.660000026</v>
      </c>
    </row>
    <row r="73" spans="1:7" x14ac:dyDescent="0.25">
      <c r="A73" s="197" t="s">
        <v>188</v>
      </c>
      <c r="B73" s="182">
        <v>90000000</v>
      </c>
      <c r="C73" s="182">
        <v>-56608003.209999979</v>
      </c>
      <c r="D73" s="183">
        <f t="shared" ref="D73:D79" si="2">B73+C73</f>
        <v>33391996.790000021</v>
      </c>
      <c r="E73" s="182">
        <v>30931478.789999999</v>
      </c>
      <c r="F73" s="182">
        <v>30933478.789999999</v>
      </c>
      <c r="G73" s="184">
        <f t="shared" ref="G73:G79" si="3">D73-E73</f>
        <v>2460518.0000000224</v>
      </c>
    </row>
    <row r="74" spans="1:7" x14ac:dyDescent="0.25">
      <c r="A74" s="197" t="s">
        <v>28</v>
      </c>
      <c r="B74" s="182">
        <v>0</v>
      </c>
      <c r="C74" s="182">
        <v>28432546.320000004</v>
      </c>
      <c r="D74" s="183">
        <f t="shared" si="2"/>
        <v>28432546.320000004</v>
      </c>
      <c r="E74" s="182">
        <v>28432546.32</v>
      </c>
      <c r="F74" s="182">
        <v>28432546.32</v>
      </c>
      <c r="G74" s="184">
        <f t="shared" si="3"/>
        <v>0</v>
      </c>
    </row>
    <row r="75" spans="1:7" x14ac:dyDescent="0.25">
      <c r="A75" s="197" t="s">
        <v>29</v>
      </c>
      <c r="B75" s="182"/>
      <c r="C75" s="182"/>
      <c r="D75" s="183">
        <f t="shared" si="2"/>
        <v>0</v>
      </c>
      <c r="E75" s="182"/>
      <c r="F75" s="182"/>
      <c r="G75" s="184">
        <f t="shared" si="3"/>
        <v>0</v>
      </c>
    </row>
    <row r="76" spans="1:7" x14ac:dyDescent="0.25">
      <c r="A76" s="197" t="s">
        <v>30</v>
      </c>
      <c r="B76" s="182"/>
      <c r="C76" s="182"/>
      <c r="D76" s="183">
        <f t="shared" si="2"/>
        <v>0</v>
      </c>
      <c r="E76" s="182"/>
      <c r="F76" s="182"/>
      <c r="G76" s="184">
        <f t="shared" si="3"/>
        <v>0</v>
      </c>
    </row>
    <row r="77" spans="1:7" x14ac:dyDescent="0.25">
      <c r="A77" s="197" t="s">
        <v>31</v>
      </c>
      <c r="B77" s="182"/>
      <c r="C77" s="182"/>
      <c r="D77" s="183">
        <f t="shared" si="2"/>
        <v>0</v>
      </c>
      <c r="E77" s="182"/>
      <c r="F77" s="182"/>
      <c r="G77" s="184">
        <f t="shared" si="3"/>
        <v>0</v>
      </c>
    </row>
    <row r="78" spans="1:7" x14ac:dyDescent="0.25">
      <c r="A78" s="197" t="s">
        <v>32</v>
      </c>
      <c r="B78" s="182"/>
      <c r="C78" s="182"/>
      <c r="D78" s="183">
        <f t="shared" si="2"/>
        <v>0</v>
      </c>
      <c r="E78" s="182"/>
      <c r="F78" s="182"/>
      <c r="G78" s="184">
        <f t="shared" si="3"/>
        <v>0</v>
      </c>
    </row>
    <row r="79" spans="1:7" ht="15.75" thickBot="1" x14ac:dyDescent="0.3">
      <c r="A79" s="199" t="s">
        <v>189</v>
      </c>
      <c r="B79" s="201"/>
      <c r="C79" s="201">
        <v>27855353.950000003</v>
      </c>
      <c r="D79" s="189">
        <f t="shared" si="2"/>
        <v>27855353.950000003</v>
      </c>
      <c r="E79" s="201">
        <v>10613877.289999999</v>
      </c>
      <c r="F79" s="201">
        <v>9332925.6999999993</v>
      </c>
      <c r="G79" s="190">
        <f t="shared" si="3"/>
        <v>17241476.660000004</v>
      </c>
    </row>
    <row r="80" spans="1:7" ht="15.75" thickBot="1" x14ac:dyDescent="0.3">
      <c r="A80" s="200" t="s">
        <v>190</v>
      </c>
      <c r="B80" s="178">
        <f>B72+B68+B60+B56+B46+B36+B26+B16+B8</f>
        <v>782667131.32148921</v>
      </c>
      <c r="C80" s="178">
        <f>C72+C68+C60+C56+C46+C36+C26+C16+C8</f>
        <v>3346323507.4600005</v>
      </c>
      <c r="D80" s="178">
        <f>B80+C80</f>
        <v>4128990638.7814898</v>
      </c>
      <c r="E80" s="178">
        <f>E72+E68+E60+E56+E46+E36+E26+E16+E8</f>
        <v>2542826802.1500001</v>
      </c>
      <c r="F80" s="178">
        <f>F72+F68+F60+F56+F46+F36+F26+F16+F8</f>
        <v>2472706686.1100001</v>
      </c>
      <c r="G80" s="188">
        <f>D80-E80</f>
        <v>1586163836.6314898</v>
      </c>
    </row>
    <row r="81" spans="1:7" x14ac:dyDescent="0.25">
      <c r="A81" s="243"/>
      <c r="B81" s="211"/>
      <c r="C81" s="211"/>
      <c r="D81" s="211"/>
      <c r="E81" s="211"/>
      <c r="F81" s="211"/>
      <c r="G81" s="211"/>
    </row>
    <row r="82" spans="1:7" x14ac:dyDescent="0.25">
      <c r="A82" s="243"/>
      <c r="B82" s="211"/>
      <c r="C82" s="211"/>
      <c r="D82" s="211"/>
      <c r="E82" s="211"/>
      <c r="F82" s="211"/>
      <c r="G82" s="211"/>
    </row>
    <row r="83" spans="1:7" x14ac:dyDescent="0.25">
      <c r="A83" s="243"/>
      <c r="B83" s="211"/>
      <c r="C83" s="211"/>
      <c r="D83" s="211"/>
      <c r="E83" s="211"/>
      <c r="F83" s="211"/>
      <c r="G83" s="211"/>
    </row>
    <row r="84" spans="1:7" x14ac:dyDescent="0.25">
      <c r="A84" s="243"/>
      <c r="B84" s="211"/>
      <c r="C84" s="211"/>
      <c r="D84" s="211"/>
      <c r="E84" s="211"/>
      <c r="F84" s="211"/>
      <c r="G84" s="211"/>
    </row>
    <row r="85" spans="1:7" x14ac:dyDescent="0.25">
      <c r="A85" s="243"/>
      <c r="B85" s="211"/>
      <c r="C85" s="211"/>
      <c r="D85" s="211"/>
      <c r="E85" s="211"/>
      <c r="F85" s="211"/>
      <c r="G85" s="211"/>
    </row>
    <row r="86" spans="1:7" x14ac:dyDescent="0.25">
      <c r="A86" s="243"/>
      <c r="B86" s="211"/>
      <c r="C86" s="211"/>
      <c r="D86" s="211"/>
      <c r="E86" s="211"/>
      <c r="F86" s="211"/>
      <c r="G86" s="211"/>
    </row>
    <row r="87" spans="1:7" ht="16.5" x14ac:dyDescent="0.25">
      <c r="A87" s="8"/>
      <c r="B87" s="8"/>
      <c r="C87" s="8"/>
      <c r="D87" s="8"/>
      <c r="E87" s="8"/>
      <c r="F87" s="8"/>
      <c r="G87" s="8"/>
    </row>
    <row r="88" spans="1:7" ht="16.5" x14ac:dyDescent="0.25">
      <c r="A88" s="8"/>
      <c r="B88" s="8"/>
      <c r="C88" s="8"/>
      <c r="D88" s="8"/>
      <c r="E88" s="8"/>
      <c r="F88" s="8"/>
      <c r="G88" s="8"/>
    </row>
    <row r="89" spans="1:7" ht="16.5" x14ac:dyDescent="0.25">
      <c r="A89" s="8"/>
      <c r="B89" s="8"/>
      <c r="C89" s="8"/>
      <c r="D89" s="8"/>
      <c r="E89" s="8"/>
      <c r="F89" s="8"/>
      <c r="G89" s="8"/>
    </row>
    <row r="90" spans="1:7" ht="16.5" x14ac:dyDescent="0.25">
      <c r="A90" s="8"/>
      <c r="B90" s="8"/>
      <c r="C90" s="8"/>
      <c r="D90" s="8"/>
      <c r="E90" s="8"/>
      <c r="F90" s="8"/>
      <c r="G90" s="8"/>
    </row>
  </sheetData>
  <sheetProtection password="C115" sheet="1" scenarios="1" formatColumns="0" formatRows="0"/>
  <mergeCells count="6">
    <mergeCell ref="A6:A7"/>
    <mergeCell ref="A1:G1"/>
    <mergeCell ref="A2:G2"/>
    <mergeCell ref="A3:G3"/>
    <mergeCell ref="A4:G4"/>
    <mergeCell ref="A5:E5"/>
  </mergeCells>
  <pageMargins left="0.70866141732283472" right="0.70866141732283472" top="0.74803149606299213" bottom="0.74803149606299213" header="0.31496062992125984" footer="0.31496062992125984"/>
  <pageSetup scale="67" orientation="portrait" horizontalDpi="1200" verticalDpi="1200" r:id="rId1"/>
  <rowBreaks count="1" manualBreakCount="1">
    <brk id="6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 tint="-0.249977111117893"/>
  </sheetPr>
  <dimension ref="A1:I159"/>
  <sheetViews>
    <sheetView view="pageBreakPreview" zoomScaleSheetLayoutView="100" workbookViewId="0">
      <selection activeCell="A11" sqref="A10:O16"/>
    </sheetView>
  </sheetViews>
  <sheetFormatPr baseColWidth="10" defaultRowHeight="15" x14ac:dyDescent="0.25"/>
  <cols>
    <col min="1" max="1" width="6.140625" customWidth="1"/>
    <col min="2" max="2" width="53.140625" customWidth="1"/>
    <col min="3" max="3" width="13.28515625" customWidth="1"/>
    <col min="4" max="4" width="14" customWidth="1"/>
    <col min="5" max="5" width="15.85546875" customWidth="1"/>
    <col min="6" max="6" width="13.7109375" customWidth="1"/>
    <col min="7" max="7" width="13.85546875" customWidth="1"/>
    <col min="8" max="8" width="14.42578125" bestFit="1" customWidth="1"/>
  </cols>
  <sheetData>
    <row r="1" spans="1:8" ht="15.75" x14ac:dyDescent="0.25">
      <c r="A1" s="524" t="e">
        <f>#REF!</f>
        <v>#REF!</v>
      </c>
      <c r="B1" s="525"/>
      <c r="C1" s="525"/>
      <c r="D1" s="525"/>
      <c r="E1" s="525"/>
      <c r="F1" s="525"/>
      <c r="G1" s="525"/>
      <c r="H1" s="526"/>
    </row>
    <row r="2" spans="1:8" x14ac:dyDescent="0.25">
      <c r="A2" s="527" t="s">
        <v>191</v>
      </c>
      <c r="B2" s="528"/>
      <c r="C2" s="528"/>
      <c r="D2" s="528"/>
      <c r="E2" s="528"/>
      <c r="F2" s="528"/>
      <c r="G2" s="528"/>
      <c r="H2" s="529"/>
    </row>
    <row r="3" spans="1:8" x14ac:dyDescent="0.25">
      <c r="A3" s="527" t="s">
        <v>192</v>
      </c>
      <c r="B3" s="528"/>
      <c r="C3" s="528"/>
      <c r="D3" s="528"/>
      <c r="E3" s="528"/>
      <c r="F3" s="528"/>
      <c r="G3" s="528"/>
      <c r="H3" s="529"/>
    </row>
    <row r="4" spans="1:8" x14ac:dyDescent="0.25">
      <c r="A4" s="527" t="e">
        <f>'ETCA-II-02'!A3:I3</f>
        <v>#REF!</v>
      </c>
      <c r="B4" s="528"/>
      <c r="C4" s="528"/>
      <c r="D4" s="528"/>
      <c r="E4" s="528"/>
      <c r="F4" s="528"/>
      <c r="G4" s="528"/>
      <c r="H4" s="529"/>
    </row>
    <row r="5" spans="1:8" ht="15.75" thickBot="1" x14ac:dyDescent="0.3">
      <c r="A5" s="521" t="s">
        <v>5</v>
      </c>
      <c r="B5" s="522"/>
      <c r="C5" s="522"/>
      <c r="D5" s="522"/>
      <c r="E5" s="522"/>
      <c r="F5" s="522"/>
      <c r="G5" s="522"/>
      <c r="H5" s="523"/>
    </row>
    <row r="6" spans="1:8" ht="15.75" thickBot="1" x14ac:dyDescent="0.3">
      <c r="A6" s="532" t="s">
        <v>6</v>
      </c>
      <c r="B6" s="533"/>
      <c r="C6" s="535" t="s">
        <v>193</v>
      </c>
      <c r="D6" s="536"/>
      <c r="E6" s="536"/>
      <c r="F6" s="536"/>
      <c r="G6" s="537"/>
      <c r="H6" s="538" t="s">
        <v>194</v>
      </c>
    </row>
    <row r="7" spans="1:8" ht="18.75" thickBot="1" x14ac:dyDescent="0.3">
      <c r="A7" s="521"/>
      <c r="B7" s="534"/>
      <c r="C7" s="345" t="s">
        <v>195</v>
      </c>
      <c r="D7" s="279" t="s">
        <v>196</v>
      </c>
      <c r="E7" s="345" t="s">
        <v>197</v>
      </c>
      <c r="F7" s="345" t="s">
        <v>66</v>
      </c>
      <c r="G7" s="345" t="s">
        <v>198</v>
      </c>
      <c r="H7" s="539"/>
    </row>
    <row r="8" spans="1:8" x14ac:dyDescent="0.25">
      <c r="A8" s="346"/>
      <c r="B8" s="308"/>
      <c r="C8" s="308"/>
      <c r="D8" s="309"/>
      <c r="E8" s="308"/>
      <c r="F8" s="308"/>
      <c r="G8" s="308"/>
      <c r="H8" s="310"/>
    </row>
    <row r="9" spans="1:8" x14ac:dyDescent="0.25">
      <c r="A9" s="540" t="s">
        <v>199</v>
      </c>
      <c r="B9" s="541"/>
      <c r="C9" s="275">
        <f t="shared" ref="C9:H9" si="0">+C10+C18+C28+C38+C48+C58+C62+C71+C75</f>
        <v>667667131.32648921</v>
      </c>
      <c r="D9" s="275">
        <f t="shared" si="0"/>
        <v>308747728.94999999</v>
      </c>
      <c r="E9" s="275">
        <f t="shared" si="0"/>
        <v>976414860.27648926</v>
      </c>
      <c r="F9" s="275">
        <f t="shared" si="0"/>
        <v>808176482.8599999</v>
      </c>
      <c r="G9" s="275">
        <f t="shared" si="0"/>
        <v>760740199.47000003</v>
      </c>
      <c r="H9" s="275">
        <f t="shared" si="0"/>
        <v>168238377.41648927</v>
      </c>
    </row>
    <row r="10" spans="1:8" x14ac:dyDescent="0.25">
      <c r="A10" s="530" t="s">
        <v>200</v>
      </c>
      <c r="B10" s="531"/>
      <c r="C10" s="276">
        <f>SUM(C11:C17)</f>
        <v>227702200.89527455</v>
      </c>
      <c r="D10" s="276">
        <f t="shared" ref="D10:H10" si="1">SUM(D11:D17)</f>
        <v>21177279.109999999</v>
      </c>
      <c r="E10" s="276">
        <f t="shared" si="1"/>
        <v>248879480.0052745</v>
      </c>
      <c r="F10" s="276">
        <f t="shared" si="1"/>
        <v>248868916.04999998</v>
      </c>
      <c r="G10" s="276">
        <f t="shared" si="1"/>
        <v>236451307.04999998</v>
      </c>
      <c r="H10" s="276">
        <f t="shared" si="1"/>
        <v>10563.955274547683</v>
      </c>
    </row>
    <row r="11" spans="1:8" x14ac:dyDescent="0.25">
      <c r="A11" s="344"/>
      <c r="B11" s="307" t="s">
        <v>201</v>
      </c>
      <c r="C11" s="278">
        <v>122826728.74877027</v>
      </c>
      <c r="D11" s="278">
        <v>9987709.2500000019</v>
      </c>
      <c r="E11" s="276">
        <f>C11+D11</f>
        <v>132814437.99877027</v>
      </c>
      <c r="F11" s="278">
        <v>132813514.50999998</v>
      </c>
      <c r="G11" s="278">
        <v>127833439.16999999</v>
      </c>
      <c r="H11" s="277">
        <f t="shared" ref="H11:H17" si="2">+E11-F11</f>
        <v>923.48877029120922</v>
      </c>
    </row>
    <row r="12" spans="1:8" x14ac:dyDescent="0.25">
      <c r="A12" s="344"/>
      <c r="B12" s="307" t="s">
        <v>202</v>
      </c>
      <c r="C12" s="278">
        <v>2182566.3062395351</v>
      </c>
      <c r="D12" s="278">
        <v>-954506.50999999989</v>
      </c>
      <c r="E12" s="276">
        <f t="shared" ref="E12:E76" si="3">C12+D12</f>
        <v>1228059.7962395353</v>
      </c>
      <c r="F12" s="278">
        <v>1228059.49</v>
      </c>
      <c r="G12" s="278">
        <v>1182961.1599999999</v>
      </c>
      <c r="H12" s="277">
        <f t="shared" si="2"/>
        <v>0.30623953533358872</v>
      </c>
    </row>
    <row r="13" spans="1:8" x14ac:dyDescent="0.25">
      <c r="A13" s="344"/>
      <c r="B13" s="307" t="s">
        <v>203</v>
      </c>
      <c r="C13" s="278">
        <v>19695507.8909165</v>
      </c>
      <c r="D13" s="278">
        <v>12025337.08</v>
      </c>
      <c r="E13" s="276">
        <f t="shared" si="3"/>
        <v>31720844.970916502</v>
      </c>
      <c r="F13" s="278">
        <v>31720844.870000005</v>
      </c>
      <c r="G13" s="278">
        <v>31513504.610000003</v>
      </c>
      <c r="H13" s="277">
        <f t="shared" si="2"/>
        <v>0.10091649740934372</v>
      </c>
    </row>
    <row r="14" spans="1:8" x14ac:dyDescent="0.25">
      <c r="A14" s="344"/>
      <c r="B14" s="307" t="s">
        <v>204</v>
      </c>
      <c r="C14" s="278">
        <v>43659190.108648501</v>
      </c>
      <c r="D14" s="278">
        <v>60272.739999999292</v>
      </c>
      <c r="E14" s="276">
        <f t="shared" si="3"/>
        <v>43719462.848648503</v>
      </c>
      <c r="F14" s="278">
        <v>43719358.630000003</v>
      </c>
      <c r="G14" s="278">
        <v>39056946.869999997</v>
      </c>
      <c r="H14" s="277">
        <f t="shared" si="2"/>
        <v>104.21864850074053</v>
      </c>
    </row>
    <row r="15" spans="1:8" x14ac:dyDescent="0.25">
      <c r="A15" s="344"/>
      <c r="B15" s="307" t="s">
        <v>205</v>
      </c>
      <c r="C15" s="278">
        <v>36414157.083194152</v>
      </c>
      <c r="D15" s="278">
        <v>60188.140000000596</v>
      </c>
      <c r="E15" s="276">
        <f t="shared" si="3"/>
        <v>36474345.223194152</v>
      </c>
      <c r="F15" s="278">
        <v>36464809.519999996</v>
      </c>
      <c r="G15" s="278">
        <v>34092861.209999993</v>
      </c>
      <c r="H15" s="277">
        <f t="shared" si="2"/>
        <v>9535.7031941562891</v>
      </c>
    </row>
    <row r="16" spans="1:8" x14ac:dyDescent="0.25">
      <c r="A16" s="344"/>
      <c r="B16" s="307" t="s">
        <v>206</v>
      </c>
      <c r="C16" s="278"/>
      <c r="D16" s="278">
        <v>0</v>
      </c>
      <c r="E16" s="276">
        <f t="shared" si="3"/>
        <v>0</v>
      </c>
      <c r="F16" s="278">
        <v>0</v>
      </c>
      <c r="G16" s="278">
        <v>0</v>
      </c>
      <c r="H16" s="277">
        <f t="shared" si="2"/>
        <v>0</v>
      </c>
    </row>
    <row r="17" spans="1:8" x14ac:dyDescent="0.25">
      <c r="A17" s="344"/>
      <c r="B17" s="307" t="s">
        <v>207</v>
      </c>
      <c r="C17" s="278">
        <v>2924050.7575055668</v>
      </c>
      <c r="D17" s="278">
        <v>-1721.5899999999674</v>
      </c>
      <c r="E17" s="276">
        <f t="shared" si="3"/>
        <v>2922329.167505567</v>
      </c>
      <c r="F17" s="278">
        <v>2922329.0300000003</v>
      </c>
      <c r="G17" s="278">
        <v>2771594.0300000003</v>
      </c>
      <c r="H17" s="277">
        <f t="shared" si="2"/>
        <v>0.13750556670129299</v>
      </c>
    </row>
    <row r="18" spans="1:8" x14ac:dyDescent="0.25">
      <c r="A18" s="530" t="s">
        <v>208</v>
      </c>
      <c r="B18" s="531"/>
      <c r="C18" s="276">
        <f>SUM(C19:C27)</f>
        <v>25483978.082213655</v>
      </c>
      <c r="D18" s="276">
        <f t="shared" ref="D18:H18" si="4">SUM(D19:D27)</f>
        <v>25742681.009999998</v>
      </c>
      <c r="E18" s="276">
        <f t="shared" si="4"/>
        <v>51226659.09221366</v>
      </c>
      <c r="F18" s="276">
        <f t="shared" si="4"/>
        <v>27168168.659999996</v>
      </c>
      <c r="G18" s="276">
        <f t="shared" si="4"/>
        <v>24828425.310000002</v>
      </c>
      <c r="H18" s="276">
        <f t="shared" si="4"/>
        <v>24058490.432213657</v>
      </c>
    </row>
    <row r="19" spans="1:8" x14ac:dyDescent="0.25">
      <c r="A19" s="344"/>
      <c r="B19" s="307" t="s">
        <v>209</v>
      </c>
      <c r="C19" s="278">
        <v>2248291.971737816</v>
      </c>
      <c r="D19" s="278">
        <v>-429139.43</v>
      </c>
      <c r="E19" s="276">
        <f t="shared" si="3"/>
        <v>1819152.5417378161</v>
      </c>
      <c r="F19" s="278">
        <v>1482602.5400000003</v>
      </c>
      <c r="G19" s="278">
        <v>1479628.57</v>
      </c>
      <c r="H19" s="277">
        <f t="shared" ref="H19:H82" si="5">+E19-F19</f>
        <v>336550.00173781579</v>
      </c>
    </row>
    <row r="20" spans="1:8" x14ac:dyDescent="0.25">
      <c r="A20" s="344"/>
      <c r="B20" s="307" t="s">
        <v>210</v>
      </c>
      <c r="C20" s="278">
        <v>612802.39880192175</v>
      </c>
      <c r="D20" s="278">
        <v>-147839.09000000003</v>
      </c>
      <c r="E20" s="276">
        <f t="shared" si="3"/>
        <v>464963.30880192172</v>
      </c>
      <c r="F20" s="278">
        <v>402077.98</v>
      </c>
      <c r="G20" s="278">
        <v>321409.37999999995</v>
      </c>
      <c r="H20" s="277">
        <f t="shared" si="5"/>
        <v>62885.328801921743</v>
      </c>
    </row>
    <row r="21" spans="1:8" x14ac:dyDescent="0.25">
      <c r="A21" s="344"/>
      <c r="B21" s="307" t="s">
        <v>211</v>
      </c>
      <c r="C21" s="278">
        <v>2245216.0910823718</v>
      </c>
      <c r="D21" s="278">
        <v>6598564.0999999996</v>
      </c>
      <c r="E21" s="276">
        <f t="shared" si="3"/>
        <v>8843780.1910823714</v>
      </c>
      <c r="F21" s="278">
        <v>6692647.6399999997</v>
      </c>
      <c r="G21" s="278">
        <v>6182328.3700000001</v>
      </c>
      <c r="H21" s="277">
        <f t="shared" si="5"/>
        <v>2151132.5510823717</v>
      </c>
    </row>
    <row r="22" spans="1:8" x14ac:dyDescent="0.25">
      <c r="A22" s="344"/>
      <c r="B22" s="307" t="s">
        <v>212</v>
      </c>
      <c r="C22" s="278">
        <v>877366.97313757439</v>
      </c>
      <c r="D22" s="278">
        <v>-152104.91999999998</v>
      </c>
      <c r="E22" s="276">
        <f t="shared" si="3"/>
        <v>725262.05313757434</v>
      </c>
      <c r="F22" s="278">
        <v>639767.05000000005</v>
      </c>
      <c r="G22" s="278">
        <v>637016.99</v>
      </c>
      <c r="H22" s="277">
        <f t="shared" si="5"/>
        <v>85495.003137574298</v>
      </c>
    </row>
    <row r="23" spans="1:8" x14ac:dyDescent="0.25">
      <c r="A23" s="344"/>
      <c r="B23" s="307" t="s">
        <v>213</v>
      </c>
      <c r="C23" s="278">
        <v>3655443.332885351</v>
      </c>
      <c r="D23" s="278">
        <v>1867105.29</v>
      </c>
      <c r="E23" s="276">
        <f t="shared" si="3"/>
        <v>5522548.6228853511</v>
      </c>
      <c r="F23" s="278">
        <v>1923630.1199999999</v>
      </c>
      <c r="G23" s="278">
        <v>1577741.3199999998</v>
      </c>
      <c r="H23" s="277">
        <f t="shared" si="5"/>
        <v>3598918.502885351</v>
      </c>
    </row>
    <row r="24" spans="1:8" x14ac:dyDescent="0.25">
      <c r="A24" s="344"/>
      <c r="B24" s="307" t="s">
        <v>214</v>
      </c>
      <c r="C24" s="278">
        <v>10294453.783337705</v>
      </c>
      <c r="D24" s="278">
        <v>2886437.1599999997</v>
      </c>
      <c r="E24" s="276">
        <f t="shared" si="3"/>
        <v>13180890.943337705</v>
      </c>
      <c r="F24" s="278">
        <v>11629472.039999999</v>
      </c>
      <c r="G24" s="278">
        <v>10980847.33</v>
      </c>
      <c r="H24" s="277">
        <f t="shared" si="5"/>
        <v>1551418.9033377059</v>
      </c>
    </row>
    <row r="25" spans="1:8" x14ac:dyDescent="0.25">
      <c r="A25" s="344"/>
      <c r="B25" s="307" t="s">
        <v>215</v>
      </c>
      <c r="C25" s="278">
        <v>2625781.0166685618</v>
      </c>
      <c r="D25" s="278">
        <v>-994673.5199999999</v>
      </c>
      <c r="E25" s="276">
        <f t="shared" si="3"/>
        <v>1631107.4966685618</v>
      </c>
      <c r="F25" s="278">
        <v>1061972.2</v>
      </c>
      <c r="G25" s="278">
        <v>463885.03000000009</v>
      </c>
      <c r="H25" s="277">
        <f t="shared" si="5"/>
        <v>569135.29666856187</v>
      </c>
    </row>
    <row r="26" spans="1:8" x14ac:dyDescent="0.25">
      <c r="A26" s="344"/>
      <c r="B26" s="307" t="s">
        <v>216</v>
      </c>
      <c r="C26" s="278">
        <v>6500</v>
      </c>
      <c r="D26" s="278">
        <v>-5400</v>
      </c>
      <c r="E26" s="276">
        <f t="shared" si="3"/>
        <v>1100</v>
      </c>
      <c r="F26" s="278">
        <v>0</v>
      </c>
      <c r="G26" s="278">
        <v>0</v>
      </c>
      <c r="H26" s="277">
        <f t="shared" si="5"/>
        <v>1100</v>
      </c>
    </row>
    <row r="27" spans="1:8" x14ac:dyDescent="0.25">
      <c r="A27" s="344"/>
      <c r="B27" s="307" t="s">
        <v>217</v>
      </c>
      <c r="C27" s="278">
        <v>2918122.5145623544</v>
      </c>
      <c r="D27" s="278">
        <v>16119731.42</v>
      </c>
      <c r="E27" s="276">
        <f t="shared" si="3"/>
        <v>19037853.934562355</v>
      </c>
      <c r="F27" s="278">
        <v>3335999.09</v>
      </c>
      <c r="G27" s="278">
        <v>3185568.3200000003</v>
      </c>
      <c r="H27" s="277">
        <f t="shared" si="5"/>
        <v>15701854.844562355</v>
      </c>
    </row>
    <row r="28" spans="1:8" x14ac:dyDescent="0.25">
      <c r="A28" s="530" t="s">
        <v>218</v>
      </c>
      <c r="B28" s="531"/>
      <c r="C28" s="276">
        <f>SUM(C29:C37)</f>
        <v>147233209.45890099</v>
      </c>
      <c r="D28" s="276">
        <f t="shared" ref="D28:H28" si="6">SUM(D29:D37)</f>
        <v>167699943.33000001</v>
      </c>
      <c r="E28" s="276">
        <f t="shared" si="6"/>
        <v>314933152.78890097</v>
      </c>
      <c r="F28" s="276">
        <f t="shared" si="6"/>
        <v>262049563.19999999</v>
      </c>
      <c r="G28" s="276">
        <f t="shared" si="6"/>
        <v>239134510.09999999</v>
      </c>
      <c r="H28" s="276">
        <f t="shared" si="6"/>
        <v>52883589.588901013</v>
      </c>
    </row>
    <row r="29" spans="1:8" x14ac:dyDescent="0.25">
      <c r="A29" s="344"/>
      <c r="B29" s="307" t="s">
        <v>219</v>
      </c>
      <c r="C29" s="278">
        <v>61038412.895877376</v>
      </c>
      <c r="D29" s="278">
        <v>72606782.280000001</v>
      </c>
      <c r="E29" s="276">
        <f t="shared" si="3"/>
        <v>133645195.17587738</v>
      </c>
      <c r="F29" s="278">
        <v>128237716.24999999</v>
      </c>
      <c r="G29" s="278">
        <v>127489716.44999999</v>
      </c>
      <c r="H29" s="277">
        <f t="shared" si="5"/>
        <v>5407478.9258773923</v>
      </c>
    </row>
    <row r="30" spans="1:8" x14ac:dyDescent="0.25">
      <c r="A30" s="344"/>
      <c r="B30" s="307" t="s">
        <v>220</v>
      </c>
      <c r="C30" s="278">
        <v>6517933.3933127671</v>
      </c>
      <c r="D30" s="278">
        <v>4315296.3899999997</v>
      </c>
      <c r="E30" s="276">
        <f t="shared" si="3"/>
        <v>10833229.783312768</v>
      </c>
      <c r="F30" s="278">
        <v>7656212.8300000001</v>
      </c>
      <c r="G30" s="278">
        <v>6768783.1699999999</v>
      </c>
      <c r="H30" s="277">
        <f t="shared" si="5"/>
        <v>3177016.9533127677</v>
      </c>
    </row>
    <row r="31" spans="1:8" x14ac:dyDescent="0.25">
      <c r="A31" s="344"/>
      <c r="B31" s="307" t="s">
        <v>221</v>
      </c>
      <c r="C31" s="278">
        <v>7749041.5543209761</v>
      </c>
      <c r="D31" s="278">
        <v>80734867.11999999</v>
      </c>
      <c r="E31" s="276">
        <f t="shared" si="3"/>
        <v>88483908.674320966</v>
      </c>
      <c r="F31" s="278">
        <v>86284238.400000006</v>
      </c>
      <c r="G31" s="278">
        <v>85599806.280000001</v>
      </c>
      <c r="H31" s="277">
        <f t="shared" si="5"/>
        <v>2199670.27432096</v>
      </c>
    </row>
    <row r="32" spans="1:8" x14ac:dyDescent="0.25">
      <c r="A32" s="344"/>
      <c r="B32" s="307" t="s">
        <v>222</v>
      </c>
      <c r="C32" s="278">
        <v>10191755.271978199</v>
      </c>
      <c r="D32" s="278">
        <v>-5373304.2199999997</v>
      </c>
      <c r="E32" s="276">
        <f t="shared" si="3"/>
        <v>4818451.0519781997</v>
      </c>
      <c r="F32" s="278">
        <v>2978249.7</v>
      </c>
      <c r="G32" s="278">
        <v>2918303.0900000003</v>
      </c>
      <c r="H32" s="277">
        <f t="shared" si="5"/>
        <v>1840201.3519781996</v>
      </c>
    </row>
    <row r="33" spans="1:8" x14ac:dyDescent="0.25">
      <c r="A33" s="344"/>
      <c r="B33" s="307" t="s">
        <v>223</v>
      </c>
      <c r="C33" s="278">
        <v>16927289.39632158</v>
      </c>
      <c r="D33" s="278">
        <v>-2664231.5599999991</v>
      </c>
      <c r="E33" s="276">
        <f t="shared" si="3"/>
        <v>14263057.836321581</v>
      </c>
      <c r="F33" s="278">
        <v>10569506.140000001</v>
      </c>
      <c r="G33" s="278">
        <v>8330071.4100000001</v>
      </c>
      <c r="H33" s="277">
        <f t="shared" si="5"/>
        <v>3693551.6963215806</v>
      </c>
    </row>
    <row r="34" spans="1:8" x14ac:dyDescent="0.25">
      <c r="A34" s="344"/>
      <c r="B34" s="307" t="s">
        <v>224</v>
      </c>
      <c r="C34" s="278">
        <v>1803370.7264297067</v>
      </c>
      <c r="D34" s="278">
        <v>-1334992.1299999999</v>
      </c>
      <c r="E34" s="276">
        <f t="shared" si="3"/>
        <v>468378.59642970678</v>
      </c>
      <c r="F34" s="278">
        <v>118011</v>
      </c>
      <c r="G34" s="278">
        <v>118011</v>
      </c>
      <c r="H34" s="277">
        <f t="shared" si="5"/>
        <v>350367.59642970678</v>
      </c>
    </row>
    <row r="35" spans="1:8" x14ac:dyDescent="0.25">
      <c r="A35" s="344"/>
      <c r="B35" s="307" t="s">
        <v>225</v>
      </c>
      <c r="C35" s="278">
        <v>2769974.7739054281</v>
      </c>
      <c r="D35" s="278">
        <v>-644309.97000000009</v>
      </c>
      <c r="E35" s="276">
        <f t="shared" si="3"/>
        <v>2125664.8039054279</v>
      </c>
      <c r="F35" s="278">
        <v>1799477.41</v>
      </c>
      <c r="G35" s="278">
        <v>1797531.28</v>
      </c>
      <c r="H35" s="277">
        <f t="shared" si="5"/>
        <v>326187.39390542801</v>
      </c>
    </row>
    <row r="36" spans="1:8" x14ac:dyDescent="0.25">
      <c r="A36" s="344"/>
      <c r="B36" s="307" t="s">
        <v>226</v>
      </c>
      <c r="C36" s="278">
        <v>92700</v>
      </c>
      <c r="D36" s="278">
        <v>658592.99</v>
      </c>
      <c r="E36" s="276">
        <f t="shared" si="3"/>
        <v>751292.99</v>
      </c>
      <c r="F36" s="278">
        <v>749934.99</v>
      </c>
      <c r="G36" s="278">
        <v>749934.99</v>
      </c>
      <c r="H36" s="277">
        <f t="shared" si="5"/>
        <v>1358</v>
      </c>
    </row>
    <row r="37" spans="1:8" ht="15.75" thickBot="1" x14ac:dyDescent="0.3">
      <c r="A37" s="306"/>
      <c r="B37" s="268" t="s">
        <v>227</v>
      </c>
      <c r="C37" s="286">
        <v>40142731.44675497</v>
      </c>
      <c r="D37" s="286">
        <v>19401242.430000003</v>
      </c>
      <c r="E37" s="287">
        <f t="shared" si="3"/>
        <v>59543973.876754969</v>
      </c>
      <c r="F37" s="286">
        <v>23656216.479999997</v>
      </c>
      <c r="G37" s="286">
        <v>5362352.43</v>
      </c>
      <c r="H37" s="288">
        <f t="shared" si="5"/>
        <v>35887757.396754973</v>
      </c>
    </row>
    <row r="38" spans="1:8" x14ac:dyDescent="0.25">
      <c r="A38" s="530" t="s">
        <v>228</v>
      </c>
      <c r="B38" s="531"/>
      <c r="C38" s="276">
        <f t="shared" ref="C38:H38" si="7">SUM(C39:C47)</f>
        <v>0</v>
      </c>
      <c r="D38" s="276">
        <f t="shared" si="7"/>
        <v>0</v>
      </c>
      <c r="E38" s="276">
        <f t="shared" si="7"/>
        <v>0</v>
      </c>
      <c r="F38" s="276">
        <f t="shared" si="7"/>
        <v>0</v>
      </c>
      <c r="G38" s="276">
        <f t="shared" si="7"/>
        <v>0</v>
      </c>
      <c r="H38" s="276">
        <f t="shared" si="7"/>
        <v>0</v>
      </c>
    </row>
    <row r="39" spans="1:8" x14ac:dyDescent="0.25">
      <c r="A39" s="344"/>
      <c r="B39" s="307" t="s">
        <v>229</v>
      </c>
      <c r="C39" s="278"/>
      <c r="D39" s="278"/>
      <c r="E39" s="276">
        <f t="shared" si="3"/>
        <v>0</v>
      </c>
      <c r="F39" s="278"/>
      <c r="G39" s="278"/>
      <c r="H39" s="277">
        <f t="shared" si="5"/>
        <v>0</v>
      </c>
    </row>
    <row r="40" spans="1:8" x14ac:dyDescent="0.25">
      <c r="A40" s="344"/>
      <c r="B40" s="307" t="s">
        <v>230</v>
      </c>
      <c r="C40" s="278"/>
      <c r="D40" s="278"/>
      <c r="E40" s="276">
        <f t="shared" si="3"/>
        <v>0</v>
      </c>
      <c r="F40" s="278"/>
      <c r="G40" s="278"/>
      <c r="H40" s="277">
        <f t="shared" si="5"/>
        <v>0</v>
      </c>
    </row>
    <row r="41" spans="1:8" x14ac:dyDescent="0.25">
      <c r="A41" s="344"/>
      <c r="B41" s="307" t="s">
        <v>231</v>
      </c>
      <c r="C41" s="278"/>
      <c r="D41" s="278"/>
      <c r="E41" s="276">
        <f t="shared" si="3"/>
        <v>0</v>
      </c>
      <c r="F41" s="278"/>
      <c r="G41" s="278"/>
      <c r="H41" s="277">
        <f t="shared" si="5"/>
        <v>0</v>
      </c>
    </row>
    <row r="42" spans="1:8" x14ac:dyDescent="0.25">
      <c r="A42" s="344"/>
      <c r="B42" s="307" t="s">
        <v>232</v>
      </c>
      <c r="C42" s="278"/>
      <c r="D42" s="278"/>
      <c r="E42" s="276">
        <f t="shared" si="3"/>
        <v>0</v>
      </c>
      <c r="F42" s="278"/>
      <c r="G42" s="278"/>
      <c r="H42" s="277">
        <f t="shared" si="5"/>
        <v>0</v>
      </c>
    </row>
    <row r="43" spans="1:8" x14ac:dyDescent="0.25">
      <c r="A43" s="344"/>
      <c r="B43" s="307" t="s">
        <v>233</v>
      </c>
      <c r="C43" s="278"/>
      <c r="D43" s="278"/>
      <c r="E43" s="276">
        <f t="shared" si="3"/>
        <v>0</v>
      </c>
      <c r="F43" s="278"/>
      <c r="G43" s="278"/>
      <c r="H43" s="277">
        <f t="shared" si="5"/>
        <v>0</v>
      </c>
    </row>
    <row r="44" spans="1:8" x14ac:dyDescent="0.25">
      <c r="A44" s="344"/>
      <c r="B44" s="307" t="s">
        <v>234</v>
      </c>
      <c r="C44" s="278"/>
      <c r="D44" s="278"/>
      <c r="E44" s="276">
        <f t="shared" si="3"/>
        <v>0</v>
      </c>
      <c r="F44" s="278"/>
      <c r="G44" s="278"/>
      <c r="H44" s="277">
        <f t="shared" si="5"/>
        <v>0</v>
      </c>
    </row>
    <row r="45" spans="1:8" x14ac:dyDescent="0.25">
      <c r="A45" s="344"/>
      <c r="B45" s="307" t="s">
        <v>235</v>
      </c>
      <c r="C45" s="278"/>
      <c r="D45" s="278"/>
      <c r="E45" s="276">
        <f t="shared" si="3"/>
        <v>0</v>
      </c>
      <c r="F45" s="278"/>
      <c r="G45" s="278"/>
      <c r="H45" s="277">
        <f t="shared" si="5"/>
        <v>0</v>
      </c>
    </row>
    <row r="46" spans="1:8" x14ac:dyDescent="0.25">
      <c r="A46" s="344"/>
      <c r="B46" s="307" t="s">
        <v>236</v>
      </c>
      <c r="C46" s="278"/>
      <c r="D46" s="278"/>
      <c r="E46" s="276">
        <f t="shared" si="3"/>
        <v>0</v>
      </c>
      <c r="F46" s="278"/>
      <c r="G46" s="278"/>
      <c r="H46" s="277">
        <f t="shared" si="5"/>
        <v>0</v>
      </c>
    </row>
    <row r="47" spans="1:8" x14ac:dyDescent="0.25">
      <c r="A47" s="344"/>
      <c r="B47" s="307" t="s">
        <v>237</v>
      </c>
      <c r="C47" s="278"/>
      <c r="D47" s="278"/>
      <c r="E47" s="276">
        <f t="shared" si="3"/>
        <v>0</v>
      </c>
      <c r="F47" s="278"/>
      <c r="G47" s="278"/>
      <c r="H47" s="277">
        <f t="shared" si="5"/>
        <v>0</v>
      </c>
    </row>
    <row r="48" spans="1:8" x14ac:dyDescent="0.25">
      <c r="A48" s="530" t="s">
        <v>238</v>
      </c>
      <c r="B48" s="531"/>
      <c r="C48" s="276">
        <f>SUM(C49:C57)</f>
        <v>4296626.8851000005</v>
      </c>
      <c r="D48" s="276">
        <f t="shared" ref="D48:H48" si="8">SUM(D49:D57)</f>
        <v>20204593.010000002</v>
      </c>
      <c r="E48" s="276">
        <f t="shared" si="8"/>
        <v>24501219.895100001</v>
      </c>
      <c r="F48" s="276">
        <f t="shared" si="8"/>
        <v>24334825.75</v>
      </c>
      <c r="G48" s="276">
        <f t="shared" si="8"/>
        <v>20623712.390000001</v>
      </c>
      <c r="H48" s="276">
        <f t="shared" si="8"/>
        <v>166394.14510000055</v>
      </c>
    </row>
    <row r="49" spans="1:8" x14ac:dyDescent="0.25">
      <c r="A49" s="344"/>
      <c r="B49" s="307" t="s">
        <v>239</v>
      </c>
      <c r="C49" s="278">
        <v>180354.8</v>
      </c>
      <c r="D49" s="278">
        <v>1119369.48</v>
      </c>
      <c r="E49" s="276">
        <f t="shared" si="3"/>
        <v>1299724.28</v>
      </c>
      <c r="F49" s="278">
        <v>1299360.48</v>
      </c>
      <c r="G49" s="278">
        <v>1147796.48</v>
      </c>
      <c r="H49" s="277">
        <f t="shared" si="5"/>
        <v>363.80000000004657</v>
      </c>
    </row>
    <row r="50" spans="1:8" x14ac:dyDescent="0.25">
      <c r="A50" s="344"/>
      <c r="B50" s="307" t="s">
        <v>240</v>
      </c>
      <c r="C50" s="278"/>
      <c r="D50" s="278">
        <v>0</v>
      </c>
      <c r="E50" s="276">
        <f t="shared" si="3"/>
        <v>0</v>
      </c>
      <c r="F50" s="278">
        <v>0</v>
      </c>
      <c r="G50" s="278">
        <v>0</v>
      </c>
      <c r="H50" s="277">
        <f t="shared" si="5"/>
        <v>0</v>
      </c>
    </row>
    <row r="51" spans="1:8" x14ac:dyDescent="0.25">
      <c r="A51" s="344"/>
      <c r="B51" s="307" t="s">
        <v>241</v>
      </c>
      <c r="C51" s="278"/>
      <c r="D51" s="278">
        <v>121800</v>
      </c>
      <c r="E51" s="276">
        <f t="shared" si="3"/>
        <v>121800</v>
      </c>
      <c r="F51" s="278">
        <v>121800</v>
      </c>
      <c r="G51" s="278">
        <v>121800</v>
      </c>
      <c r="H51" s="277">
        <f t="shared" si="5"/>
        <v>0</v>
      </c>
    </row>
    <row r="52" spans="1:8" x14ac:dyDescent="0.25">
      <c r="A52" s="344"/>
      <c r="B52" s="307" t="s">
        <v>242</v>
      </c>
      <c r="C52" s="278">
        <v>1595000</v>
      </c>
      <c r="D52" s="278">
        <v>13254790</v>
      </c>
      <c r="E52" s="276">
        <f t="shared" si="3"/>
        <v>14849790</v>
      </c>
      <c r="F52" s="278">
        <v>14738790</v>
      </c>
      <c r="G52" s="278">
        <v>14738790</v>
      </c>
      <c r="H52" s="277">
        <f t="shared" si="5"/>
        <v>111000</v>
      </c>
    </row>
    <row r="53" spans="1:8" x14ac:dyDescent="0.25">
      <c r="A53" s="344"/>
      <c r="B53" s="307" t="s">
        <v>243</v>
      </c>
      <c r="C53" s="278"/>
      <c r="D53" s="278"/>
      <c r="E53" s="276">
        <f t="shared" si="3"/>
        <v>0</v>
      </c>
      <c r="F53" s="278"/>
      <c r="G53" s="278"/>
      <c r="H53" s="277">
        <f t="shared" si="5"/>
        <v>0</v>
      </c>
    </row>
    <row r="54" spans="1:8" x14ac:dyDescent="0.25">
      <c r="A54" s="344"/>
      <c r="B54" s="307" t="s">
        <v>244</v>
      </c>
      <c r="C54" s="278">
        <v>2521272.0851000003</v>
      </c>
      <c r="D54" s="278">
        <v>5602284.6099999994</v>
      </c>
      <c r="E54" s="276">
        <f t="shared" si="3"/>
        <v>8123556.6951000001</v>
      </c>
      <c r="F54" s="278">
        <v>8068526.3499999996</v>
      </c>
      <c r="G54" s="278">
        <v>4508976.99</v>
      </c>
      <c r="H54" s="277">
        <f t="shared" si="5"/>
        <v>55030.345100000501</v>
      </c>
    </row>
    <row r="55" spans="1:8" x14ac:dyDescent="0.25">
      <c r="A55" s="344"/>
      <c r="B55" s="307" t="s">
        <v>245</v>
      </c>
      <c r="C55" s="278"/>
      <c r="D55" s="278"/>
      <c r="E55" s="276">
        <f t="shared" si="3"/>
        <v>0</v>
      </c>
      <c r="F55" s="278"/>
      <c r="G55" s="278"/>
      <c r="H55" s="277">
        <f t="shared" si="5"/>
        <v>0</v>
      </c>
    </row>
    <row r="56" spans="1:8" x14ac:dyDescent="0.25">
      <c r="A56" s="344"/>
      <c r="B56" s="307" t="s">
        <v>246</v>
      </c>
      <c r="C56" s="278"/>
      <c r="D56" s="278"/>
      <c r="E56" s="276">
        <f t="shared" si="3"/>
        <v>0</v>
      </c>
      <c r="F56" s="278"/>
      <c r="G56" s="278"/>
      <c r="H56" s="277">
        <f t="shared" si="5"/>
        <v>0</v>
      </c>
    </row>
    <row r="57" spans="1:8" x14ac:dyDescent="0.25">
      <c r="A57" s="344"/>
      <c r="B57" s="307" t="s">
        <v>247</v>
      </c>
      <c r="C57" s="278"/>
      <c r="D57" s="278">
        <v>106348.92000000001</v>
      </c>
      <c r="E57" s="276">
        <f t="shared" si="3"/>
        <v>106348.92000000001</v>
      </c>
      <c r="F57" s="278">
        <v>106348.92000000001</v>
      </c>
      <c r="G57" s="278">
        <v>106348.92000000001</v>
      </c>
      <c r="H57" s="277">
        <f t="shared" si="5"/>
        <v>0</v>
      </c>
    </row>
    <row r="58" spans="1:8" x14ac:dyDescent="0.25">
      <c r="A58" s="530" t="s">
        <v>248</v>
      </c>
      <c r="B58" s="531"/>
      <c r="C58" s="276">
        <f>SUM(C59:C61)</f>
        <v>145000000</v>
      </c>
      <c r="D58" s="276">
        <f t="shared" ref="D58:H58" si="9">SUM(D59:D61)</f>
        <v>74243335.430000007</v>
      </c>
      <c r="E58" s="276">
        <f t="shared" si="9"/>
        <v>219243335.43000001</v>
      </c>
      <c r="F58" s="276">
        <f t="shared" si="9"/>
        <v>175777106.79999998</v>
      </c>
      <c r="G58" s="276">
        <f t="shared" si="9"/>
        <v>171003293.81</v>
      </c>
      <c r="H58" s="276">
        <f t="shared" si="9"/>
        <v>43466228.63000004</v>
      </c>
    </row>
    <row r="59" spans="1:8" x14ac:dyDescent="0.25">
      <c r="A59" s="344"/>
      <c r="B59" s="307" t="s">
        <v>249</v>
      </c>
      <c r="C59" s="278">
        <v>145000000</v>
      </c>
      <c r="D59" s="278">
        <v>71793415.430000007</v>
      </c>
      <c r="E59" s="276">
        <f t="shared" si="3"/>
        <v>216793415.43000001</v>
      </c>
      <c r="F59" s="278">
        <v>173493105.99999997</v>
      </c>
      <c r="G59" s="278">
        <v>168719293.00999999</v>
      </c>
      <c r="H59" s="277">
        <f t="shared" si="5"/>
        <v>43300309.430000037</v>
      </c>
    </row>
    <row r="60" spans="1:8" x14ac:dyDescent="0.25">
      <c r="A60" s="344"/>
      <c r="B60" s="307" t="s">
        <v>250</v>
      </c>
      <c r="C60" s="278"/>
      <c r="D60" s="278">
        <v>2449920</v>
      </c>
      <c r="E60" s="276">
        <f t="shared" si="3"/>
        <v>2449920</v>
      </c>
      <c r="F60" s="278">
        <v>2284000.7999999998</v>
      </c>
      <c r="G60" s="278">
        <v>2284000.7999999998</v>
      </c>
      <c r="H60" s="277">
        <f t="shared" si="5"/>
        <v>165919.20000000019</v>
      </c>
    </row>
    <row r="61" spans="1:8" x14ac:dyDescent="0.25">
      <c r="A61" s="344"/>
      <c r="B61" s="307" t="s">
        <v>251</v>
      </c>
      <c r="C61" s="278"/>
      <c r="D61" s="278"/>
      <c r="E61" s="276">
        <f t="shared" si="3"/>
        <v>0</v>
      </c>
      <c r="F61" s="278"/>
      <c r="G61" s="278"/>
      <c r="H61" s="277">
        <f t="shared" si="5"/>
        <v>0</v>
      </c>
    </row>
    <row r="62" spans="1:8" x14ac:dyDescent="0.25">
      <c r="A62" s="530" t="s">
        <v>252</v>
      </c>
      <c r="B62" s="531"/>
      <c r="C62" s="276">
        <f t="shared" ref="C62:H62" si="10">SUM(C63:C70)</f>
        <v>27951116.004999999</v>
      </c>
      <c r="D62" s="276">
        <f t="shared" si="10"/>
        <v>0</v>
      </c>
      <c r="E62" s="276">
        <f t="shared" si="10"/>
        <v>27951116.004999999</v>
      </c>
      <c r="F62" s="276">
        <f t="shared" si="10"/>
        <v>0</v>
      </c>
      <c r="G62" s="276">
        <f t="shared" si="10"/>
        <v>0</v>
      </c>
      <c r="H62" s="276">
        <f t="shared" si="10"/>
        <v>27951116.004999999</v>
      </c>
    </row>
    <row r="63" spans="1:8" x14ac:dyDescent="0.25">
      <c r="A63" s="344"/>
      <c r="B63" s="307" t="s">
        <v>253</v>
      </c>
      <c r="C63" s="278"/>
      <c r="D63" s="278"/>
      <c r="E63" s="276">
        <f t="shared" si="3"/>
        <v>0</v>
      </c>
      <c r="F63" s="278"/>
      <c r="G63" s="278"/>
      <c r="H63" s="277">
        <f t="shared" si="5"/>
        <v>0</v>
      </c>
    </row>
    <row r="64" spans="1:8" x14ac:dyDescent="0.25">
      <c r="A64" s="344"/>
      <c r="B64" s="307" t="s">
        <v>254</v>
      </c>
      <c r="C64" s="278"/>
      <c r="D64" s="278"/>
      <c r="E64" s="276">
        <f t="shared" si="3"/>
        <v>0</v>
      </c>
      <c r="F64" s="278"/>
      <c r="G64" s="278"/>
      <c r="H64" s="277">
        <f t="shared" si="5"/>
        <v>0</v>
      </c>
    </row>
    <row r="65" spans="1:8" x14ac:dyDescent="0.25">
      <c r="A65" s="344"/>
      <c r="B65" s="307" t="s">
        <v>255</v>
      </c>
      <c r="C65" s="278"/>
      <c r="D65" s="278"/>
      <c r="E65" s="276">
        <f t="shared" si="3"/>
        <v>0</v>
      </c>
      <c r="F65" s="278"/>
      <c r="G65" s="278"/>
      <c r="H65" s="277">
        <f t="shared" si="5"/>
        <v>0</v>
      </c>
    </row>
    <row r="66" spans="1:8" x14ac:dyDescent="0.25">
      <c r="A66" s="344"/>
      <c r="B66" s="307" t="s">
        <v>256</v>
      </c>
      <c r="C66" s="278"/>
      <c r="D66" s="278"/>
      <c r="E66" s="276">
        <f t="shared" si="3"/>
        <v>0</v>
      </c>
      <c r="F66" s="278"/>
      <c r="G66" s="278"/>
      <c r="H66" s="277">
        <f t="shared" si="5"/>
        <v>0</v>
      </c>
    </row>
    <row r="67" spans="1:8" x14ac:dyDescent="0.25">
      <c r="A67" s="344"/>
      <c r="B67" s="307" t="s">
        <v>257</v>
      </c>
      <c r="C67" s="278"/>
      <c r="D67" s="278"/>
      <c r="E67" s="276">
        <f t="shared" si="3"/>
        <v>0</v>
      </c>
      <c r="F67" s="278"/>
      <c r="G67" s="278"/>
      <c r="H67" s="277">
        <f t="shared" si="5"/>
        <v>0</v>
      </c>
    </row>
    <row r="68" spans="1:8" x14ac:dyDescent="0.25">
      <c r="A68" s="344"/>
      <c r="B68" s="307" t="s">
        <v>258</v>
      </c>
      <c r="C68" s="278"/>
      <c r="D68" s="278"/>
      <c r="E68" s="276">
        <f t="shared" si="3"/>
        <v>0</v>
      </c>
      <c r="F68" s="278"/>
      <c r="G68" s="278"/>
      <c r="H68" s="277">
        <f t="shared" si="5"/>
        <v>0</v>
      </c>
    </row>
    <row r="69" spans="1:8" x14ac:dyDescent="0.25">
      <c r="A69" s="344"/>
      <c r="B69" s="307" t="s">
        <v>259</v>
      </c>
      <c r="C69" s="278"/>
      <c r="D69" s="278"/>
      <c r="E69" s="276">
        <f t="shared" si="3"/>
        <v>0</v>
      </c>
      <c r="F69" s="278"/>
      <c r="G69" s="278"/>
      <c r="H69" s="277">
        <f t="shared" si="5"/>
        <v>0</v>
      </c>
    </row>
    <row r="70" spans="1:8" x14ac:dyDescent="0.25">
      <c r="A70" s="344"/>
      <c r="B70" s="307" t="s">
        <v>260</v>
      </c>
      <c r="C70" s="278">
        <v>27951116.004999999</v>
      </c>
      <c r="D70" s="278"/>
      <c r="E70" s="276">
        <f t="shared" si="3"/>
        <v>27951116.004999999</v>
      </c>
      <c r="F70" s="278"/>
      <c r="G70" s="278"/>
      <c r="H70" s="277">
        <f t="shared" si="5"/>
        <v>27951116.004999999</v>
      </c>
    </row>
    <row r="71" spans="1:8" x14ac:dyDescent="0.25">
      <c r="A71" s="530" t="s">
        <v>261</v>
      </c>
      <c r="B71" s="531"/>
      <c r="C71" s="276">
        <f>SUM(C72:C74)</f>
        <v>0</v>
      </c>
      <c r="D71" s="276">
        <f t="shared" ref="D71:H71" si="11">SUM(D72:D74)</f>
        <v>0</v>
      </c>
      <c r="E71" s="276">
        <f t="shared" si="11"/>
        <v>0</v>
      </c>
      <c r="F71" s="276">
        <f t="shared" si="11"/>
        <v>0</v>
      </c>
      <c r="G71" s="276">
        <f t="shared" si="11"/>
        <v>0</v>
      </c>
      <c r="H71" s="276">
        <f t="shared" si="11"/>
        <v>0</v>
      </c>
    </row>
    <row r="72" spans="1:8" ht="15.75" thickBot="1" x14ac:dyDescent="0.3">
      <c r="A72" s="306"/>
      <c r="B72" s="268" t="s">
        <v>262</v>
      </c>
      <c r="C72" s="286"/>
      <c r="D72" s="286"/>
      <c r="E72" s="287">
        <f t="shared" si="3"/>
        <v>0</v>
      </c>
      <c r="F72" s="286"/>
      <c r="G72" s="286"/>
      <c r="H72" s="288">
        <f t="shared" si="5"/>
        <v>0</v>
      </c>
    </row>
    <row r="73" spans="1:8" x14ac:dyDescent="0.25">
      <c r="A73" s="344"/>
      <c r="B73" s="307" t="s">
        <v>263</v>
      </c>
      <c r="C73" s="278"/>
      <c r="D73" s="278"/>
      <c r="E73" s="276">
        <f t="shared" si="3"/>
        <v>0</v>
      </c>
      <c r="F73" s="278"/>
      <c r="G73" s="278"/>
      <c r="H73" s="277">
        <f t="shared" si="5"/>
        <v>0</v>
      </c>
    </row>
    <row r="74" spans="1:8" x14ac:dyDescent="0.25">
      <c r="A74" s="344"/>
      <c r="B74" s="307" t="s">
        <v>264</v>
      </c>
      <c r="C74" s="278"/>
      <c r="D74" s="278"/>
      <c r="E74" s="276">
        <f t="shared" si="3"/>
        <v>0</v>
      </c>
      <c r="F74" s="278"/>
      <c r="G74" s="278"/>
      <c r="H74" s="277">
        <f t="shared" si="5"/>
        <v>0</v>
      </c>
    </row>
    <row r="75" spans="1:8" x14ac:dyDescent="0.25">
      <c r="A75" s="530" t="s">
        <v>265</v>
      </c>
      <c r="B75" s="531"/>
      <c r="C75" s="276">
        <f>SUM(C76:C82)</f>
        <v>90000000</v>
      </c>
      <c r="D75" s="276">
        <f t="shared" ref="D75:H75" si="12">SUM(D76:D82)</f>
        <v>-320102.93999997154</v>
      </c>
      <c r="E75" s="276">
        <f t="shared" si="12"/>
        <v>89679897.060000032</v>
      </c>
      <c r="F75" s="276">
        <f t="shared" si="12"/>
        <v>69977902.400000006</v>
      </c>
      <c r="G75" s="276">
        <f t="shared" si="12"/>
        <v>68698950.810000002</v>
      </c>
      <c r="H75" s="276">
        <f t="shared" si="12"/>
        <v>19701994.660000026</v>
      </c>
    </row>
    <row r="76" spans="1:8" x14ac:dyDescent="0.25">
      <c r="A76" s="344"/>
      <c r="B76" s="307" t="s">
        <v>266</v>
      </c>
      <c r="C76" s="278">
        <v>90000000</v>
      </c>
      <c r="D76" s="278">
        <v>-56608003.209999979</v>
      </c>
      <c r="E76" s="276">
        <f t="shared" si="3"/>
        <v>33391996.790000021</v>
      </c>
      <c r="F76" s="278">
        <v>30931478.789999999</v>
      </c>
      <c r="G76" s="278">
        <v>30933478.789999999</v>
      </c>
      <c r="H76" s="277">
        <f t="shared" si="5"/>
        <v>2460518.0000000224</v>
      </c>
    </row>
    <row r="77" spans="1:8" x14ac:dyDescent="0.25">
      <c r="A77" s="344"/>
      <c r="B77" s="307" t="s">
        <v>267</v>
      </c>
      <c r="C77" s="278">
        <v>0</v>
      </c>
      <c r="D77" s="278">
        <v>28432546.320000004</v>
      </c>
      <c r="E77" s="276">
        <f t="shared" ref="E77:E82" si="13">C77+D77</f>
        <v>28432546.320000004</v>
      </c>
      <c r="F77" s="278">
        <v>28432546.32</v>
      </c>
      <c r="G77" s="278">
        <v>28432546.32</v>
      </c>
      <c r="H77" s="277">
        <f t="shared" si="5"/>
        <v>0</v>
      </c>
    </row>
    <row r="78" spans="1:8" x14ac:dyDescent="0.25">
      <c r="A78" s="344"/>
      <c r="B78" s="307" t="s">
        <v>268</v>
      </c>
      <c r="C78" s="278"/>
      <c r="D78" s="278"/>
      <c r="E78" s="276">
        <f t="shared" si="13"/>
        <v>0</v>
      </c>
      <c r="F78" s="278"/>
      <c r="G78" s="278"/>
      <c r="H78" s="277">
        <f t="shared" si="5"/>
        <v>0</v>
      </c>
    </row>
    <row r="79" spans="1:8" x14ac:dyDescent="0.25">
      <c r="A79" s="344"/>
      <c r="B79" s="307" t="s">
        <v>269</v>
      </c>
      <c r="C79" s="278"/>
      <c r="D79" s="278"/>
      <c r="E79" s="276">
        <f t="shared" si="13"/>
        <v>0</v>
      </c>
      <c r="F79" s="278"/>
      <c r="G79" s="278"/>
      <c r="H79" s="277">
        <f t="shared" si="5"/>
        <v>0</v>
      </c>
    </row>
    <row r="80" spans="1:8" x14ac:dyDescent="0.25">
      <c r="A80" s="344"/>
      <c r="B80" s="307" t="s">
        <v>270</v>
      </c>
      <c r="C80" s="278"/>
      <c r="D80" s="278"/>
      <c r="E80" s="276">
        <f t="shared" si="13"/>
        <v>0</v>
      </c>
      <c r="F80" s="278"/>
      <c r="G80" s="278"/>
      <c r="H80" s="277">
        <f t="shared" si="5"/>
        <v>0</v>
      </c>
    </row>
    <row r="81" spans="1:8" x14ac:dyDescent="0.25">
      <c r="A81" s="344"/>
      <c r="B81" s="307" t="s">
        <v>271</v>
      </c>
      <c r="C81" s="278"/>
      <c r="D81" s="278"/>
      <c r="E81" s="276">
        <f t="shared" si="13"/>
        <v>0</v>
      </c>
      <c r="F81" s="278"/>
      <c r="G81" s="278"/>
      <c r="H81" s="277">
        <f t="shared" si="5"/>
        <v>0</v>
      </c>
    </row>
    <row r="82" spans="1:8" x14ac:dyDescent="0.25">
      <c r="A82" s="344"/>
      <c r="B82" s="307" t="s">
        <v>272</v>
      </c>
      <c r="C82" s="278"/>
      <c r="D82" s="278">
        <v>27855353.950000003</v>
      </c>
      <c r="E82" s="276">
        <f t="shared" si="13"/>
        <v>27855353.950000003</v>
      </c>
      <c r="F82" s="278">
        <v>10613877.289999999</v>
      </c>
      <c r="G82" s="278">
        <v>9332925.6999999993</v>
      </c>
      <c r="H82" s="277">
        <f t="shared" si="5"/>
        <v>17241476.660000004</v>
      </c>
    </row>
    <row r="83" spans="1:8" x14ac:dyDescent="0.25">
      <c r="A83" s="540" t="s">
        <v>273</v>
      </c>
      <c r="B83" s="541"/>
      <c r="C83" s="275">
        <f>+C84+C92+C102+C112+C122+C132+C136+C145+C149</f>
        <v>114999999.995</v>
      </c>
      <c r="D83" s="275">
        <f t="shared" ref="D83:H83" si="14">+D84+D92+D102+D112+D122+D132+D136+D145+D149</f>
        <v>3037575778.5100002</v>
      </c>
      <c r="E83" s="275">
        <f t="shared" si="14"/>
        <v>3152575778.5050001</v>
      </c>
      <c r="F83" s="275">
        <f t="shared" si="14"/>
        <v>1734650319.29</v>
      </c>
      <c r="G83" s="275">
        <f t="shared" si="14"/>
        <v>1711966486.6399999</v>
      </c>
      <c r="H83" s="275">
        <f t="shared" si="14"/>
        <v>1417925459.2150002</v>
      </c>
    </row>
    <row r="84" spans="1:8" x14ac:dyDescent="0.25">
      <c r="A84" s="530" t="s">
        <v>200</v>
      </c>
      <c r="B84" s="531"/>
      <c r="C84" s="276">
        <f>SUM(C85:C91)</f>
        <v>0</v>
      </c>
      <c r="D84" s="276">
        <f t="shared" ref="D84:H84" si="15">SUM(D85:D91)</f>
        <v>0</v>
      </c>
      <c r="E84" s="276">
        <f t="shared" si="15"/>
        <v>0</v>
      </c>
      <c r="F84" s="276">
        <f t="shared" si="15"/>
        <v>0</v>
      </c>
      <c r="G84" s="276">
        <f t="shared" si="15"/>
        <v>0</v>
      </c>
      <c r="H84" s="276">
        <f t="shared" si="15"/>
        <v>0</v>
      </c>
    </row>
    <row r="85" spans="1:8" x14ac:dyDescent="0.25">
      <c r="A85" s="344"/>
      <c r="B85" s="307" t="s">
        <v>201</v>
      </c>
      <c r="C85" s="278"/>
      <c r="D85" s="278"/>
      <c r="E85" s="276">
        <f t="shared" ref="E85:E91" si="16">C85+D85</f>
        <v>0</v>
      </c>
      <c r="F85" s="278"/>
      <c r="G85" s="278"/>
      <c r="H85" s="277">
        <f t="shared" ref="H85:H148" si="17">+E85-F85</f>
        <v>0</v>
      </c>
    </row>
    <row r="86" spans="1:8" x14ac:dyDescent="0.25">
      <c r="A86" s="344"/>
      <c r="B86" s="307" t="s">
        <v>202</v>
      </c>
      <c r="C86" s="278"/>
      <c r="D86" s="278"/>
      <c r="E86" s="276">
        <f t="shared" si="16"/>
        <v>0</v>
      </c>
      <c r="F86" s="278"/>
      <c r="G86" s="278"/>
      <c r="H86" s="277">
        <f t="shared" si="17"/>
        <v>0</v>
      </c>
    </row>
    <row r="87" spans="1:8" x14ac:dyDescent="0.25">
      <c r="A87" s="344"/>
      <c r="B87" s="307" t="s">
        <v>203</v>
      </c>
      <c r="C87" s="278"/>
      <c r="D87" s="278"/>
      <c r="E87" s="276">
        <f t="shared" si="16"/>
        <v>0</v>
      </c>
      <c r="F87" s="278"/>
      <c r="G87" s="278"/>
      <c r="H87" s="277">
        <f t="shared" si="17"/>
        <v>0</v>
      </c>
    </row>
    <row r="88" spans="1:8" x14ac:dyDescent="0.25">
      <c r="A88" s="344"/>
      <c r="B88" s="307" t="s">
        <v>204</v>
      </c>
      <c r="C88" s="278"/>
      <c r="D88" s="278"/>
      <c r="E88" s="276">
        <f t="shared" si="16"/>
        <v>0</v>
      </c>
      <c r="F88" s="278"/>
      <c r="G88" s="278"/>
      <c r="H88" s="277">
        <f t="shared" si="17"/>
        <v>0</v>
      </c>
    </row>
    <row r="89" spans="1:8" x14ac:dyDescent="0.25">
      <c r="A89" s="344"/>
      <c r="B89" s="307" t="s">
        <v>205</v>
      </c>
      <c r="C89" s="278"/>
      <c r="D89" s="278"/>
      <c r="E89" s="276">
        <f t="shared" si="16"/>
        <v>0</v>
      </c>
      <c r="F89" s="278"/>
      <c r="G89" s="278"/>
      <c r="H89" s="277">
        <f t="shared" si="17"/>
        <v>0</v>
      </c>
    </row>
    <row r="90" spans="1:8" x14ac:dyDescent="0.25">
      <c r="A90" s="344"/>
      <c r="B90" s="307" t="s">
        <v>206</v>
      </c>
      <c r="C90" s="278"/>
      <c r="D90" s="278"/>
      <c r="E90" s="276">
        <f t="shared" si="16"/>
        <v>0</v>
      </c>
      <c r="F90" s="278"/>
      <c r="G90" s="278"/>
      <c r="H90" s="277">
        <f t="shared" si="17"/>
        <v>0</v>
      </c>
    </row>
    <row r="91" spans="1:8" x14ac:dyDescent="0.25">
      <c r="A91" s="344"/>
      <c r="B91" s="307" t="s">
        <v>207</v>
      </c>
      <c r="C91" s="278"/>
      <c r="D91" s="278"/>
      <c r="E91" s="276">
        <f t="shared" si="16"/>
        <v>0</v>
      </c>
      <c r="F91" s="278"/>
      <c r="G91" s="278"/>
      <c r="H91" s="277">
        <f t="shared" si="17"/>
        <v>0</v>
      </c>
    </row>
    <row r="92" spans="1:8" x14ac:dyDescent="0.25">
      <c r="A92" s="530" t="s">
        <v>208</v>
      </c>
      <c r="B92" s="531"/>
      <c r="C92" s="276">
        <f>SUM(C93:C101)</f>
        <v>0</v>
      </c>
      <c r="D92" s="276">
        <f t="shared" ref="D92:H92" si="18">SUM(D93:D101)</f>
        <v>0</v>
      </c>
      <c r="E92" s="276">
        <f t="shared" si="18"/>
        <v>0</v>
      </c>
      <c r="F92" s="276">
        <f t="shared" si="18"/>
        <v>0</v>
      </c>
      <c r="G92" s="276">
        <f t="shared" si="18"/>
        <v>0</v>
      </c>
      <c r="H92" s="276">
        <f t="shared" si="18"/>
        <v>0</v>
      </c>
    </row>
    <row r="93" spans="1:8" x14ac:dyDescent="0.25">
      <c r="A93" s="344"/>
      <c r="B93" s="307" t="s">
        <v>209</v>
      </c>
      <c r="C93" s="278"/>
      <c r="D93" s="278"/>
      <c r="E93" s="276">
        <f t="shared" ref="E93:E101" si="19">C93+D93</f>
        <v>0</v>
      </c>
      <c r="F93" s="278"/>
      <c r="G93" s="278"/>
      <c r="H93" s="277">
        <f t="shared" si="17"/>
        <v>0</v>
      </c>
    </row>
    <row r="94" spans="1:8" x14ac:dyDescent="0.25">
      <c r="A94" s="344"/>
      <c r="B94" s="307" t="s">
        <v>210</v>
      </c>
      <c r="C94" s="278"/>
      <c r="D94" s="278"/>
      <c r="E94" s="276">
        <f t="shared" si="19"/>
        <v>0</v>
      </c>
      <c r="F94" s="278"/>
      <c r="G94" s="278"/>
      <c r="H94" s="277">
        <f t="shared" si="17"/>
        <v>0</v>
      </c>
    </row>
    <row r="95" spans="1:8" x14ac:dyDescent="0.25">
      <c r="A95" s="344"/>
      <c r="B95" s="307" t="s">
        <v>211</v>
      </c>
      <c r="C95" s="278"/>
      <c r="D95" s="278"/>
      <c r="E95" s="276">
        <f t="shared" si="19"/>
        <v>0</v>
      </c>
      <c r="F95" s="278"/>
      <c r="G95" s="278"/>
      <c r="H95" s="277">
        <f t="shared" si="17"/>
        <v>0</v>
      </c>
    </row>
    <row r="96" spans="1:8" x14ac:dyDescent="0.25">
      <c r="A96" s="344"/>
      <c r="B96" s="307" t="s">
        <v>212</v>
      </c>
      <c r="C96" s="278"/>
      <c r="D96" s="278"/>
      <c r="E96" s="276">
        <f t="shared" si="19"/>
        <v>0</v>
      </c>
      <c r="F96" s="278"/>
      <c r="G96" s="278"/>
      <c r="H96" s="277">
        <f t="shared" si="17"/>
        <v>0</v>
      </c>
    </row>
    <row r="97" spans="1:8" x14ac:dyDescent="0.25">
      <c r="A97" s="344"/>
      <c r="B97" s="307" t="s">
        <v>213</v>
      </c>
      <c r="C97" s="278"/>
      <c r="D97" s="278"/>
      <c r="E97" s="276">
        <f t="shared" si="19"/>
        <v>0</v>
      </c>
      <c r="F97" s="278"/>
      <c r="G97" s="278"/>
      <c r="H97" s="277">
        <f t="shared" si="17"/>
        <v>0</v>
      </c>
    </row>
    <row r="98" spans="1:8" x14ac:dyDescent="0.25">
      <c r="A98" s="344"/>
      <c r="B98" s="307" t="s">
        <v>214</v>
      </c>
      <c r="C98" s="278"/>
      <c r="D98" s="278"/>
      <c r="E98" s="276">
        <f t="shared" si="19"/>
        <v>0</v>
      </c>
      <c r="F98" s="278"/>
      <c r="G98" s="278"/>
      <c r="H98" s="277">
        <f t="shared" si="17"/>
        <v>0</v>
      </c>
    </row>
    <row r="99" spans="1:8" x14ac:dyDescent="0.25">
      <c r="A99" s="344"/>
      <c r="B99" s="307" t="s">
        <v>215</v>
      </c>
      <c r="C99" s="278"/>
      <c r="D99" s="278"/>
      <c r="E99" s="276">
        <f t="shared" si="19"/>
        <v>0</v>
      </c>
      <c r="F99" s="278"/>
      <c r="G99" s="278"/>
      <c r="H99" s="277">
        <f t="shared" si="17"/>
        <v>0</v>
      </c>
    </row>
    <row r="100" spans="1:8" x14ac:dyDescent="0.25">
      <c r="A100" s="344"/>
      <c r="B100" s="307" t="s">
        <v>216</v>
      </c>
      <c r="C100" s="278"/>
      <c r="D100" s="278"/>
      <c r="E100" s="276">
        <f t="shared" si="19"/>
        <v>0</v>
      </c>
      <c r="F100" s="278"/>
      <c r="G100" s="278"/>
      <c r="H100" s="277">
        <f t="shared" si="17"/>
        <v>0</v>
      </c>
    </row>
    <row r="101" spans="1:8" x14ac:dyDescent="0.25">
      <c r="A101" s="344"/>
      <c r="B101" s="307" t="s">
        <v>217</v>
      </c>
      <c r="C101" s="278"/>
      <c r="D101" s="278"/>
      <c r="E101" s="276">
        <f t="shared" si="19"/>
        <v>0</v>
      </c>
      <c r="F101" s="278"/>
      <c r="G101" s="278"/>
      <c r="H101" s="277">
        <f t="shared" si="17"/>
        <v>0</v>
      </c>
    </row>
    <row r="102" spans="1:8" x14ac:dyDescent="0.25">
      <c r="A102" s="530" t="s">
        <v>218</v>
      </c>
      <c r="B102" s="531"/>
      <c r="C102" s="276">
        <f>SUM(C103:C111)</f>
        <v>0</v>
      </c>
      <c r="D102" s="276">
        <f t="shared" ref="D102:H102" si="20">SUM(D103:D111)</f>
        <v>0</v>
      </c>
      <c r="E102" s="276">
        <f t="shared" si="20"/>
        <v>0</v>
      </c>
      <c r="F102" s="276">
        <f t="shared" si="20"/>
        <v>0</v>
      </c>
      <c r="G102" s="276">
        <f t="shared" si="20"/>
        <v>0</v>
      </c>
      <c r="H102" s="276">
        <f t="shared" si="20"/>
        <v>0</v>
      </c>
    </row>
    <row r="103" spans="1:8" x14ac:dyDescent="0.25">
      <c r="A103" s="344"/>
      <c r="B103" s="307" t="s">
        <v>219</v>
      </c>
      <c r="C103" s="278"/>
      <c r="D103" s="278"/>
      <c r="E103" s="276">
        <f t="shared" ref="E103:E111" si="21">C103+D103</f>
        <v>0</v>
      </c>
      <c r="F103" s="278"/>
      <c r="G103" s="278"/>
      <c r="H103" s="277">
        <f t="shared" si="17"/>
        <v>0</v>
      </c>
    </row>
    <row r="104" spans="1:8" x14ac:dyDescent="0.25">
      <c r="A104" s="344"/>
      <c r="B104" s="307" t="s">
        <v>220</v>
      </c>
      <c r="C104" s="278"/>
      <c r="D104" s="278"/>
      <c r="E104" s="276">
        <f t="shared" si="21"/>
        <v>0</v>
      </c>
      <c r="F104" s="278"/>
      <c r="G104" s="278"/>
      <c r="H104" s="277">
        <f t="shared" si="17"/>
        <v>0</v>
      </c>
    </row>
    <row r="105" spans="1:8" x14ac:dyDescent="0.25">
      <c r="A105" s="344"/>
      <c r="B105" s="307" t="s">
        <v>221</v>
      </c>
      <c r="C105" s="278"/>
      <c r="D105" s="278"/>
      <c r="E105" s="276">
        <f t="shared" si="21"/>
        <v>0</v>
      </c>
      <c r="F105" s="278"/>
      <c r="G105" s="278"/>
      <c r="H105" s="277">
        <f t="shared" si="17"/>
        <v>0</v>
      </c>
    </row>
    <row r="106" spans="1:8" x14ac:dyDescent="0.25">
      <c r="A106" s="344"/>
      <c r="B106" s="307" t="s">
        <v>222</v>
      </c>
      <c r="C106" s="278"/>
      <c r="D106" s="278"/>
      <c r="E106" s="276">
        <f t="shared" si="21"/>
        <v>0</v>
      </c>
      <c r="F106" s="278"/>
      <c r="G106" s="278"/>
      <c r="H106" s="277">
        <f t="shared" si="17"/>
        <v>0</v>
      </c>
    </row>
    <row r="107" spans="1:8" ht="15.75" thickBot="1" x14ac:dyDescent="0.3">
      <c r="A107" s="306"/>
      <c r="B107" s="268" t="s">
        <v>223</v>
      </c>
      <c r="C107" s="286"/>
      <c r="D107" s="286"/>
      <c r="E107" s="287">
        <f t="shared" si="21"/>
        <v>0</v>
      </c>
      <c r="F107" s="286"/>
      <c r="G107" s="286"/>
      <c r="H107" s="288">
        <f t="shared" si="17"/>
        <v>0</v>
      </c>
    </row>
    <row r="108" spans="1:8" x14ac:dyDescent="0.25">
      <c r="A108" s="344"/>
      <c r="B108" s="307" t="s">
        <v>224</v>
      </c>
      <c r="C108" s="278"/>
      <c r="D108" s="278"/>
      <c r="E108" s="276">
        <f t="shared" si="21"/>
        <v>0</v>
      </c>
      <c r="F108" s="278"/>
      <c r="G108" s="278"/>
      <c r="H108" s="277">
        <f t="shared" si="17"/>
        <v>0</v>
      </c>
    </row>
    <row r="109" spans="1:8" x14ac:dyDescent="0.25">
      <c r="A109" s="344"/>
      <c r="B109" s="307" t="s">
        <v>225</v>
      </c>
      <c r="C109" s="278"/>
      <c r="D109" s="278"/>
      <c r="E109" s="276">
        <f t="shared" si="21"/>
        <v>0</v>
      </c>
      <c r="F109" s="278"/>
      <c r="G109" s="278"/>
      <c r="H109" s="277">
        <f t="shared" si="17"/>
        <v>0</v>
      </c>
    </row>
    <row r="110" spans="1:8" x14ac:dyDescent="0.25">
      <c r="A110" s="344"/>
      <c r="B110" s="307" t="s">
        <v>226</v>
      </c>
      <c r="C110" s="278"/>
      <c r="D110" s="278"/>
      <c r="E110" s="276">
        <f t="shared" si="21"/>
        <v>0</v>
      </c>
      <c r="F110" s="278"/>
      <c r="G110" s="278"/>
      <c r="H110" s="277">
        <f t="shared" si="17"/>
        <v>0</v>
      </c>
    </row>
    <row r="111" spans="1:8" x14ac:dyDescent="0.25">
      <c r="A111" s="344"/>
      <c r="B111" s="307" t="s">
        <v>227</v>
      </c>
      <c r="C111" s="278"/>
      <c r="D111" s="278"/>
      <c r="E111" s="276">
        <f t="shared" si="21"/>
        <v>0</v>
      </c>
      <c r="F111" s="278"/>
      <c r="G111" s="278"/>
      <c r="H111" s="277">
        <f t="shared" si="17"/>
        <v>0</v>
      </c>
    </row>
    <row r="112" spans="1:8" x14ac:dyDescent="0.25">
      <c r="A112" s="530" t="s">
        <v>228</v>
      </c>
      <c r="B112" s="531"/>
      <c r="C112" s="276">
        <f>SUM(C113:C121)</f>
        <v>0</v>
      </c>
      <c r="D112" s="276">
        <f t="shared" ref="D112:H112" si="22">SUM(D113:D121)</f>
        <v>0</v>
      </c>
      <c r="E112" s="276">
        <f t="shared" si="22"/>
        <v>0</v>
      </c>
      <c r="F112" s="276">
        <f t="shared" si="22"/>
        <v>0</v>
      </c>
      <c r="G112" s="276">
        <f t="shared" si="22"/>
        <v>0</v>
      </c>
      <c r="H112" s="276">
        <f t="shared" si="22"/>
        <v>0</v>
      </c>
    </row>
    <row r="113" spans="1:8" x14ac:dyDescent="0.25">
      <c r="A113" s="344"/>
      <c r="B113" s="307" t="s">
        <v>229</v>
      </c>
      <c r="C113" s="278"/>
      <c r="D113" s="278"/>
      <c r="E113" s="276">
        <f t="shared" ref="E113:E121" si="23">C113+D113</f>
        <v>0</v>
      </c>
      <c r="F113" s="278"/>
      <c r="G113" s="278"/>
      <c r="H113" s="277">
        <f t="shared" si="17"/>
        <v>0</v>
      </c>
    </row>
    <row r="114" spans="1:8" x14ac:dyDescent="0.25">
      <c r="A114" s="344"/>
      <c r="B114" s="307" t="s">
        <v>230</v>
      </c>
      <c r="C114" s="278"/>
      <c r="D114" s="278"/>
      <c r="E114" s="276">
        <f t="shared" si="23"/>
        <v>0</v>
      </c>
      <c r="F114" s="278"/>
      <c r="G114" s="278"/>
      <c r="H114" s="277">
        <f t="shared" si="17"/>
        <v>0</v>
      </c>
    </row>
    <row r="115" spans="1:8" x14ac:dyDescent="0.25">
      <c r="A115" s="344"/>
      <c r="B115" s="307" t="s">
        <v>231</v>
      </c>
      <c r="C115" s="278"/>
      <c r="D115" s="278"/>
      <c r="E115" s="276">
        <f t="shared" si="23"/>
        <v>0</v>
      </c>
      <c r="F115" s="278"/>
      <c r="G115" s="278"/>
      <c r="H115" s="277">
        <f t="shared" si="17"/>
        <v>0</v>
      </c>
    </row>
    <row r="116" spans="1:8" x14ac:dyDescent="0.25">
      <c r="A116" s="344"/>
      <c r="B116" s="307" t="s">
        <v>232</v>
      </c>
      <c r="C116" s="278"/>
      <c r="D116" s="278"/>
      <c r="E116" s="276">
        <f t="shared" si="23"/>
        <v>0</v>
      </c>
      <c r="F116" s="278"/>
      <c r="G116" s="278"/>
      <c r="H116" s="277">
        <f t="shared" si="17"/>
        <v>0</v>
      </c>
    </row>
    <row r="117" spans="1:8" x14ac:dyDescent="0.25">
      <c r="A117" s="344"/>
      <c r="B117" s="307" t="s">
        <v>233</v>
      </c>
      <c r="C117" s="278"/>
      <c r="D117" s="278"/>
      <c r="E117" s="276">
        <f t="shared" si="23"/>
        <v>0</v>
      </c>
      <c r="F117" s="278"/>
      <c r="G117" s="278"/>
      <c r="H117" s="277">
        <f t="shared" si="17"/>
        <v>0</v>
      </c>
    </row>
    <row r="118" spans="1:8" x14ac:dyDescent="0.25">
      <c r="A118" s="344"/>
      <c r="B118" s="307" t="s">
        <v>234</v>
      </c>
      <c r="C118" s="278"/>
      <c r="D118" s="278"/>
      <c r="E118" s="276">
        <f t="shared" si="23"/>
        <v>0</v>
      </c>
      <c r="F118" s="278"/>
      <c r="G118" s="278"/>
      <c r="H118" s="277">
        <f t="shared" si="17"/>
        <v>0</v>
      </c>
    </row>
    <row r="119" spans="1:8" x14ac:dyDescent="0.25">
      <c r="A119" s="344"/>
      <c r="B119" s="307" t="s">
        <v>235</v>
      </c>
      <c r="C119" s="278"/>
      <c r="D119" s="278"/>
      <c r="E119" s="276">
        <f t="shared" si="23"/>
        <v>0</v>
      </c>
      <c r="F119" s="278"/>
      <c r="G119" s="278"/>
      <c r="H119" s="277">
        <f t="shared" si="17"/>
        <v>0</v>
      </c>
    </row>
    <row r="120" spans="1:8" x14ac:dyDescent="0.25">
      <c r="A120" s="344"/>
      <c r="B120" s="307" t="s">
        <v>236</v>
      </c>
      <c r="C120" s="278"/>
      <c r="D120" s="278"/>
      <c r="E120" s="276">
        <f t="shared" si="23"/>
        <v>0</v>
      </c>
      <c r="F120" s="278"/>
      <c r="G120" s="278"/>
      <c r="H120" s="277">
        <f t="shared" si="17"/>
        <v>0</v>
      </c>
    </row>
    <row r="121" spans="1:8" x14ac:dyDescent="0.25">
      <c r="A121" s="344"/>
      <c r="B121" s="307" t="s">
        <v>237</v>
      </c>
      <c r="C121" s="278"/>
      <c r="D121" s="278"/>
      <c r="E121" s="276">
        <f t="shared" si="23"/>
        <v>0</v>
      </c>
      <c r="F121" s="278"/>
      <c r="G121" s="278"/>
      <c r="H121" s="277">
        <f t="shared" si="17"/>
        <v>0</v>
      </c>
    </row>
    <row r="122" spans="1:8" x14ac:dyDescent="0.25">
      <c r="A122" s="530" t="s">
        <v>238</v>
      </c>
      <c r="B122" s="531"/>
      <c r="C122" s="276">
        <f>SUM(C123:C131)</f>
        <v>0</v>
      </c>
      <c r="D122" s="276">
        <f t="shared" ref="D122:H122" si="24">SUM(D123:D131)</f>
        <v>0</v>
      </c>
      <c r="E122" s="276">
        <f t="shared" si="24"/>
        <v>0</v>
      </c>
      <c r="F122" s="276">
        <f t="shared" si="24"/>
        <v>0</v>
      </c>
      <c r="G122" s="276">
        <f t="shared" si="24"/>
        <v>0</v>
      </c>
      <c r="H122" s="276">
        <f t="shared" si="24"/>
        <v>0</v>
      </c>
    </row>
    <row r="123" spans="1:8" x14ac:dyDescent="0.25">
      <c r="A123" s="344"/>
      <c r="B123" s="307" t="s">
        <v>239</v>
      </c>
      <c r="C123" s="278">
        <v>0</v>
      </c>
      <c r="D123" s="278"/>
      <c r="E123" s="276">
        <f t="shared" ref="E123:E131" si="25">C123+D123</f>
        <v>0</v>
      </c>
      <c r="F123" s="278"/>
      <c r="G123" s="278"/>
      <c r="H123" s="277">
        <f t="shared" si="17"/>
        <v>0</v>
      </c>
    </row>
    <row r="124" spans="1:8" x14ac:dyDescent="0.25">
      <c r="A124" s="344"/>
      <c r="B124" s="307" t="s">
        <v>240</v>
      </c>
      <c r="C124" s="278"/>
      <c r="D124" s="278"/>
      <c r="E124" s="276">
        <f t="shared" si="25"/>
        <v>0</v>
      </c>
      <c r="F124" s="278"/>
      <c r="G124" s="278"/>
      <c r="H124" s="277">
        <f t="shared" si="17"/>
        <v>0</v>
      </c>
    </row>
    <row r="125" spans="1:8" x14ac:dyDescent="0.25">
      <c r="A125" s="344"/>
      <c r="B125" s="307" t="s">
        <v>241</v>
      </c>
      <c r="C125" s="278"/>
      <c r="D125" s="278"/>
      <c r="E125" s="276">
        <f t="shared" si="25"/>
        <v>0</v>
      </c>
      <c r="F125" s="278"/>
      <c r="G125" s="278"/>
      <c r="H125" s="277">
        <f t="shared" si="17"/>
        <v>0</v>
      </c>
    </row>
    <row r="126" spans="1:8" x14ac:dyDescent="0.25">
      <c r="A126" s="344"/>
      <c r="B126" s="307" t="s">
        <v>242</v>
      </c>
      <c r="C126" s="278"/>
      <c r="D126" s="278"/>
      <c r="E126" s="276">
        <f t="shared" si="25"/>
        <v>0</v>
      </c>
      <c r="F126" s="278"/>
      <c r="G126" s="278"/>
      <c r="H126" s="277">
        <f t="shared" si="17"/>
        <v>0</v>
      </c>
    </row>
    <row r="127" spans="1:8" x14ac:dyDescent="0.25">
      <c r="A127" s="344"/>
      <c r="B127" s="307" t="s">
        <v>243</v>
      </c>
      <c r="C127" s="278"/>
      <c r="D127" s="278"/>
      <c r="E127" s="276">
        <f t="shared" si="25"/>
        <v>0</v>
      </c>
      <c r="F127" s="278"/>
      <c r="G127" s="278"/>
      <c r="H127" s="277">
        <f t="shared" si="17"/>
        <v>0</v>
      </c>
    </row>
    <row r="128" spans="1:8" x14ac:dyDescent="0.25">
      <c r="A128" s="344"/>
      <c r="B128" s="307" t="s">
        <v>244</v>
      </c>
      <c r="C128" s="278"/>
      <c r="D128" s="278"/>
      <c r="E128" s="276">
        <f t="shared" si="25"/>
        <v>0</v>
      </c>
      <c r="F128" s="278"/>
      <c r="G128" s="278"/>
      <c r="H128" s="277">
        <f t="shared" si="17"/>
        <v>0</v>
      </c>
    </row>
    <row r="129" spans="1:8" x14ac:dyDescent="0.25">
      <c r="A129" s="344"/>
      <c r="B129" s="307" t="s">
        <v>245</v>
      </c>
      <c r="C129" s="278"/>
      <c r="D129" s="278"/>
      <c r="E129" s="276">
        <f t="shared" si="25"/>
        <v>0</v>
      </c>
      <c r="F129" s="278"/>
      <c r="G129" s="278"/>
      <c r="H129" s="277">
        <f t="shared" si="17"/>
        <v>0</v>
      </c>
    </row>
    <row r="130" spans="1:8" x14ac:dyDescent="0.25">
      <c r="A130" s="344"/>
      <c r="B130" s="307" t="s">
        <v>246</v>
      </c>
      <c r="C130" s="278"/>
      <c r="D130" s="278"/>
      <c r="E130" s="276">
        <f t="shared" si="25"/>
        <v>0</v>
      </c>
      <c r="F130" s="278"/>
      <c r="G130" s="278"/>
      <c r="H130" s="277">
        <f t="shared" si="17"/>
        <v>0</v>
      </c>
    </row>
    <row r="131" spans="1:8" x14ac:dyDescent="0.25">
      <c r="A131" s="344"/>
      <c r="B131" s="307" t="s">
        <v>247</v>
      </c>
      <c r="C131" s="278"/>
      <c r="D131" s="278"/>
      <c r="E131" s="276">
        <f t="shared" si="25"/>
        <v>0</v>
      </c>
      <c r="F131" s="278"/>
      <c r="G131" s="278"/>
      <c r="H131" s="277">
        <f t="shared" si="17"/>
        <v>0</v>
      </c>
    </row>
    <row r="132" spans="1:8" x14ac:dyDescent="0.25">
      <c r="A132" s="530" t="s">
        <v>248</v>
      </c>
      <c r="B132" s="531"/>
      <c r="C132" s="276">
        <f>SUM(C133:C135)</f>
        <v>114999999.995</v>
      </c>
      <c r="D132" s="276">
        <f t="shared" ref="D132:H132" si="26">SUM(D133:D135)</f>
        <v>3037575778.5100002</v>
      </c>
      <c r="E132" s="276">
        <f t="shared" si="26"/>
        <v>3152575778.5050001</v>
      </c>
      <c r="F132" s="276">
        <f t="shared" si="26"/>
        <v>1734650319.29</v>
      </c>
      <c r="G132" s="276">
        <f t="shared" si="26"/>
        <v>1711966486.6399999</v>
      </c>
      <c r="H132" s="276">
        <f t="shared" si="26"/>
        <v>1417925459.2150002</v>
      </c>
    </row>
    <row r="133" spans="1:8" x14ac:dyDescent="0.25">
      <c r="A133" s="344"/>
      <c r="B133" s="307" t="s">
        <v>249</v>
      </c>
      <c r="C133" s="278">
        <v>114999999.995</v>
      </c>
      <c r="D133" s="278">
        <v>3037575778.5100002</v>
      </c>
      <c r="E133" s="276">
        <f t="shared" ref="E133:E135" si="27">C133+D133</f>
        <v>3152575778.5050001</v>
      </c>
      <c r="F133" s="278">
        <v>1734650319.29</v>
      </c>
      <c r="G133" s="278">
        <v>1711966486.6399999</v>
      </c>
      <c r="H133" s="277">
        <f t="shared" si="17"/>
        <v>1417925459.2150002</v>
      </c>
    </row>
    <row r="134" spans="1:8" x14ac:dyDescent="0.25">
      <c r="A134" s="344"/>
      <c r="B134" s="307" t="s">
        <v>250</v>
      </c>
      <c r="C134" s="278"/>
      <c r="D134" s="278"/>
      <c r="E134" s="276">
        <f t="shared" si="27"/>
        <v>0</v>
      </c>
      <c r="F134" s="278"/>
      <c r="G134" s="278"/>
      <c r="H134" s="277">
        <f t="shared" si="17"/>
        <v>0</v>
      </c>
    </row>
    <row r="135" spans="1:8" x14ac:dyDescent="0.25">
      <c r="A135" s="344"/>
      <c r="B135" s="307" t="s">
        <v>251</v>
      </c>
      <c r="C135" s="278"/>
      <c r="D135" s="278"/>
      <c r="E135" s="276">
        <f t="shared" si="27"/>
        <v>0</v>
      </c>
      <c r="F135" s="278"/>
      <c r="G135" s="278"/>
      <c r="H135" s="277">
        <f t="shared" si="17"/>
        <v>0</v>
      </c>
    </row>
    <row r="136" spans="1:8" x14ac:dyDescent="0.25">
      <c r="A136" s="530" t="s">
        <v>252</v>
      </c>
      <c r="B136" s="531"/>
      <c r="C136" s="276">
        <f>SUM(C137:C144)</f>
        <v>0</v>
      </c>
      <c r="D136" s="276">
        <f t="shared" ref="D136:H136" si="28">SUM(D137:D144)</f>
        <v>0</v>
      </c>
      <c r="E136" s="276">
        <f t="shared" si="28"/>
        <v>0</v>
      </c>
      <c r="F136" s="276">
        <f t="shared" si="28"/>
        <v>0</v>
      </c>
      <c r="G136" s="276">
        <f t="shared" si="28"/>
        <v>0</v>
      </c>
      <c r="H136" s="276">
        <f t="shared" si="28"/>
        <v>0</v>
      </c>
    </row>
    <row r="137" spans="1:8" x14ac:dyDescent="0.25">
      <c r="A137" s="344"/>
      <c r="B137" s="307" t="s">
        <v>253</v>
      </c>
      <c r="C137" s="278"/>
      <c r="D137" s="278"/>
      <c r="E137" s="276">
        <f t="shared" ref="E137:E144" si="29">C137+D137</f>
        <v>0</v>
      </c>
      <c r="F137" s="278"/>
      <c r="G137" s="278"/>
      <c r="H137" s="277">
        <f t="shared" si="17"/>
        <v>0</v>
      </c>
    </row>
    <row r="138" spans="1:8" x14ac:dyDescent="0.25">
      <c r="A138" s="344"/>
      <c r="B138" s="307" t="s">
        <v>254</v>
      </c>
      <c r="C138" s="278"/>
      <c r="D138" s="278"/>
      <c r="E138" s="276">
        <f t="shared" si="29"/>
        <v>0</v>
      </c>
      <c r="F138" s="278"/>
      <c r="G138" s="278"/>
      <c r="H138" s="277">
        <f t="shared" si="17"/>
        <v>0</v>
      </c>
    </row>
    <row r="139" spans="1:8" x14ac:dyDescent="0.25">
      <c r="A139" s="344"/>
      <c r="B139" s="307" t="s">
        <v>255</v>
      </c>
      <c r="C139" s="278"/>
      <c r="D139" s="278"/>
      <c r="E139" s="276">
        <f t="shared" si="29"/>
        <v>0</v>
      </c>
      <c r="F139" s="278"/>
      <c r="G139" s="278"/>
      <c r="H139" s="277">
        <f t="shared" si="17"/>
        <v>0</v>
      </c>
    </row>
    <row r="140" spans="1:8" x14ac:dyDescent="0.25">
      <c r="A140" s="344"/>
      <c r="B140" s="307" t="s">
        <v>256</v>
      </c>
      <c r="C140" s="278"/>
      <c r="D140" s="278"/>
      <c r="E140" s="276">
        <f t="shared" si="29"/>
        <v>0</v>
      </c>
      <c r="F140" s="278"/>
      <c r="G140" s="278"/>
      <c r="H140" s="277">
        <f t="shared" si="17"/>
        <v>0</v>
      </c>
    </row>
    <row r="141" spans="1:8" x14ac:dyDescent="0.25">
      <c r="A141" s="344"/>
      <c r="B141" s="307" t="s">
        <v>257</v>
      </c>
      <c r="C141" s="278"/>
      <c r="D141" s="278"/>
      <c r="E141" s="276">
        <f t="shared" si="29"/>
        <v>0</v>
      </c>
      <c r="F141" s="278"/>
      <c r="G141" s="278"/>
      <c r="H141" s="277">
        <f t="shared" si="17"/>
        <v>0</v>
      </c>
    </row>
    <row r="142" spans="1:8" ht="15.75" thickBot="1" x14ac:dyDescent="0.3">
      <c r="A142" s="306"/>
      <c r="B142" s="268" t="s">
        <v>258</v>
      </c>
      <c r="C142" s="286"/>
      <c r="D142" s="286"/>
      <c r="E142" s="287">
        <f t="shared" si="29"/>
        <v>0</v>
      </c>
      <c r="F142" s="286"/>
      <c r="G142" s="286"/>
      <c r="H142" s="288">
        <f t="shared" si="17"/>
        <v>0</v>
      </c>
    </row>
    <row r="143" spans="1:8" x14ac:dyDescent="0.25">
      <c r="A143" s="344"/>
      <c r="B143" s="307" t="s">
        <v>259</v>
      </c>
      <c r="C143" s="278"/>
      <c r="D143" s="278"/>
      <c r="E143" s="276">
        <f t="shared" si="29"/>
        <v>0</v>
      </c>
      <c r="F143" s="278"/>
      <c r="G143" s="278"/>
      <c r="H143" s="277">
        <f t="shared" si="17"/>
        <v>0</v>
      </c>
    </row>
    <row r="144" spans="1:8" x14ac:dyDescent="0.25">
      <c r="A144" s="344"/>
      <c r="B144" s="307" t="s">
        <v>260</v>
      </c>
      <c r="C144" s="278"/>
      <c r="D144" s="278"/>
      <c r="E144" s="276">
        <f t="shared" si="29"/>
        <v>0</v>
      </c>
      <c r="F144" s="278"/>
      <c r="G144" s="278"/>
      <c r="H144" s="277">
        <f t="shared" si="17"/>
        <v>0</v>
      </c>
    </row>
    <row r="145" spans="1:9" x14ac:dyDescent="0.25">
      <c r="A145" s="530" t="s">
        <v>261</v>
      </c>
      <c r="B145" s="531"/>
      <c r="C145" s="276">
        <f>SUM(C146:C148)</f>
        <v>0</v>
      </c>
      <c r="D145" s="276">
        <f t="shared" ref="D145:H145" si="30">SUM(D146:D148)</f>
        <v>0</v>
      </c>
      <c r="E145" s="276">
        <f t="shared" si="30"/>
        <v>0</v>
      </c>
      <c r="F145" s="276">
        <f t="shared" si="30"/>
        <v>0</v>
      </c>
      <c r="G145" s="276">
        <f t="shared" si="30"/>
        <v>0</v>
      </c>
      <c r="H145" s="276">
        <f t="shared" si="30"/>
        <v>0</v>
      </c>
    </row>
    <row r="146" spans="1:9" x14ac:dyDescent="0.25">
      <c r="A146" s="344"/>
      <c r="B146" s="307" t="s">
        <v>262</v>
      </c>
      <c r="C146" s="278"/>
      <c r="D146" s="278"/>
      <c r="E146" s="276">
        <f t="shared" ref="E146:E148" si="31">C146+D146</f>
        <v>0</v>
      </c>
      <c r="F146" s="278"/>
      <c r="G146" s="278"/>
      <c r="H146" s="277">
        <f t="shared" si="17"/>
        <v>0</v>
      </c>
    </row>
    <row r="147" spans="1:9" x14ac:dyDescent="0.25">
      <c r="A147" s="344"/>
      <c r="B147" s="307" t="s">
        <v>263</v>
      </c>
      <c r="C147" s="278"/>
      <c r="D147" s="278"/>
      <c r="E147" s="276">
        <f t="shared" si="31"/>
        <v>0</v>
      </c>
      <c r="F147" s="278"/>
      <c r="G147" s="278"/>
      <c r="H147" s="277">
        <f t="shared" si="17"/>
        <v>0</v>
      </c>
    </row>
    <row r="148" spans="1:9" x14ac:dyDescent="0.25">
      <c r="A148" s="344"/>
      <c r="B148" s="307" t="s">
        <v>264</v>
      </c>
      <c r="C148" s="278"/>
      <c r="D148" s="278"/>
      <c r="E148" s="276">
        <f t="shared" si="31"/>
        <v>0</v>
      </c>
      <c r="F148" s="278"/>
      <c r="G148" s="278"/>
      <c r="H148" s="277">
        <f t="shared" si="17"/>
        <v>0</v>
      </c>
    </row>
    <row r="149" spans="1:9" x14ac:dyDescent="0.25">
      <c r="A149" s="530" t="s">
        <v>265</v>
      </c>
      <c r="B149" s="531"/>
      <c r="C149" s="276">
        <f>SUM(C150:C156)</f>
        <v>0</v>
      </c>
      <c r="D149" s="276">
        <f t="shared" ref="D149:H149" si="32">SUM(D150:D156)</f>
        <v>0</v>
      </c>
      <c r="E149" s="276">
        <f t="shared" si="32"/>
        <v>0</v>
      </c>
      <c r="F149" s="276">
        <f t="shared" si="32"/>
        <v>0</v>
      </c>
      <c r="G149" s="276">
        <f t="shared" si="32"/>
        <v>0</v>
      </c>
      <c r="H149" s="276">
        <f t="shared" si="32"/>
        <v>0</v>
      </c>
    </row>
    <row r="150" spans="1:9" x14ac:dyDescent="0.25">
      <c r="A150" s="344"/>
      <c r="B150" s="307" t="s">
        <v>266</v>
      </c>
      <c r="C150" s="278"/>
      <c r="D150" s="278"/>
      <c r="E150" s="276">
        <f t="shared" ref="E150:E157" si="33">C150+D150</f>
        <v>0</v>
      </c>
      <c r="F150" s="278"/>
      <c r="G150" s="278"/>
      <c r="H150" s="277">
        <f t="shared" ref="H150:H156" si="34">+E150-F150</f>
        <v>0</v>
      </c>
    </row>
    <row r="151" spans="1:9" x14ac:dyDescent="0.25">
      <c r="A151" s="344"/>
      <c r="B151" s="307" t="s">
        <v>267</v>
      </c>
      <c r="C151" s="278"/>
      <c r="D151" s="278"/>
      <c r="E151" s="276">
        <f t="shared" si="33"/>
        <v>0</v>
      </c>
      <c r="F151" s="278"/>
      <c r="G151" s="278"/>
      <c r="H151" s="277">
        <f t="shared" si="34"/>
        <v>0</v>
      </c>
    </row>
    <row r="152" spans="1:9" x14ac:dyDescent="0.25">
      <c r="A152" s="344"/>
      <c r="B152" s="307" t="s">
        <v>268</v>
      </c>
      <c r="C152" s="278"/>
      <c r="D152" s="278"/>
      <c r="E152" s="276">
        <f t="shared" si="33"/>
        <v>0</v>
      </c>
      <c r="F152" s="278"/>
      <c r="G152" s="278"/>
      <c r="H152" s="277">
        <f t="shared" si="34"/>
        <v>0</v>
      </c>
    </row>
    <row r="153" spans="1:9" x14ac:dyDescent="0.25">
      <c r="A153" s="344"/>
      <c r="B153" s="307" t="s">
        <v>269</v>
      </c>
      <c r="C153" s="278"/>
      <c r="D153" s="278"/>
      <c r="E153" s="276">
        <f t="shared" si="33"/>
        <v>0</v>
      </c>
      <c r="F153" s="278"/>
      <c r="G153" s="278"/>
      <c r="H153" s="277">
        <f t="shared" si="34"/>
        <v>0</v>
      </c>
    </row>
    <row r="154" spans="1:9" x14ac:dyDescent="0.25">
      <c r="A154" s="344"/>
      <c r="B154" s="307" t="s">
        <v>270</v>
      </c>
      <c r="C154" s="278"/>
      <c r="D154" s="278"/>
      <c r="E154" s="276">
        <f t="shared" si="33"/>
        <v>0</v>
      </c>
      <c r="F154" s="278"/>
      <c r="G154" s="278"/>
      <c r="H154" s="277">
        <f t="shared" si="34"/>
        <v>0</v>
      </c>
      <c r="I154" s="224" t="str">
        <f>IF((C158-'ETCA-II-04'!B80)&gt;0.9,"ERROR!!!!! EL MONTO NO COINCIDE CON LO REPORTADO EN EL FORMATO ETCA-II-04 EN EL TOTAL DEL GASTO","")</f>
        <v/>
      </c>
    </row>
    <row r="155" spans="1:9" x14ac:dyDescent="0.25">
      <c r="A155" s="344"/>
      <c r="B155" s="307" t="s">
        <v>271</v>
      </c>
      <c r="C155" s="278"/>
      <c r="D155" s="278"/>
      <c r="E155" s="276">
        <f t="shared" si="33"/>
        <v>0</v>
      </c>
      <c r="F155" s="278"/>
      <c r="G155" s="278"/>
      <c r="H155" s="277">
        <f t="shared" si="34"/>
        <v>0</v>
      </c>
      <c r="I155" s="224" t="str">
        <f>IF((D158-'ETCA-II-04'!C80)&gt;0.9,"ERROR!!!!! EL MONTO NO COINCIDE CON LO REPORTADO EN EL FORMATO ETCA-II-04 EN EL TOTAL DEL GASTO","")</f>
        <v/>
      </c>
    </row>
    <row r="156" spans="1:9" x14ac:dyDescent="0.25">
      <c r="A156" s="344"/>
      <c r="B156" s="307" t="s">
        <v>272</v>
      </c>
      <c r="C156" s="278"/>
      <c r="D156" s="278"/>
      <c r="E156" s="276">
        <f t="shared" si="33"/>
        <v>0</v>
      </c>
      <c r="F156" s="278"/>
      <c r="G156" s="278"/>
      <c r="H156" s="277">
        <f t="shared" si="34"/>
        <v>0</v>
      </c>
      <c r="I156" s="224" t="str">
        <f>IF((E158-'ETCA-II-04'!D80)&gt;0.9,"ERROR!!!!! EL MONTO NO COINCIDE CON LO REPORTADO EN EL FORMATO ETCA-II-04 EN EL TOTAL DEL GASTO","")</f>
        <v/>
      </c>
    </row>
    <row r="157" spans="1:9" x14ac:dyDescent="0.25">
      <c r="A157" s="344"/>
      <c r="B157" s="307"/>
      <c r="C157" s="276"/>
      <c r="D157" s="276"/>
      <c r="E157" s="276">
        <f t="shared" si="33"/>
        <v>0</v>
      </c>
      <c r="F157" s="276"/>
      <c r="G157" s="276"/>
      <c r="H157" s="277"/>
      <c r="I157" s="224" t="str">
        <f>IF((H158-'ETCA-II-04'!G80)&gt;0.9,"ERROR!!!!! EL MONTO NO COINCIDE CON LO REPORTADO EN EL FORMATO ETCA-II-04 EN EL TOTAL DEL GASTO","")</f>
        <v/>
      </c>
    </row>
    <row r="158" spans="1:9" x14ac:dyDescent="0.25">
      <c r="A158" s="540" t="s">
        <v>274</v>
      </c>
      <c r="B158" s="541"/>
      <c r="C158" s="275">
        <f>+C9+C83</f>
        <v>782667131.32148921</v>
      </c>
      <c r="D158" s="275">
        <f t="shared" ref="D158:H158" si="35">+D9+D83</f>
        <v>3346323507.46</v>
      </c>
      <c r="E158" s="275">
        <f t="shared" si="35"/>
        <v>4128990638.7814894</v>
      </c>
      <c r="F158" s="275">
        <f t="shared" si="35"/>
        <v>2542826802.1499996</v>
      </c>
      <c r="G158" s="275">
        <f t="shared" si="35"/>
        <v>2472706686.1099997</v>
      </c>
      <c r="H158" s="275">
        <f t="shared" si="35"/>
        <v>1586163836.6314895</v>
      </c>
      <c r="I158" s="224" t="str">
        <f>IF((F158-'ETCA-II-04'!E80)&gt;0.9,"ERROR!!!!! EL MONTO NO COINCIDE CON LO REPORTADO EN EL FORMATO ETCA-II-04 EN EL TOTAL DEL GASTO","")</f>
        <v/>
      </c>
    </row>
    <row r="159" spans="1:9" ht="15.75" thickBot="1" x14ac:dyDescent="0.3">
      <c r="A159" s="306"/>
      <c r="B159" s="268"/>
      <c r="C159" s="269"/>
      <c r="D159" s="269"/>
      <c r="E159" s="269"/>
      <c r="F159" s="269"/>
      <c r="G159" s="269"/>
      <c r="H159" s="270"/>
      <c r="I159" s="224" t="str">
        <f>IF((G158-'ETCA-II-04'!F80)&gt;0.9,"ERROR!!!!! EL MONTO NO COINCIDE CON LO REPORTADO EN EL FORMATO ETCA-II-04 EN EL TOTAL DEL GASTO","")</f>
        <v/>
      </c>
    </row>
  </sheetData>
  <sheetProtection password="C115" sheet="1" scenarios="1" formatColumns="0" formatRows="0"/>
  <mergeCells count="29">
    <mergeCell ref="A158:B158"/>
    <mergeCell ref="A75:B75"/>
    <mergeCell ref="A83:B83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71:B71"/>
    <mergeCell ref="A6:B7"/>
    <mergeCell ref="C6:G6"/>
    <mergeCell ref="H6:H7"/>
    <mergeCell ref="A9:B9"/>
    <mergeCell ref="A10:B10"/>
    <mergeCell ref="A18:B18"/>
    <mergeCell ref="A28:B28"/>
    <mergeCell ref="A38:B38"/>
    <mergeCell ref="A48:B48"/>
    <mergeCell ref="A58:B58"/>
    <mergeCell ref="A62:B62"/>
    <mergeCell ref="A5:H5"/>
    <mergeCell ref="A1:H1"/>
    <mergeCell ref="A2:H2"/>
    <mergeCell ref="A3:H3"/>
    <mergeCell ref="A4:H4"/>
  </mergeCells>
  <pageMargins left="0.31496062992125984" right="0" top="0.15748031496062992" bottom="0" header="0.31496062992125984" footer="0.31496062992125984"/>
  <pageSetup scale="71" orientation="portrait" horizontalDpi="1200" verticalDpi="1200" r:id="rId1"/>
  <rowBreaks count="2" manualBreakCount="2">
    <brk id="72" max="7" man="1"/>
    <brk id="142" max="7" man="1"/>
  </rowBreaks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249977111117893"/>
  </sheetPr>
  <dimension ref="A1:H39"/>
  <sheetViews>
    <sheetView view="pageBreakPreview" zoomScaleSheetLayoutView="100" workbookViewId="0">
      <selection activeCell="A11" sqref="A10:O16"/>
    </sheetView>
  </sheetViews>
  <sheetFormatPr baseColWidth="10" defaultColWidth="11.28515625" defaultRowHeight="16.5" x14ac:dyDescent="0.25"/>
  <cols>
    <col min="1" max="1" width="36.7109375" style="8" customWidth="1"/>
    <col min="2" max="2" width="13.7109375" style="8" customWidth="1"/>
    <col min="3" max="3" width="12" style="8" customWidth="1"/>
    <col min="4" max="4" width="13" style="8" customWidth="1"/>
    <col min="5" max="5" width="13.7109375" style="8" customWidth="1"/>
    <col min="6" max="6" width="15.7109375" style="8" customWidth="1"/>
    <col min="7" max="7" width="12.140625" style="8" customWidth="1"/>
    <col min="8" max="16384" width="11.28515625" style="8"/>
  </cols>
  <sheetData>
    <row r="1" spans="1:8" x14ac:dyDescent="0.25">
      <c r="A1" s="447" t="e">
        <f>#REF!</f>
        <v>#REF!</v>
      </c>
      <c r="B1" s="447"/>
      <c r="C1" s="447"/>
      <c r="D1" s="447"/>
      <c r="E1" s="447"/>
      <c r="F1" s="447"/>
      <c r="G1" s="447"/>
    </row>
    <row r="2" spans="1:8" s="9" customFormat="1" ht="15.75" x14ac:dyDescent="0.25">
      <c r="A2" s="447" t="s">
        <v>131</v>
      </c>
      <c r="B2" s="447"/>
      <c r="C2" s="447"/>
      <c r="D2" s="447"/>
      <c r="E2" s="447"/>
      <c r="F2" s="447"/>
      <c r="G2" s="447"/>
    </row>
    <row r="3" spans="1:8" s="9" customFormat="1" ht="15.75" x14ac:dyDescent="0.25">
      <c r="A3" s="447" t="s">
        <v>275</v>
      </c>
      <c r="B3" s="447"/>
      <c r="C3" s="447"/>
      <c r="D3" s="447"/>
      <c r="E3" s="447"/>
      <c r="F3" s="447"/>
      <c r="G3" s="447"/>
    </row>
    <row r="4" spans="1:8" s="9" customFormat="1" x14ac:dyDescent="0.25">
      <c r="A4" s="448" t="e">
        <f>#REF!</f>
        <v>#REF!</v>
      </c>
      <c r="B4" s="448"/>
      <c r="C4" s="448"/>
      <c r="D4" s="448"/>
      <c r="E4" s="448"/>
      <c r="F4" s="448"/>
      <c r="G4" s="448"/>
    </row>
    <row r="5" spans="1:8" s="11" customFormat="1" ht="17.25" thickBot="1" x14ac:dyDescent="0.3">
      <c r="A5" s="520" t="s">
        <v>451</v>
      </c>
      <c r="B5" s="520"/>
      <c r="C5" s="520"/>
      <c r="D5" s="520"/>
      <c r="E5" s="520"/>
      <c r="F5" s="10"/>
      <c r="G5" s="316"/>
    </row>
    <row r="6" spans="1:8" s="88" customFormat="1" ht="38.25" x14ac:dyDescent="0.25">
      <c r="A6" s="471" t="s">
        <v>39</v>
      </c>
      <c r="B6" s="19" t="s">
        <v>134</v>
      </c>
      <c r="C6" s="19" t="s">
        <v>64</v>
      </c>
      <c r="D6" s="19" t="s">
        <v>135</v>
      </c>
      <c r="E6" s="20" t="s">
        <v>136</v>
      </c>
      <c r="F6" s="20" t="s">
        <v>137</v>
      </c>
      <c r="G6" s="21" t="s">
        <v>138</v>
      </c>
    </row>
    <row r="7" spans="1:8" s="89" customFormat="1" ht="15.75" customHeight="1" thickBot="1" x14ac:dyDescent="0.3">
      <c r="A7" s="475"/>
      <c r="B7" s="23" t="s">
        <v>44</v>
      </c>
      <c r="C7" s="23" t="s">
        <v>45</v>
      </c>
      <c r="D7" s="23" t="s">
        <v>139</v>
      </c>
      <c r="E7" s="23" t="s">
        <v>47</v>
      </c>
      <c r="F7" s="23" t="s">
        <v>48</v>
      </c>
      <c r="G7" s="25" t="s">
        <v>140</v>
      </c>
    </row>
    <row r="8" spans="1:8" ht="21.75" customHeight="1" x14ac:dyDescent="0.25">
      <c r="A8" s="94" t="s">
        <v>276</v>
      </c>
      <c r="B8" s="435">
        <v>400419388.43638921</v>
      </c>
      <c r="C8" s="435">
        <v>214619903.45000002</v>
      </c>
      <c r="D8" s="443">
        <f>C8+B8</f>
        <v>615039291.88638926</v>
      </c>
      <c r="E8" s="435">
        <v>538086647.90999997</v>
      </c>
      <c r="F8" s="435">
        <v>500414242.45999998</v>
      </c>
      <c r="G8" s="193">
        <f>D8-E8</f>
        <v>76952643.976389289</v>
      </c>
    </row>
    <row r="9" spans="1:8" ht="22.5" customHeight="1" x14ac:dyDescent="0.25">
      <c r="A9" s="94" t="s">
        <v>277</v>
      </c>
      <c r="B9" s="435">
        <v>292247742.88510001</v>
      </c>
      <c r="C9" s="435">
        <v>3132023706.9500003</v>
      </c>
      <c r="D9" s="443">
        <f>C9+B9</f>
        <v>3424271449.8351002</v>
      </c>
      <c r="E9" s="435">
        <v>1934762251.8399999</v>
      </c>
      <c r="F9" s="435">
        <v>1903593492.8399999</v>
      </c>
      <c r="G9" s="193">
        <f>D9-E9</f>
        <v>1489509197.9951003</v>
      </c>
    </row>
    <row r="10" spans="1:8" ht="22.5" customHeight="1" x14ac:dyDescent="0.25">
      <c r="A10" s="94" t="s">
        <v>278</v>
      </c>
      <c r="B10" s="435">
        <v>90000000</v>
      </c>
      <c r="C10" s="435">
        <v>-320102.93999997154</v>
      </c>
      <c r="D10" s="443">
        <f>C10+B10</f>
        <v>89679897.060000032</v>
      </c>
      <c r="E10" s="435">
        <v>69977902.400000006</v>
      </c>
      <c r="F10" s="435">
        <v>68698950.810000002</v>
      </c>
      <c r="G10" s="193">
        <f>D10-E10</f>
        <v>19701994.660000026</v>
      </c>
    </row>
    <row r="11" spans="1:8" ht="23.25" customHeight="1" x14ac:dyDescent="0.25">
      <c r="A11" s="94" t="s">
        <v>22</v>
      </c>
      <c r="B11" s="176"/>
      <c r="C11" s="176"/>
      <c r="D11" s="177">
        <f>C11+B11</f>
        <v>0</v>
      </c>
      <c r="E11" s="176"/>
      <c r="F11" s="176"/>
      <c r="G11" s="193">
        <f>D11-E11</f>
        <v>0</v>
      </c>
    </row>
    <row r="12" spans="1:8" ht="22.5" customHeight="1" x14ac:dyDescent="0.25">
      <c r="A12" s="94" t="s">
        <v>26</v>
      </c>
      <c r="B12" s="176"/>
      <c r="C12" s="176"/>
      <c r="D12" s="177">
        <f>C12+B12</f>
        <v>0</v>
      </c>
      <c r="E12" s="176"/>
      <c r="F12" s="176"/>
      <c r="G12" s="193">
        <f>D12-E12</f>
        <v>0</v>
      </c>
    </row>
    <row r="13" spans="1:8" ht="10.5" customHeight="1" thickBot="1" x14ac:dyDescent="0.3">
      <c r="A13" s="95"/>
      <c r="B13" s="228"/>
      <c r="C13" s="228"/>
      <c r="D13" s="229"/>
      <c r="E13" s="228"/>
      <c r="F13" s="228"/>
      <c r="G13" s="230"/>
    </row>
    <row r="14" spans="1:8" ht="16.5" customHeight="1" thickBot="1" x14ac:dyDescent="0.3">
      <c r="A14" s="323" t="s">
        <v>190</v>
      </c>
      <c r="B14" s="231">
        <f>SUM(B8:B13)</f>
        <v>782667131.32148921</v>
      </c>
      <c r="C14" s="231">
        <f>SUM(C8:C13)</f>
        <v>3346323507.46</v>
      </c>
      <c r="D14" s="232">
        <f>C14+B14</f>
        <v>4128990638.7814894</v>
      </c>
      <c r="E14" s="231">
        <f>SUM(E8:E13)</f>
        <v>2542826802.1500001</v>
      </c>
      <c r="F14" s="231">
        <f>SUM(F8:F13)</f>
        <v>2472706686.1099997</v>
      </c>
      <c r="G14" s="233">
        <f>D14-E14</f>
        <v>1586163836.6314893</v>
      </c>
      <c r="H14" s="224" t="str">
        <f>IF((B14-'ETCA-II-04'!B80)&gt;0.9,"ERROR!!!!! EL MONTO NO COINCIDE CON LO REPORTADO EN EL FORMATO ETCA-II-04 EN EL TOTAL APROBADO ANUAL DEL ANALÍTICO DE EGRESOS","")</f>
        <v/>
      </c>
    </row>
    <row r="15" spans="1:8" ht="16.5" customHeight="1" x14ac:dyDescent="0.25">
      <c r="A15" s="210"/>
      <c r="B15" s="241"/>
      <c r="C15" s="241"/>
      <c r="D15" s="242"/>
      <c r="E15" s="241"/>
      <c r="F15" s="241"/>
      <c r="G15" s="241"/>
      <c r="H15" s="224" t="str">
        <f>IF((C14-'ETCA-II-04'!C80)&gt;0.9,"ERROR!!!!! EL MONTO NO COINCIDE CON LO REPORTADO EN EL FORMATO ETCA-II-04 EN EL TOTAL DE AMPLIACIONES/REDUCCIONES ANUAL DEL ANALÍTICO DE EGRESOS","")</f>
        <v/>
      </c>
    </row>
    <row r="16" spans="1:8" ht="16.5" customHeight="1" x14ac:dyDescent="0.25">
      <c r="A16" s="210"/>
      <c r="B16" s="241"/>
      <c r="C16" s="241"/>
      <c r="D16" s="242"/>
      <c r="E16" s="241"/>
      <c r="F16" s="241"/>
      <c r="G16" s="241"/>
      <c r="H16" s="224" t="str">
        <f>IF((D14-'ETCA-II-04'!D80)&gt;0.9,"ERROR!!!!! EL MONTO NO COINCIDE CON LO REPORTADO EN EL FORMATO ETCA-II-04 EN EL TOTAL MODIFICADO ANUAL DEL ANALÍTICO DE EGRESOS","")</f>
        <v/>
      </c>
    </row>
    <row r="17" spans="1:8" ht="16.5" customHeight="1" x14ac:dyDescent="0.25">
      <c r="A17" s="210"/>
      <c r="B17" s="241"/>
      <c r="C17" s="241"/>
      <c r="D17" s="242"/>
      <c r="E17" s="241"/>
      <c r="F17" s="241"/>
      <c r="G17" s="241"/>
      <c r="H17" s="224" t="str">
        <f>IF((E14-'ETCA-II-04'!E80)&gt;0.9,"ERROR!!!!! EL MONTO NO COINCIDE CON LO REPORTADO EN EL FORMATO ETCA-II-04 EN EL TOTAL DEVENGADO ANUAL DEL ANALÍTICO DE EGRESOS","")</f>
        <v/>
      </c>
    </row>
    <row r="18" spans="1:8" ht="16.5" customHeight="1" x14ac:dyDescent="0.25">
      <c r="A18" s="210"/>
      <c r="B18" s="241"/>
      <c r="C18" s="241"/>
      <c r="D18" s="242"/>
      <c r="E18" s="241"/>
      <c r="F18" s="241"/>
      <c r="G18" s="241"/>
      <c r="H18" s="224" t="str">
        <f>IF((F14-'ETCA-II-04'!F80)&gt;0.9,"ERROR!!!!! EL MONTO NO COINCIDE CON LO REPORTADO EN EL FORMATO ETCA-II-04 EN EL TOTAL PAGADO ANUAL DEL ANALÍTICO DE EGRESOS","")</f>
        <v/>
      </c>
    </row>
    <row r="19" spans="1:8" ht="16.5" customHeight="1" x14ac:dyDescent="0.25">
      <c r="A19" s="210"/>
      <c r="B19" s="241"/>
      <c r="C19" s="241"/>
      <c r="D19" s="242"/>
      <c r="E19" s="241"/>
      <c r="F19" s="241"/>
      <c r="G19" s="241"/>
      <c r="H19" s="224"/>
    </row>
    <row r="20" spans="1:8" ht="16.5" customHeight="1" x14ac:dyDescent="0.25">
      <c r="A20" s="210"/>
      <c r="B20" s="241"/>
      <c r="C20" s="241"/>
      <c r="D20" s="242"/>
      <c r="E20" s="241"/>
      <c r="F20" s="241"/>
      <c r="G20" s="241"/>
      <c r="H20" s="224"/>
    </row>
    <row r="21" spans="1:8" ht="16.5" customHeight="1" x14ac:dyDescent="0.25">
      <c r="A21" s="210"/>
      <c r="B21" s="241"/>
      <c r="C21" s="241"/>
      <c r="D21" s="242"/>
      <c r="E21" s="241"/>
      <c r="F21" s="241"/>
      <c r="G21" s="241"/>
      <c r="H21" s="224"/>
    </row>
    <row r="22" spans="1:8" ht="16.5" customHeight="1" x14ac:dyDescent="0.25">
      <c r="A22" s="210"/>
      <c r="B22" s="241"/>
      <c r="C22" s="241"/>
      <c r="D22" s="242"/>
      <c r="E22" s="241"/>
      <c r="F22" s="241"/>
      <c r="G22" s="241"/>
      <c r="H22" s="224"/>
    </row>
    <row r="23" spans="1:8" ht="16.5" customHeight="1" x14ac:dyDescent="0.25">
      <c r="A23" s="210"/>
      <c r="B23" s="241"/>
      <c r="C23" s="241"/>
      <c r="D23" s="242"/>
      <c r="E23" s="241"/>
      <c r="F23" s="241"/>
      <c r="G23" s="241"/>
      <c r="H23" s="224"/>
    </row>
    <row r="24" spans="1:8" ht="16.5" customHeight="1" x14ac:dyDescent="0.25">
      <c r="A24" s="210"/>
      <c r="B24" s="241"/>
      <c r="C24" s="241"/>
      <c r="D24" s="242"/>
      <c r="E24" s="241"/>
      <c r="F24" s="241"/>
      <c r="G24" s="241"/>
      <c r="H24" s="224"/>
    </row>
    <row r="25" spans="1:8" ht="18.75" customHeight="1" x14ac:dyDescent="0.25">
      <c r="H25" s="224" t="str">
        <f>IF(C14&lt;&gt;'ETCA-II-04'!C80,"ERROR!!!!! EL MONTO NO COINCIDE CON LO REPORTADO EN EL FORMATO ETCA-II-11 EN EL TOTAL DE AMPLIACIONES/REDUCCIONES DEL ANALÍTICO DE EGRESOS","")</f>
        <v/>
      </c>
    </row>
    <row r="26" spans="1:8" s="91" customFormat="1" ht="15.75" x14ac:dyDescent="0.25">
      <c r="A26" s="543" t="s">
        <v>279</v>
      </c>
      <c r="B26" s="543"/>
      <c r="C26" s="543"/>
      <c r="D26" s="543"/>
      <c r="E26" s="543"/>
      <c r="F26" s="543"/>
      <c r="G26" s="90"/>
      <c r="H26" s="224" t="str">
        <f>IF(D14&lt;&gt;'ETCA-II-04'!D80,"ERROR!!!!! EL MONTO NO COINCIDE CON LO REPORTADO EN EL FORMATO ETCA-II-11 EN EL TOTAL MODIFICADO ANUAL DEL ANALÍTICO DE EGRESOS","")</f>
        <v/>
      </c>
    </row>
    <row r="27" spans="1:8" s="91" customFormat="1" ht="13.5" x14ac:dyDescent="0.25">
      <c r="A27" s="92" t="s">
        <v>280</v>
      </c>
      <c r="B27" s="90"/>
      <c r="C27" s="90"/>
      <c r="D27" s="90"/>
      <c r="E27" s="90"/>
      <c r="F27" s="90"/>
      <c r="G27" s="90"/>
      <c r="H27" s="224" t="str">
        <f>IF(E14&lt;&gt;'ETCA-II-04'!D80,"ERROR!!!!! EL MONTO NO COINCIDE CON LO REPORTADO EN EL FORMATO ETCA-II-11 EN EL TOTAL DEVENGADO ANUAL DEL ANALÍTICO DE EGRESOS","")</f>
        <v>ERROR!!!!! EL MONTO NO COINCIDE CON LO REPORTADO EN EL FORMATO ETCA-II-11 EN EL TOTAL DEVENGADO ANUAL DEL ANALÍTICO DE EGRESOS</v>
      </c>
    </row>
    <row r="28" spans="1:8" s="91" customFormat="1" ht="28.5" customHeight="1" x14ac:dyDescent="0.25">
      <c r="A28" s="542" t="s">
        <v>281</v>
      </c>
      <c r="B28" s="542"/>
      <c r="C28" s="542"/>
      <c r="D28" s="542"/>
      <c r="E28" s="542"/>
      <c r="F28" s="542"/>
      <c r="G28" s="542"/>
      <c r="H28" s="224" t="str">
        <f>IF(F14&lt;&gt;'ETCA-II-04'!F80,"ERROR!!!!! EL MONTO NO COINCIDE CON LO REPORTADO EN EL FORMATO ETCA-II-11 EN EL TOTAL PAGADO ANUAL DEL ANALÍTICO DE EGRESOS","")</f>
        <v/>
      </c>
    </row>
    <row r="29" spans="1:8" s="91" customFormat="1" ht="13.5" x14ac:dyDescent="0.25">
      <c r="A29" s="92" t="s">
        <v>282</v>
      </c>
      <c r="B29" s="90"/>
      <c r="C29" s="90"/>
      <c r="D29" s="90"/>
      <c r="E29" s="90"/>
      <c r="F29" s="90"/>
      <c r="G29" s="90"/>
      <c r="H29" s="224" t="str">
        <f>IF(G14&lt;&gt;'ETCA-II-04'!G80,"ERROR!!!!! EL MONTO NO COINCIDE CON LO REPORTADO EN EL FORMATO ETCA-II-11 EN EL TOTAL DEL SUBEJERCICIO DEL ANALÍTICO DE EGRESOS","")</f>
        <v/>
      </c>
    </row>
    <row r="30" spans="1:8" s="91" customFormat="1" ht="25.5" customHeight="1" x14ac:dyDescent="0.25">
      <c r="A30" s="542" t="s">
        <v>283</v>
      </c>
      <c r="B30" s="542"/>
      <c r="C30" s="542"/>
      <c r="D30" s="542"/>
      <c r="E30" s="542"/>
      <c r="F30" s="542"/>
      <c r="G30" s="542"/>
    </row>
    <row r="31" spans="1:8" s="91" customFormat="1" ht="13.5" x14ac:dyDescent="0.25">
      <c r="A31" s="544" t="s">
        <v>284</v>
      </c>
      <c r="B31" s="544"/>
      <c r="C31" s="544"/>
      <c r="D31" s="544"/>
      <c r="E31" s="90"/>
      <c r="F31" s="90"/>
      <c r="G31" s="90"/>
    </row>
    <row r="32" spans="1:8" s="91" customFormat="1" ht="13.5" customHeight="1" x14ac:dyDescent="0.25">
      <c r="A32" s="542" t="s">
        <v>285</v>
      </c>
      <c r="B32" s="542"/>
      <c r="C32" s="542"/>
      <c r="D32" s="542"/>
      <c r="E32" s="542"/>
      <c r="F32" s="542"/>
      <c r="G32" s="542"/>
    </row>
    <row r="33" spans="1:7" s="91" customFormat="1" ht="13.5" x14ac:dyDescent="0.25">
      <c r="A33" s="92" t="s">
        <v>286</v>
      </c>
      <c r="B33" s="90"/>
      <c r="C33" s="90"/>
      <c r="D33" s="90"/>
      <c r="E33" s="90"/>
      <c r="F33" s="90"/>
      <c r="G33" s="90"/>
    </row>
    <row r="34" spans="1:7" s="91" customFormat="1" ht="13.5" customHeight="1" x14ac:dyDescent="0.25">
      <c r="A34" s="542" t="s">
        <v>287</v>
      </c>
      <c r="B34" s="542"/>
      <c r="C34" s="542"/>
      <c r="D34" s="542"/>
      <c r="E34" s="542"/>
      <c r="F34" s="542"/>
      <c r="G34" s="542"/>
    </row>
    <row r="35" spans="1:7" s="91" customFormat="1" ht="13.5" x14ac:dyDescent="0.25">
      <c r="A35" s="93" t="s">
        <v>288</v>
      </c>
      <c r="B35" s="90"/>
      <c r="C35" s="90"/>
      <c r="D35" s="90"/>
      <c r="E35" s="90"/>
      <c r="F35" s="90"/>
      <c r="G35" s="90"/>
    </row>
    <row r="36" spans="1:7" s="91" customFormat="1" ht="13.5" x14ac:dyDescent="0.25">
      <c r="A36" s="92" t="s">
        <v>289</v>
      </c>
      <c r="B36" s="90"/>
      <c r="C36" s="90"/>
      <c r="D36" s="90"/>
      <c r="E36" s="90"/>
      <c r="F36" s="90"/>
      <c r="G36" s="90"/>
    </row>
    <row r="37" spans="1:7" s="91" customFormat="1" ht="13.5" customHeight="1" x14ac:dyDescent="0.25">
      <c r="A37" s="542" t="s">
        <v>290</v>
      </c>
      <c r="B37" s="542"/>
      <c r="C37" s="542"/>
      <c r="D37" s="542"/>
      <c r="E37" s="542"/>
      <c r="F37" s="542"/>
      <c r="G37" s="542"/>
    </row>
    <row r="38" spans="1:7" s="91" customFormat="1" ht="13.5" x14ac:dyDescent="0.25">
      <c r="A38" s="93" t="s">
        <v>288</v>
      </c>
      <c r="B38" s="90"/>
      <c r="C38" s="90"/>
      <c r="D38" s="90"/>
      <c r="E38" s="90"/>
      <c r="F38" s="90"/>
      <c r="G38" s="90"/>
    </row>
    <row r="39" spans="1:7" ht="8.25" customHeight="1" x14ac:dyDescent="0.25"/>
  </sheetData>
  <sheetProtection formatColumns="0" formatRows="0" insertHyperlinks="0"/>
  <mergeCells count="13">
    <mergeCell ref="A6:A7"/>
    <mergeCell ref="A1:G1"/>
    <mergeCell ref="A2:G2"/>
    <mergeCell ref="A3:G3"/>
    <mergeCell ref="A4:G4"/>
    <mergeCell ref="A5:E5"/>
    <mergeCell ref="A34:G34"/>
    <mergeCell ref="A37:G37"/>
    <mergeCell ref="A26:F26"/>
    <mergeCell ref="A28:G28"/>
    <mergeCell ref="A30:G30"/>
    <mergeCell ref="A31:D31"/>
    <mergeCell ref="A32:G32"/>
  </mergeCells>
  <pageMargins left="0.39370078740157483" right="0.39370078740157483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249977111117893"/>
  </sheetPr>
  <dimension ref="A1:H36"/>
  <sheetViews>
    <sheetView view="pageBreakPreview" topLeftCell="A19" zoomScale="115" zoomScaleSheetLayoutView="115" workbookViewId="0">
      <selection activeCell="A11" sqref="A10:O16"/>
    </sheetView>
  </sheetViews>
  <sheetFormatPr baseColWidth="10" defaultColWidth="11.28515625" defaultRowHeight="16.5" x14ac:dyDescent="0.25"/>
  <cols>
    <col min="1" max="1" width="39.85546875" style="8" customWidth="1"/>
    <col min="2" max="7" width="13.7109375" style="8" customWidth="1"/>
    <col min="8" max="16384" width="11.28515625" style="8"/>
  </cols>
  <sheetData>
    <row r="1" spans="1:7" x14ac:dyDescent="0.25">
      <c r="A1" s="447" t="e">
        <f>#REF!</f>
        <v>#REF!</v>
      </c>
      <c r="B1" s="447"/>
      <c r="C1" s="447"/>
      <c r="D1" s="447"/>
      <c r="E1" s="447"/>
      <c r="F1" s="447"/>
      <c r="G1" s="447"/>
    </row>
    <row r="2" spans="1:7" s="11" customFormat="1" x14ac:dyDescent="0.25">
      <c r="A2" s="447" t="s">
        <v>131</v>
      </c>
      <c r="B2" s="447"/>
      <c r="C2" s="447"/>
      <c r="D2" s="447"/>
      <c r="E2" s="447"/>
      <c r="F2" s="447"/>
      <c r="G2" s="447"/>
    </row>
    <row r="3" spans="1:7" s="11" customFormat="1" x14ac:dyDescent="0.25">
      <c r="A3" s="447" t="s">
        <v>291</v>
      </c>
      <c r="B3" s="447"/>
      <c r="C3" s="447"/>
      <c r="D3" s="447"/>
      <c r="E3" s="447"/>
      <c r="F3" s="447"/>
      <c r="G3" s="447"/>
    </row>
    <row r="4" spans="1:7" s="11" customFormat="1" x14ac:dyDescent="0.25">
      <c r="A4" s="448" t="e">
        <f>#REF!</f>
        <v>#REF!</v>
      </c>
      <c r="B4" s="448"/>
      <c r="C4" s="448"/>
      <c r="D4" s="448"/>
      <c r="E4" s="448"/>
      <c r="F4" s="448"/>
      <c r="G4" s="448"/>
    </row>
    <row r="5" spans="1:7" s="11" customFormat="1" ht="17.25" thickBot="1" x14ac:dyDescent="0.3">
      <c r="A5" s="520" t="s">
        <v>452</v>
      </c>
      <c r="B5" s="520"/>
      <c r="C5" s="520"/>
      <c r="D5" s="520"/>
      <c r="E5" s="520"/>
      <c r="F5" s="10"/>
      <c r="G5" s="316"/>
    </row>
    <row r="6" spans="1:7" s="96" customFormat="1" ht="38.25" x14ac:dyDescent="0.25">
      <c r="A6" s="545" t="s">
        <v>291</v>
      </c>
      <c r="B6" s="19" t="s">
        <v>134</v>
      </c>
      <c r="C6" s="19" t="s">
        <v>64</v>
      </c>
      <c r="D6" s="19" t="s">
        <v>135</v>
      </c>
      <c r="E6" s="20" t="s">
        <v>136</v>
      </c>
      <c r="F6" s="20" t="s">
        <v>137</v>
      </c>
      <c r="G6" s="21" t="s">
        <v>138</v>
      </c>
    </row>
    <row r="7" spans="1:7" s="99" customFormat="1" ht="17.25" thickBot="1" x14ac:dyDescent="0.3">
      <c r="A7" s="546"/>
      <c r="B7" s="97" t="s">
        <v>44</v>
      </c>
      <c r="C7" s="97" t="s">
        <v>45</v>
      </c>
      <c r="D7" s="97" t="s">
        <v>139</v>
      </c>
      <c r="E7" s="97" t="s">
        <v>47</v>
      </c>
      <c r="F7" s="97" t="s">
        <v>48</v>
      </c>
      <c r="G7" s="98" t="s">
        <v>140</v>
      </c>
    </row>
    <row r="8" spans="1:7" ht="21" customHeight="1" x14ac:dyDescent="0.25">
      <c r="A8" s="100" t="s">
        <v>775</v>
      </c>
      <c r="B8" s="435">
        <v>3624552.2033333331</v>
      </c>
      <c r="C8" s="435">
        <v>154871.1</v>
      </c>
      <c r="D8" s="435">
        <f>IF($A8="","",B8+C8)</f>
        <v>3779423.3033333332</v>
      </c>
      <c r="E8" s="435">
        <v>3376533.83</v>
      </c>
      <c r="F8" s="435">
        <v>3108661.99</v>
      </c>
      <c r="G8" s="225">
        <f>IF($A8="","",D8-E8)</f>
        <v>402889.47333333315</v>
      </c>
    </row>
    <row r="9" spans="1:7" ht="21" customHeight="1" x14ac:dyDescent="0.25">
      <c r="A9" s="100" t="s">
        <v>776</v>
      </c>
      <c r="B9" s="435">
        <v>214583772.22666699</v>
      </c>
      <c r="C9" s="435">
        <v>5309765.3599999994</v>
      </c>
      <c r="D9" s="435">
        <f t="shared" ref="D9:D30" si="0">IF($A9="","",B9+C9)</f>
        <v>219893537.586667</v>
      </c>
      <c r="E9" s="435">
        <v>123741181.98999999</v>
      </c>
      <c r="F9" s="435">
        <v>119742147.31</v>
      </c>
      <c r="G9" s="225">
        <f t="shared" ref="G9:G30" si="1">IF($A9="","",D9-E9)</f>
        <v>96152355.596667007</v>
      </c>
    </row>
    <row r="10" spans="1:7" ht="21" customHeight="1" x14ac:dyDescent="0.25">
      <c r="A10" s="100" t="s">
        <v>777</v>
      </c>
      <c r="B10" s="435">
        <v>147100</v>
      </c>
      <c r="C10" s="435">
        <v>-29869.51</v>
      </c>
      <c r="D10" s="435">
        <f t="shared" si="0"/>
        <v>117230.49</v>
      </c>
      <c r="E10" s="435">
        <v>64926.23</v>
      </c>
      <c r="F10" s="435">
        <v>63826.49</v>
      </c>
      <c r="G10" s="225">
        <f t="shared" si="1"/>
        <v>52304.26</v>
      </c>
    </row>
    <row r="11" spans="1:7" ht="21" customHeight="1" x14ac:dyDescent="0.25">
      <c r="A11" s="100" t="s">
        <v>778</v>
      </c>
      <c r="B11" s="435">
        <v>59849370.766666666</v>
      </c>
      <c r="C11" s="435">
        <v>3760168.54</v>
      </c>
      <c r="D11" s="435">
        <f t="shared" si="0"/>
        <v>63609539.306666665</v>
      </c>
      <c r="E11" s="435">
        <v>8258823.3399999999</v>
      </c>
      <c r="F11" s="435">
        <v>8223052.4799999995</v>
      </c>
      <c r="G11" s="225">
        <f t="shared" si="1"/>
        <v>55350715.966666669</v>
      </c>
    </row>
    <row r="12" spans="1:7" ht="21" customHeight="1" x14ac:dyDescent="0.25">
      <c r="A12" s="100" t="s">
        <v>779</v>
      </c>
      <c r="B12" s="435">
        <v>217001536.34951958</v>
      </c>
      <c r="C12" s="435">
        <v>9920436.9499999993</v>
      </c>
      <c r="D12" s="435">
        <f t="shared" si="0"/>
        <v>226921973.29951957</v>
      </c>
      <c r="E12" s="435">
        <v>162224483.63</v>
      </c>
      <c r="F12" s="435">
        <v>151456552.69999999</v>
      </c>
      <c r="G12" s="225">
        <f t="shared" si="1"/>
        <v>64697489.669519573</v>
      </c>
    </row>
    <row r="13" spans="1:7" ht="21" customHeight="1" x14ac:dyDescent="0.25">
      <c r="A13" s="100" t="s">
        <v>780</v>
      </c>
      <c r="B13" s="435">
        <v>10204513.963333333</v>
      </c>
      <c r="C13" s="435">
        <v>3021935289.5300002</v>
      </c>
      <c r="D13" s="435">
        <f t="shared" si="0"/>
        <v>3032139803.4933333</v>
      </c>
      <c r="E13" s="435">
        <v>1702388609.1300001</v>
      </c>
      <c r="F13" s="435">
        <v>1685539212.46</v>
      </c>
      <c r="G13" s="225">
        <f t="shared" si="1"/>
        <v>1329751194.3633332</v>
      </c>
    </row>
    <row r="14" spans="1:7" ht="21" customHeight="1" x14ac:dyDescent="0.25">
      <c r="A14" s="100" t="s">
        <v>781</v>
      </c>
      <c r="B14" s="435">
        <v>4126614.6000000006</v>
      </c>
      <c r="C14" s="435">
        <v>-2348.64</v>
      </c>
      <c r="D14" s="435">
        <f t="shared" si="0"/>
        <v>4124265.9600000004</v>
      </c>
      <c r="E14" s="435">
        <v>4340020.4400000004</v>
      </c>
      <c r="F14" s="435">
        <v>4314848.3899999997</v>
      </c>
      <c r="G14" s="225">
        <f t="shared" si="1"/>
        <v>-215754.47999999998</v>
      </c>
    </row>
    <row r="15" spans="1:7" ht="21" customHeight="1" x14ac:dyDescent="0.25">
      <c r="A15" s="100" t="s">
        <v>782</v>
      </c>
      <c r="B15" s="435">
        <v>3476951.2099999995</v>
      </c>
      <c r="C15" s="435">
        <v>323392.99</v>
      </c>
      <c r="D15" s="435">
        <f t="shared" si="0"/>
        <v>3800344.1999999993</v>
      </c>
      <c r="E15" s="435">
        <v>3758474.08</v>
      </c>
      <c r="F15" s="435">
        <v>3692235.03</v>
      </c>
      <c r="G15" s="225">
        <f t="shared" si="1"/>
        <v>41870.11999999918</v>
      </c>
    </row>
    <row r="16" spans="1:7" ht="21" customHeight="1" x14ac:dyDescent="0.25">
      <c r="A16" s="100" t="s">
        <v>783</v>
      </c>
      <c r="B16" s="435">
        <v>269652719.99715585</v>
      </c>
      <c r="C16" s="435">
        <v>304951800.83999997</v>
      </c>
      <c r="D16" s="435">
        <f t="shared" si="0"/>
        <v>574604520.83715582</v>
      </c>
      <c r="E16" s="435">
        <v>534673749.17999995</v>
      </c>
      <c r="F16" s="435">
        <v>496566149.19999993</v>
      </c>
      <c r="G16" s="225">
        <f t="shared" si="1"/>
        <v>39930771.657155871</v>
      </c>
    </row>
    <row r="17" spans="1:8" ht="21" customHeight="1" x14ac:dyDescent="0.25">
      <c r="A17" s="100"/>
      <c r="B17" s="176"/>
      <c r="C17" s="176"/>
      <c r="D17" s="176" t="str">
        <f t="shared" si="0"/>
        <v/>
      </c>
      <c r="E17" s="176"/>
      <c r="F17" s="176"/>
      <c r="G17" s="225" t="str">
        <f t="shared" si="1"/>
        <v/>
      </c>
    </row>
    <row r="18" spans="1:8" ht="21" customHeight="1" x14ac:dyDescent="0.25">
      <c r="A18" s="100"/>
      <c r="B18" s="176"/>
      <c r="C18" s="176"/>
      <c r="D18" s="176" t="str">
        <f t="shared" si="0"/>
        <v/>
      </c>
      <c r="E18" s="176"/>
      <c r="F18" s="176"/>
      <c r="G18" s="225" t="str">
        <f t="shared" si="1"/>
        <v/>
      </c>
    </row>
    <row r="19" spans="1:8" ht="21" customHeight="1" x14ac:dyDescent="0.25">
      <c r="A19" s="100"/>
      <c r="B19" s="176"/>
      <c r="C19" s="176"/>
      <c r="D19" s="176" t="str">
        <f t="shared" si="0"/>
        <v/>
      </c>
      <c r="E19" s="176"/>
      <c r="F19" s="176"/>
      <c r="G19" s="225" t="str">
        <f t="shared" si="1"/>
        <v/>
      </c>
    </row>
    <row r="20" spans="1:8" ht="21" customHeight="1" x14ac:dyDescent="0.25">
      <c r="A20" s="100"/>
      <c r="B20" s="176"/>
      <c r="C20" s="176"/>
      <c r="D20" s="176" t="str">
        <f t="shared" si="0"/>
        <v/>
      </c>
      <c r="E20" s="176"/>
      <c r="F20" s="176"/>
      <c r="G20" s="225" t="str">
        <f t="shared" si="1"/>
        <v/>
      </c>
    </row>
    <row r="21" spans="1:8" ht="21" customHeight="1" x14ac:dyDescent="0.25">
      <c r="A21" s="100"/>
      <c r="B21" s="176"/>
      <c r="C21" s="176"/>
      <c r="D21" s="176" t="str">
        <f t="shared" si="0"/>
        <v/>
      </c>
      <c r="E21" s="176"/>
      <c r="F21" s="176"/>
      <c r="G21" s="225" t="str">
        <f t="shared" si="1"/>
        <v/>
      </c>
    </row>
    <row r="22" spans="1:8" ht="21" customHeight="1" x14ac:dyDescent="0.25">
      <c r="A22" s="100"/>
      <c r="B22" s="176"/>
      <c r="C22" s="176"/>
      <c r="D22" s="176" t="str">
        <f t="shared" si="0"/>
        <v/>
      </c>
      <c r="E22" s="176"/>
      <c r="F22" s="176"/>
      <c r="G22" s="225" t="str">
        <f t="shared" si="1"/>
        <v/>
      </c>
    </row>
    <row r="23" spans="1:8" ht="21" customHeight="1" x14ac:dyDescent="0.25">
      <c r="A23" s="100"/>
      <c r="B23" s="176"/>
      <c r="C23" s="176"/>
      <c r="D23" s="176" t="str">
        <f t="shared" si="0"/>
        <v/>
      </c>
      <c r="E23" s="176"/>
      <c r="F23" s="176"/>
      <c r="G23" s="225" t="str">
        <f t="shared" si="1"/>
        <v/>
      </c>
    </row>
    <row r="24" spans="1:8" ht="21" customHeight="1" x14ac:dyDescent="0.25">
      <c r="A24" s="100"/>
      <c r="B24" s="176"/>
      <c r="C24" s="176"/>
      <c r="D24" s="176" t="str">
        <f t="shared" si="0"/>
        <v/>
      </c>
      <c r="E24" s="176"/>
      <c r="F24" s="176"/>
      <c r="G24" s="225" t="str">
        <f t="shared" si="1"/>
        <v/>
      </c>
    </row>
    <row r="25" spans="1:8" ht="21" customHeight="1" x14ac:dyDescent="0.25">
      <c r="A25" s="100"/>
      <c r="B25" s="176"/>
      <c r="C25" s="176"/>
      <c r="D25" s="176" t="str">
        <f t="shared" si="0"/>
        <v/>
      </c>
      <c r="E25" s="176"/>
      <c r="F25" s="176"/>
      <c r="G25" s="225" t="str">
        <f t="shared" si="1"/>
        <v/>
      </c>
    </row>
    <row r="26" spans="1:8" ht="21" customHeight="1" x14ac:dyDescent="0.25">
      <c r="A26" s="100"/>
      <c r="B26" s="176"/>
      <c r="C26" s="176"/>
      <c r="D26" s="176" t="str">
        <f t="shared" si="0"/>
        <v/>
      </c>
      <c r="E26" s="176"/>
      <c r="F26" s="176"/>
      <c r="G26" s="225" t="str">
        <f t="shared" si="1"/>
        <v/>
      </c>
    </row>
    <row r="27" spans="1:8" ht="21" customHeight="1" x14ac:dyDescent="0.25">
      <c r="A27" s="100"/>
      <c r="B27" s="176"/>
      <c r="C27" s="176"/>
      <c r="D27" s="176" t="str">
        <f t="shared" si="0"/>
        <v/>
      </c>
      <c r="E27" s="176"/>
      <c r="F27" s="176"/>
      <c r="G27" s="225" t="str">
        <f t="shared" si="1"/>
        <v/>
      </c>
    </row>
    <row r="28" spans="1:8" ht="21" customHeight="1" x14ac:dyDescent="0.25">
      <c r="A28" s="100"/>
      <c r="B28" s="176"/>
      <c r="C28" s="176"/>
      <c r="D28" s="176" t="str">
        <f t="shared" si="0"/>
        <v/>
      </c>
      <c r="E28" s="176"/>
      <c r="F28" s="176"/>
      <c r="G28" s="225" t="str">
        <f t="shared" si="1"/>
        <v/>
      </c>
    </row>
    <row r="29" spans="1:8" ht="21" customHeight="1" x14ac:dyDescent="0.25">
      <c r="A29" s="100"/>
      <c r="B29" s="176"/>
      <c r="C29" s="176"/>
      <c r="D29" s="176" t="str">
        <f t="shared" si="0"/>
        <v/>
      </c>
      <c r="E29" s="176"/>
      <c r="F29" s="176"/>
      <c r="G29" s="225" t="str">
        <f t="shared" si="1"/>
        <v/>
      </c>
    </row>
    <row r="30" spans="1:8" ht="21" customHeight="1" thickBot="1" x14ac:dyDescent="0.3">
      <c r="A30" s="100"/>
      <c r="B30" s="176"/>
      <c r="C30" s="176"/>
      <c r="D30" s="176" t="str">
        <f t="shared" si="0"/>
        <v/>
      </c>
      <c r="E30" s="176"/>
      <c r="F30" s="176"/>
      <c r="G30" s="225" t="str">
        <f t="shared" si="1"/>
        <v/>
      </c>
    </row>
    <row r="31" spans="1:8" ht="21" customHeight="1" thickBot="1" x14ac:dyDescent="0.3">
      <c r="A31" s="101" t="s">
        <v>190</v>
      </c>
      <c r="B31" s="178">
        <f>SUM(B8:B30)</f>
        <v>782667131.31667566</v>
      </c>
      <c r="C31" s="178">
        <f>SUM(C8:C30)</f>
        <v>3346323507.1600003</v>
      </c>
      <c r="D31" s="178">
        <f>IF($A31="","",B31+C31)</f>
        <v>4128990638.476676</v>
      </c>
      <c r="E31" s="178">
        <f>SUM(E8:E30)</f>
        <v>2542826801.8499999</v>
      </c>
      <c r="F31" s="178">
        <f>SUM(F8:F30)</f>
        <v>2472706686.0500002</v>
      </c>
      <c r="G31" s="188">
        <f>IF($A31="","",D31-E31)</f>
        <v>1586163836.6266761</v>
      </c>
      <c r="H31" s="88" t="str">
        <f>IF(($B$31-'ETCA-II-04'!B80)&gt;0.9,"ERROR!!!!! EL MONTO NO COINCIDE CON LO REPORTADO EN EL FORMATO ETCA-II-04 EN EL TOTAL APROBADO ANUAL DEL ANALÍTICO DE EGRESOS","")</f>
        <v/>
      </c>
    </row>
    <row r="32" spans="1:8" x14ac:dyDescent="0.25">
      <c r="B32" s="433"/>
      <c r="C32" s="433"/>
      <c r="D32" s="433"/>
      <c r="E32" s="433"/>
      <c r="F32" s="433"/>
      <c r="G32" s="433"/>
      <c r="H32" s="88" t="str">
        <f>IF(($C$31-'ETCA-II-04'!C80)&gt;0.9,"ERROR!!!!! EL MONTO NO COINCIDE CON LO REPORTADO EN EL FORMATO ETCA-II-04 EN EL TOTAL AMPLIACIONES/REDUCCIONES ANUAL DEL ANALÍTICO DE EGRESOS","")</f>
        <v/>
      </c>
    </row>
    <row r="33" spans="2:8" x14ac:dyDescent="0.25">
      <c r="B33" s="434"/>
      <c r="C33" s="434"/>
      <c r="D33" s="434"/>
      <c r="E33" s="434"/>
      <c r="F33" s="434"/>
      <c r="G33" s="434"/>
      <c r="H33" s="88" t="str">
        <f>IF(($D$31-'ETCA-II-04'!D80)&gt;0.9,"ERROR!!!!! EL MONTO NO COINCIDE CON LO REPORTADO EN EL FORMATO ETCA-II-04 EN EL TOTAL MODIFICADO ANUAL DEL ANALÍTICO DE EGRESOS","")</f>
        <v/>
      </c>
    </row>
    <row r="34" spans="2:8" x14ac:dyDescent="0.25">
      <c r="H34" s="88" t="str">
        <f>IF(($E$31-'ETCA-II-04'!E80)&gt;0.9,"ERROR!!!!! EL MONTO NO COINCIDE CON LO REPORTADO EN EL FORMATO ETCA-II-04 EN EL TOTAL DEVENGADO ANUAL DEL ANALÍTICO DE EGRESOS","")</f>
        <v/>
      </c>
    </row>
    <row r="35" spans="2:8" x14ac:dyDescent="0.25">
      <c r="H35" s="88" t="str">
        <f>IF(($F$31-'ETCA-II-04'!F80)&gt;0.9,"ERROR!!!!! EL MONTO NO COINCIDE CON LO REPORTADO EN EL FORMATO ETCA-II-04 EN EL TOTAL PAGADO ANUAL DEL ANALÍTICO DE EGRESOS","")</f>
        <v/>
      </c>
    </row>
    <row r="36" spans="2:8" x14ac:dyDescent="0.25">
      <c r="H36" s="88" t="str">
        <f>IF(($G$31-'ETCA-II-04'!G80)&gt;0.9,"ERROR!!!!! EL MONTO NO COINCIDE CON LO REPORTADO EN EL FORMATO ETCA-II-04 EN EL TOTAL APROBADO ANUAL DEL ANALÍTICO DE EGRESOS","")</f>
        <v/>
      </c>
    </row>
  </sheetData>
  <sheetProtection formatColumns="0" formatRows="0" insertRows="0" deleteColumns="0" deleteRows="0"/>
  <mergeCells count="6">
    <mergeCell ref="A6:A7"/>
    <mergeCell ref="A1:G1"/>
    <mergeCell ref="A2:G2"/>
    <mergeCell ref="A3:G3"/>
    <mergeCell ref="A4:G4"/>
    <mergeCell ref="A5:E5"/>
  </mergeCells>
  <printOptions horizontalCentered="1"/>
  <pageMargins left="0.51181102362204722" right="0.15748031496062992" top="0.74803149606299213" bottom="0.74803149606299213" header="0.31496062992125984" footer="0.31496062992125984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249977111117893"/>
  </sheetPr>
  <dimension ref="A1:H37"/>
  <sheetViews>
    <sheetView view="pageBreakPreview" topLeftCell="A10" zoomScaleSheetLayoutView="100" workbookViewId="0">
      <selection activeCell="A11" sqref="A10:O16"/>
    </sheetView>
  </sheetViews>
  <sheetFormatPr baseColWidth="10" defaultColWidth="11.42578125" defaultRowHeight="15" x14ac:dyDescent="0.25"/>
  <cols>
    <col min="1" max="1" width="32.42578125" customWidth="1"/>
    <col min="2" max="2" width="12.140625" customWidth="1"/>
    <col min="3" max="3" width="13.140625" customWidth="1"/>
    <col min="4" max="4" width="12.42578125" customWidth="1"/>
    <col min="5" max="5" width="12.85546875" customWidth="1"/>
    <col min="6" max="6" width="14" customWidth="1"/>
    <col min="7" max="7" width="15.42578125" customWidth="1"/>
  </cols>
  <sheetData>
    <row r="1" spans="1:7" s="227" customFormat="1" ht="15.75" x14ac:dyDescent="0.2">
      <c r="A1" s="552" t="e">
        <f>#REF!</f>
        <v>#REF!</v>
      </c>
      <c r="B1" s="553"/>
      <c r="C1" s="553"/>
      <c r="D1" s="553"/>
      <c r="E1" s="553"/>
      <c r="F1" s="553"/>
      <c r="G1" s="554"/>
    </row>
    <row r="2" spans="1:7" s="227" customFormat="1" ht="12.75" x14ac:dyDescent="0.2">
      <c r="A2" s="555" t="s">
        <v>191</v>
      </c>
      <c r="B2" s="556"/>
      <c r="C2" s="556"/>
      <c r="D2" s="556"/>
      <c r="E2" s="556"/>
      <c r="F2" s="556"/>
      <c r="G2" s="557"/>
    </row>
    <row r="3" spans="1:7" s="227" customFormat="1" ht="12.75" x14ac:dyDescent="0.2">
      <c r="A3" s="555" t="s">
        <v>292</v>
      </c>
      <c r="B3" s="556"/>
      <c r="C3" s="556"/>
      <c r="D3" s="556"/>
      <c r="E3" s="556"/>
      <c r="F3" s="556"/>
      <c r="G3" s="557"/>
    </row>
    <row r="4" spans="1:7" s="227" customFormat="1" ht="12.75" x14ac:dyDescent="0.2">
      <c r="A4" s="555" t="e">
        <f>#REF!</f>
        <v>#REF!</v>
      </c>
      <c r="B4" s="556"/>
      <c r="C4" s="556"/>
      <c r="D4" s="556"/>
      <c r="E4" s="556"/>
      <c r="F4" s="556"/>
      <c r="G4" s="557"/>
    </row>
    <row r="5" spans="1:7" s="227" customFormat="1" ht="20.25" customHeight="1" thickBot="1" x14ac:dyDescent="0.25">
      <c r="A5" s="558" t="s">
        <v>5</v>
      </c>
      <c r="B5" s="559"/>
      <c r="C5" s="559"/>
      <c r="D5" s="559"/>
      <c r="E5" s="559"/>
      <c r="F5" s="559"/>
      <c r="G5" s="560"/>
    </row>
    <row r="6" spans="1:7" s="227" customFormat="1" ht="13.5" thickBot="1" x14ac:dyDescent="0.25">
      <c r="A6" s="547" t="s">
        <v>6</v>
      </c>
      <c r="B6" s="549" t="s">
        <v>193</v>
      </c>
      <c r="C6" s="550"/>
      <c r="D6" s="550"/>
      <c r="E6" s="550"/>
      <c r="F6" s="551"/>
      <c r="G6" s="547" t="s">
        <v>194</v>
      </c>
    </row>
    <row r="7" spans="1:7" s="227" customFormat="1" ht="26.25" thickBot="1" x14ac:dyDescent="0.25">
      <c r="A7" s="548"/>
      <c r="B7" s="324" t="s">
        <v>195</v>
      </c>
      <c r="C7" s="324" t="s">
        <v>64</v>
      </c>
      <c r="D7" s="324" t="s">
        <v>65</v>
      </c>
      <c r="E7" s="324" t="s">
        <v>66</v>
      </c>
      <c r="F7" s="324" t="s">
        <v>293</v>
      </c>
      <c r="G7" s="548"/>
    </row>
    <row r="8" spans="1:7" s="227" customFormat="1" ht="12.75" x14ac:dyDescent="0.2">
      <c r="A8" s="244" t="s">
        <v>294</v>
      </c>
      <c r="B8" s="289"/>
      <c r="C8" s="289"/>
      <c r="D8" s="289"/>
      <c r="E8" s="289"/>
      <c r="F8" s="289"/>
      <c r="G8" s="289"/>
    </row>
    <row r="9" spans="1:7" s="227" customFormat="1" ht="12.75" x14ac:dyDescent="0.2">
      <c r="A9" s="244" t="s">
        <v>295</v>
      </c>
      <c r="B9" s="274">
        <f>SUM(B10:B18)</f>
        <v>667667131.32108307</v>
      </c>
      <c r="C9" s="274">
        <f t="shared" ref="C9:G9" si="0">SUM(C10:C18)</f>
        <v>308747728.95000005</v>
      </c>
      <c r="D9" s="274">
        <f t="shared" si="0"/>
        <v>976414860.27108312</v>
      </c>
      <c r="E9" s="274">
        <f t="shared" si="0"/>
        <v>808176482.8599999</v>
      </c>
      <c r="F9" s="274">
        <f t="shared" si="0"/>
        <v>760740199.46999991</v>
      </c>
      <c r="G9" s="274">
        <f t="shared" si="0"/>
        <v>168238377.41108334</v>
      </c>
    </row>
    <row r="10" spans="1:7" s="227" customFormat="1" ht="12.75" x14ac:dyDescent="0.2">
      <c r="A10" s="245" t="s">
        <v>775</v>
      </c>
      <c r="B10" s="274">
        <v>3624552.2033333331</v>
      </c>
      <c r="C10" s="274">
        <v>154871.1</v>
      </c>
      <c r="D10" s="274">
        <f>B10+C10</f>
        <v>3779423.3033333332</v>
      </c>
      <c r="E10" s="274">
        <v>3376533.83</v>
      </c>
      <c r="F10" s="274">
        <v>3108661.99</v>
      </c>
      <c r="G10" s="274">
        <f>+D10-E10</f>
        <v>402889.47333333315</v>
      </c>
    </row>
    <row r="11" spans="1:7" s="227" customFormat="1" ht="25.5" x14ac:dyDescent="0.2">
      <c r="A11" s="245" t="s">
        <v>776</v>
      </c>
      <c r="B11" s="274">
        <v>214583772.22666699</v>
      </c>
      <c r="C11" s="274">
        <v>5309765.3599999994</v>
      </c>
      <c r="D11" s="274">
        <f t="shared" ref="D11:D18" si="1">B11+C11</f>
        <v>219893537.586667</v>
      </c>
      <c r="E11" s="274">
        <v>123741181.98999999</v>
      </c>
      <c r="F11" s="274">
        <v>119742147.31</v>
      </c>
      <c r="G11" s="274">
        <f t="shared" ref="G11:G18" si="2">+D11-E11</f>
        <v>96152355.596667007</v>
      </c>
    </row>
    <row r="12" spans="1:7" s="227" customFormat="1" ht="12.75" x14ac:dyDescent="0.2">
      <c r="A12" s="245" t="s">
        <v>777</v>
      </c>
      <c r="B12" s="274">
        <v>147100</v>
      </c>
      <c r="C12" s="274">
        <v>-29869.51</v>
      </c>
      <c r="D12" s="274">
        <f t="shared" si="1"/>
        <v>117230.49</v>
      </c>
      <c r="E12" s="274">
        <v>64926.23</v>
      </c>
      <c r="F12" s="274">
        <v>63826.49</v>
      </c>
      <c r="G12" s="274">
        <f t="shared" si="2"/>
        <v>52304.26</v>
      </c>
    </row>
    <row r="13" spans="1:7" s="227" customFormat="1" ht="25.5" x14ac:dyDescent="0.2">
      <c r="A13" s="245" t="s">
        <v>778</v>
      </c>
      <c r="B13" s="274">
        <v>33938120.766666703</v>
      </c>
      <c r="C13" s="274">
        <v>2760168.54</v>
      </c>
      <c r="D13" s="274">
        <f t="shared" si="1"/>
        <v>36698289.306666702</v>
      </c>
      <c r="E13" s="274">
        <v>7866696.54</v>
      </c>
      <c r="F13" s="274">
        <v>7830925.6800000006</v>
      </c>
      <c r="G13" s="274">
        <f t="shared" si="2"/>
        <v>28831592.766666703</v>
      </c>
    </row>
    <row r="14" spans="1:7" s="227" customFormat="1" ht="25.5" x14ac:dyDescent="0.2">
      <c r="A14" s="245" t="s">
        <v>779</v>
      </c>
      <c r="B14" s="274">
        <v>127912786.35392687</v>
      </c>
      <c r="C14" s="274">
        <v>-15544721.18</v>
      </c>
      <c r="D14" s="274">
        <f t="shared" si="1"/>
        <v>112368065.17392686</v>
      </c>
      <c r="E14" s="274">
        <v>111821901.19999999</v>
      </c>
      <c r="F14" s="274">
        <v>104477297.03999999</v>
      </c>
      <c r="G14" s="274">
        <f t="shared" si="2"/>
        <v>546163.97392687201</v>
      </c>
    </row>
    <row r="15" spans="1:7" s="227" customFormat="1" ht="25.5" x14ac:dyDescent="0.2">
      <c r="A15" s="245" t="s">
        <v>780</v>
      </c>
      <c r="B15" s="274">
        <v>10204513.963333333</v>
      </c>
      <c r="C15" s="274">
        <v>10824669.4500001</v>
      </c>
      <c r="D15" s="274">
        <f t="shared" si="1"/>
        <v>21029183.413333431</v>
      </c>
      <c r="E15" s="274">
        <v>18532999.3699999</v>
      </c>
      <c r="F15" s="274">
        <v>20944108.34</v>
      </c>
      <c r="G15" s="274">
        <f t="shared" si="2"/>
        <v>2496184.0433335304</v>
      </c>
    </row>
    <row r="16" spans="1:7" s="227" customFormat="1" ht="12.75" x14ac:dyDescent="0.2">
      <c r="A16" s="245" t="s">
        <v>781</v>
      </c>
      <c r="B16" s="274">
        <v>4126614.6000000006</v>
      </c>
      <c r="C16" s="274">
        <v>-2348.64</v>
      </c>
      <c r="D16" s="274">
        <f t="shared" si="1"/>
        <v>4124265.9600000004</v>
      </c>
      <c r="E16" s="274">
        <v>4340020.4400000004</v>
      </c>
      <c r="F16" s="274">
        <v>4314848.3899999997</v>
      </c>
      <c r="G16" s="274">
        <f t="shared" si="2"/>
        <v>-215754.47999999998</v>
      </c>
    </row>
    <row r="17" spans="1:8" s="227" customFormat="1" ht="12.75" x14ac:dyDescent="0.2">
      <c r="A17" s="245" t="s">
        <v>782</v>
      </c>
      <c r="B17" s="274">
        <v>3476951.2099999995</v>
      </c>
      <c r="C17" s="274">
        <v>323392.99</v>
      </c>
      <c r="D17" s="274">
        <f t="shared" si="1"/>
        <v>3800344.1999999993</v>
      </c>
      <c r="E17" s="274">
        <v>3758474.08</v>
      </c>
      <c r="F17" s="274">
        <v>3692235.03</v>
      </c>
      <c r="G17" s="274">
        <f t="shared" si="2"/>
        <v>41870.11999999918</v>
      </c>
    </row>
    <row r="18" spans="1:8" s="227" customFormat="1" ht="12.75" x14ac:dyDescent="0.2">
      <c r="A18" s="245" t="s">
        <v>783</v>
      </c>
      <c r="B18" s="274">
        <v>269652719.99715585</v>
      </c>
      <c r="C18" s="274">
        <v>304951800.83999997</v>
      </c>
      <c r="D18" s="274">
        <f t="shared" si="1"/>
        <v>574604520.83715582</v>
      </c>
      <c r="E18" s="274">
        <v>534673749.17999995</v>
      </c>
      <c r="F18" s="274">
        <v>496566149.19999993</v>
      </c>
      <c r="G18" s="274">
        <f t="shared" si="2"/>
        <v>39930771.657155871</v>
      </c>
    </row>
    <row r="19" spans="1:8" s="227" customFormat="1" ht="12.75" x14ac:dyDescent="0.2">
      <c r="A19" s="245"/>
      <c r="B19" s="274"/>
      <c r="C19" s="274"/>
      <c r="D19" s="274"/>
      <c r="E19" s="274"/>
      <c r="F19" s="274"/>
      <c r="G19" s="274"/>
    </row>
    <row r="20" spans="1:8" s="227" customFormat="1" ht="12.75" x14ac:dyDescent="0.2">
      <c r="A20" s="246" t="s">
        <v>296</v>
      </c>
      <c r="B20" s="274"/>
      <c r="C20" s="274"/>
      <c r="D20" s="274"/>
      <c r="E20" s="274"/>
      <c r="F20" s="274"/>
      <c r="G20" s="274"/>
    </row>
    <row r="21" spans="1:8" s="227" customFormat="1" ht="12.75" x14ac:dyDescent="0.2">
      <c r="A21" s="246" t="s">
        <v>297</v>
      </c>
      <c r="B21" s="274">
        <f>SUM(B22:B30)</f>
        <v>114999999.99559313</v>
      </c>
      <c r="C21" s="274">
        <f t="shared" ref="C21:G21" si="3">SUM(C22:C30)</f>
        <v>3037575778.5100002</v>
      </c>
      <c r="D21" s="274">
        <f t="shared" si="3"/>
        <v>3152575778.5055933</v>
      </c>
      <c r="E21" s="274">
        <f t="shared" si="3"/>
        <v>1734650319.2900002</v>
      </c>
      <c r="F21" s="274">
        <f t="shared" si="3"/>
        <v>1711966486.6400001</v>
      </c>
      <c r="G21" s="274">
        <f t="shared" si="3"/>
        <v>1417925459.2155931</v>
      </c>
    </row>
    <row r="22" spans="1:8" s="227" customFormat="1" ht="12.75" x14ac:dyDescent="0.2">
      <c r="A22" s="245" t="s">
        <v>775</v>
      </c>
      <c r="B22" s="274"/>
      <c r="C22" s="274"/>
      <c r="D22" s="274">
        <f t="shared" ref="D22:D30" si="4">B22+C22</f>
        <v>0</v>
      </c>
      <c r="E22" s="274"/>
      <c r="F22" s="274"/>
      <c r="G22" s="274">
        <f>+D22-E22</f>
        <v>0</v>
      </c>
    </row>
    <row r="23" spans="1:8" s="227" customFormat="1" ht="25.5" x14ac:dyDescent="0.2">
      <c r="A23" s="245" t="s">
        <v>776</v>
      </c>
      <c r="B23" s="274"/>
      <c r="C23" s="274"/>
      <c r="D23" s="274">
        <f t="shared" si="4"/>
        <v>0</v>
      </c>
      <c r="E23" s="274"/>
      <c r="F23" s="274"/>
      <c r="G23" s="274">
        <f t="shared" ref="G23:G30" si="5">+D23-E23</f>
        <v>0</v>
      </c>
    </row>
    <row r="24" spans="1:8" s="227" customFormat="1" ht="12.75" x14ac:dyDescent="0.2">
      <c r="A24" s="245" t="s">
        <v>777</v>
      </c>
      <c r="B24" s="274"/>
      <c r="C24" s="274"/>
      <c r="D24" s="274">
        <f t="shared" si="4"/>
        <v>0</v>
      </c>
      <c r="E24" s="274"/>
      <c r="F24" s="274"/>
      <c r="G24" s="274">
        <f t="shared" si="5"/>
        <v>0</v>
      </c>
    </row>
    <row r="25" spans="1:8" s="227" customFormat="1" ht="25.5" x14ac:dyDescent="0.2">
      <c r="A25" s="245" t="s">
        <v>778</v>
      </c>
      <c r="B25" s="274">
        <v>25911250</v>
      </c>
      <c r="C25" s="274">
        <v>1000000</v>
      </c>
      <c r="D25" s="274">
        <f t="shared" si="4"/>
        <v>26911250</v>
      </c>
      <c r="E25" s="274">
        <v>392126.8</v>
      </c>
      <c r="F25" s="274">
        <v>392126.8</v>
      </c>
      <c r="G25" s="274">
        <f t="shared" si="5"/>
        <v>26519123.199999999</v>
      </c>
    </row>
    <row r="26" spans="1:8" s="227" customFormat="1" ht="25.5" x14ac:dyDescent="0.2">
      <c r="A26" s="245" t="s">
        <v>779</v>
      </c>
      <c r="B26" s="274">
        <v>89088749.995593131</v>
      </c>
      <c r="C26" s="274">
        <v>25465158.129999999</v>
      </c>
      <c r="D26" s="274">
        <f t="shared" si="4"/>
        <v>114553908.12559313</v>
      </c>
      <c r="E26" s="274">
        <v>50402582.43</v>
      </c>
      <c r="F26" s="274">
        <v>46979255.659999996</v>
      </c>
      <c r="G26" s="274">
        <f t="shared" si="5"/>
        <v>64151325.695593126</v>
      </c>
    </row>
    <row r="27" spans="1:8" s="227" customFormat="1" ht="25.5" x14ac:dyDescent="0.2">
      <c r="A27" s="245" t="s">
        <v>780</v>
      </c>
      <c r="B27" s="274"/>
      <c r="C27" s="274">
        <v>3011110620.3800001</v>
      </c>
      <c r="D27" s="274">
        <f t="shared" si="4"/>
        <v>3011110620.3800001</v>
      </c>
      <c r="E27" s="274">
        <v>1683855610.0600002</v>
      </c>
      <c r="F27" s="274">
        <v>1664595104.1800001</v>
      </c>
      <c r="G27" s="274">
        <f t="shared" si="5"/>
        <v>1327255010.3199999</v>
      </c>
    </row>
    <row r="28" spans="1:8" s="227" customFormat="1" ht="12.75" x14ac:dyDescent="0.2">
      <c r="A28" s="245" t="s">
        <v>781</v>
      </c>
      <c r="B28" s="274"/>
      <c r="C28" s="274"/>
      <c r="D28" s="274">
        <f t="shared" si="4"/>
        <v>0</v>
      </c>
      <c r="E28" s="274"/>
      <c r="F28" s="274"/>
      <c r="G28" s="274">
        <f t="shared" si="5"/>
        <v>0</v>
      </c>
    </row>
    <row r="29" spans="1:8" s="227" customFormat="1" ht="12.75" x14ac:dyDescent="0.2">
      <c r="A29" s="245" t="s">
        <v>782</v>
      </c>
      <c r="B29" s="274"/>
      <c r="C29" s="274"/>
      <c r="D29" s="274"/>
      <c r="E29" s="274"/>
      <c r="F29" s="274"/>
      <c r="G29" s="274"/>
    </row>
    <row r="30" spans="1:8" s="227" customFormat="1" ht="12.75" x14ac:dyDescent="0.2">
      <c r="A30" s="245" t="s">
        <v>783</v>
      </c>
      <c r="B30" s="274"/>
      <c r="C30" s="274"/>
      <c r="D30" s="274">
        <f t="shared" si="4"/>
        <v>0</v>
      </c>
      <c r="E30" s="274"/>
      <c r="F30" s="274"/>
      <c r="G30" s="274">
        <f t="shared" si="5"/>
        <v>0</v>
      </c>
    </row>
    <row r="31" spans="1:8" s="227" customFormat="1" ht="12.75" x14ac:dyDescent="0.2">
      <c r="A31" s="273"/>
      <c r="B31" s="274"/>
      <c r="C31" s="274"/>
      <c r="D31" s="274"/>
      <c r="E31" s="274"/>
      <c r="F31" s="274"/>
      <c r="G31" s="274"/>
    </row>
    <row r="32" spans="1:8" s="227" customFormat="1" ht="12.75" x14ac:dyDescent="0.2">
      <c r="A32" s="244" t="s">
        <v>274</v>
      </c>
      <c r="B32" s="274">
        <f t="shared" ref="B32:G32" si="6">+B9+B21</f>
        <v>782667131.31667614</v>
      </c>
      <c r="C32" s="274">
        <f t="shared" si="6"/>
        <v>3346323507.46</v>
      </c>
      <c r="D32" s="274">
        <f t="shared" si="6"/>
        <v>4128990638.7766762</v>
      </c>
      <c r="E32" s="274">
        <f t="shared" si="6"/>
        <v>2542826802.1500001</v>
      </c>
      <c r="F32" s="274">
        <f t="shared" si="6"/>
        <v>2472706686.1100001</v>
      </c>
      <c r="G32" s="274">
        <f t="shared" si="6"/>
        <v>1586163836.6266766</v>
      </c>
      <c r="H32" s="290" t="str">
        <f>IF((B32-'ETCA-II-07'!B31)&gt;0.9,"ERROR!!!!! EL MONTO NO COINCIDE CON LO REPORTADO EN EL FORMATO ETCA-II-07 EN EL TOTAL DEL GASTO","")</f>
        <v/>
      </c>
    </row>
    <row r="33" spans="1:8" ht="15.75" thickBot="1" x14ac:dyDescent="0.3">
      <c r="A33" s="271"/>
      <c r="B33" s="272"/>
      <c r="C33" s="272"/>
      <c r="D33" s="272"/>
      <c r="E33" s="272"/>
      <c r="F33" s="272"/>
      <c r="G33" s="272"/>
      <c r="H33" s="224" t="str">
        <f>IF((C32-'ETCA-II-07'!C31)&gt;0.9,"ERROR!!!!! EL MONTO NO COINCIDE CON LO REPORTADO EN EL FORMATO ETCA-II-07 EN EL TOTAL DEL GASTO","")</f>
        <v/>
      </c>
    </row>
    <row r="34" spans="1:8" x14ac:dyDescent="0.25">
      <c r="H34" s="224" t="str">
        <f>IF((D32-'ETCA-II-07'!D31)&gt;0.9,"ERROR!!!!! EL MONTO NO COINCIDE CON LO REPORTADO EN EL FORMATO ETCA-II-07 EN EL TOTAL DEL GASTO","")</f>
        <v/>
      </c>
    </row>
    <row r="35" spans="1:8" x14ac:dyDescent="0.25">
      <c r="H35" s="224" t="str">
        <f>IF((D32-'ETCA-II-07'!D31)&gt;0.9,"ERROR!!!!! EL MONTO NO COINCIDE CON LO REPORTADO EN EL FORMATO ETCA-II-07 EN EL TOTAL DEL GASTO","")</f>
        <v/>
      </c>
    </row>
    <row r="36" spans="1:8" x14ac:dyDescent="0.25">
      <c r="H36" s="224" t="str">
        <f>IF((F32-'ETCA-II-07'!F31)&gt;0.9,"ERROR!!!!! EL MONTO NO COINCIDE CON LO REPORTADO EN EL FORMATO ETCA-II-07 EN EL TOTAL DEL GASTO","")</f>
        <v/>
      </c>
    </row>
    <row r="37" spans="1:8" x14ac:dyDescent="0.25">
      <c r="H37" s="224" t="str">
        <f>IF((G32-'ETCA-II-07'!G31)&gt;0.9,"ERROR!!!!! EL MONTO NO COINCIDE CON LO REPORTADO EN EL FORMATO ETCA-II-07 EN EL TOTAL DEL GASTO","")</f>
        <v/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35433070866141736" bottom="0.35433070866141736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 tint="-0.249977111117893"/>
    <pageSetUpPr fitToPage="1"/>
  </sheetPr>
  <dimension ref="A1:H21"/>
  <sheetViews>
    <sheetView view="pageBreakPreview" zoomScaleSheetLayoutView="100" workbookViewId="0">
      <selection activeCell="A11" sqref="A10:O16"/>
    </sheetView>
  </sheetViews>
  <sheetFormatPr baseColWidth="10" defaultColWidth="11.28515625" defaultRowHeight="16.5" x14ac:dyDescent="0.25"/>
  <cols>
    <col min="1" max="1" width="39.85546875" style="8" customWidth="1"/>
    <col min="2" max="7" width="13.7109375" style="8" customWidth="1"/>
    <col min="8" max="16384" width="11.28515625" style="8"/>
  </cols>
  <sheetData>
    <row r="1" spans="1:8" x14ac:dyDescent="0.25">
      <c r="A1" s="447" t="e">
        <f>#REF!</f>
        <v>#REF!</v>
      </c>
      <c r="B1" s="447"/>
      <c r="C1" s="447"/>
      <c r="D1" s="447"/>
      <c r="E1" s="447"/>
      <c r="F1" s="447"/>
      <c r="G1" s="447"/>
    </row>
    <row r="2" spans="1:8" s="11" customFormat="1" x14ac:dyDescent="0.25">
      <c r="A2" s="447" t="s">
        <v>131</v>
      </c>
      <c r="B2" s="447"/>
      <c r="C2" s="447"/>
      <c r="D2" s="447"/>
      <c r="E2" s="447"/>
      <c r="F2" s="447"/>
      <c r="G2" s="447"/>
    </row>
    <row r="3" spans="1:8" s="11" customFormat="1" x14ac:dyDescent="0.25">
      <c r="A3" s="563" t="s">
        <v>298</v>
      </c>
      <c r="B3" s="563"/>
      <c r="C3" s="563"/>
      <c r="D3" s="563"/>
      <c r="E3" s="563"/>
      <c r="F3" s="563"/>
      <c r="G3" s="563"/>
    </row>
    <row r="4" spans="1:8" s="11" customFormat="1" x14ac:dyDescent="0.25">
      <c r="A4" s="448" t="e">
        <f>#REF!</f>
        <v>#REF!</v>
      </c>
      <c r="B4" s="448"/>
      <c r="C4" s="448"/>
      <c r="D4" s="448"/>
      <c r="E4" s="448"/>
      <c r="F4" s="448"/>
      <c r="G4" s="448"/>
    </row>
    <row r="5" spans="1:8" s="11" customFormat="1" ht="17.25" thickBot="1" x14ac:dyDescent="0.3">
      <c r="A5" s="520" t="s">
        <v>453</v>
      </c>
      <c r="B5" s="520"/>
      <c r="C5" s="520"/>
      <c r="D5" s="520"/>
      <c r="E5" s="520"/>
      <c r="F5" s="4"/>
      <c r="G5" s="173"/>
    </row>
    <row r="6" spans="1:8" s="96" customFormat="1" ht="53.25" customHeight="1" x14ac:dyDescent="0.25">
      <c r="A6" s="561" t="s">
        <v>298</v>
      </c>
      <c r="B6" s="103" t="s">
        <v>134</v>
      </c>
      <c r="C6" s="103" t="s">
        <v>64</v>
      </c>
      <c r="D6" s="103" t="s">
        <v>135</v>
      </c>
      <c r="E6" s="103" t="s">
        <v>136</v>
      </c>
      <c r="F6" s="103" t="s">
        <v>137</v>
      </c>
      <c r="G6" s="104" t="s">
        <v>138</v>
      </c>
    </row>
    <row r="7" spans="1:8" s="102" customFormat="1" ht="15.75" customHeight="1" thickBot="1" x14ac:dyDescent="0.3">
      <c r="A7" s="562"/>
      <c r="B7" s="97" t="s">
        <v>44</v>
      </c>
      <c r="C7" s="97" t="s">
        <v>45</v>
      </c>
      <c r="D7" s="97" t="s">
        <v>139</v>
      </c>
      <c r="E7" s="97" t="s">
        <v>47</v>
      </c>
      <c r="F7" s="97" t="s">
        <v>48</v>
      </c>
      <c r="G7" s="98" t="s">
        <v>140</v>
      </c>
    </row>
    <row r="8" spans="1:8" ht="30" customHeight="1" x14ac:dyDescent="0.25">
      <c r="A8" s="226"/>
      <c r="B8" s="106"/>
      <c r="C8" s="106"/>
      <c r="D8" s="106"/>
      <c r="E8" s="106"/>
      <c r="F8" s="106"/>
      <c r="G8" s="107"/>
    </row>
    <row r="9" spans="1:8" ht="30" customHeight="1" x14ac:dyDescent="0.25">
      <c r="A9" s="94" t="s">
        <v>299</v>
      </c>
      <c r="B9" s="182">
        <v>782667131.32148921</v>
      </c>
      <c r="C9" s="182">
        <v>3346323507.4600005</v>
      </c>
      <c r="D9" s="183">
        <f>B9+C9</f>
        <v>4128990638.7814898</v>
      </c>
      <c r="E9" s="182">
        <v>2542826802.1500001</v>
      </c>
      <c r="F9" s="182">
        <v>2472706686.1100001</v>
      </c>
      <c r="G9" s="184">
        <f>D9-E9</f>
        <v>1586163836.6314898</v>
      </c>
    </row>
    <row r="10" spans="1:8" ht="30" customHeight="1" x14ac:dyDescent="0.25">
      <c r="A10" s="94" t="s">
        <v>300</v>
      </c>
      <c r="B10" s="182"/>
      <c r="C10" s="182"/>
      <c r="D10" s="183">
        <f>B10+C10</f>
        <v>0</v>
      </c>
      <c r="E10" s="182"/>
      <c r="F10" s="182"/>
      <c r="G10" s="184">
        <f>D10-E10</f>
        <v>0</v>
      </c>
    </row>
    <row r="11" spans="1:8" ht="30" customHeight="1" x14ac:dyDescent="0.25">
      <c r="A11" s="94" t="s">
        <v>301</v>
      </c>
      <c r="B11" s="182"/>
      <c r="C11" s="182"/>
      <c r="D11" s="183">
        <f>B11+C11</f>
        <v>0</v>
      </c>
      <c r="E11" s="182"/>
      <c r="F11" s="182"/>
      <c r="G11" s="184">
        <f>D11-E11</f>
        <v>0</v>
      </c>
    </row>
    <row r="12" spans="1:8" ht="30" customHeight="1" x14ac:dyDescent="0.25">
      <c r="A12" s="94" t="s">
        <v>302</v>
      </c>
      <c r="B12" s="182"/>
      <c r="C12" s="182"/>
      <c r="D12" s="183">
        <f>B12+C12</f>
        <v>0</v>
      </c>
      <c r="E12" s="182"/>
      <c r="F12" s="182"/>
      <c r="G12" s="184">
        <f>D12-E12</f>
        <v>0</v>
      </c>
    </row>
    <row r="13" spans="1:8" ht="30" customHeight="1" thickBot="1" x14ac:dyDescent="0.3">
      <c r="A13" s="18"/>
      <c r="B13" s="189"/>
      <c r="C13" s="189"/>
      <c r="D13" s="189"/>
      <c r="E13" s="189"/>
      <c r="F13" s="189"/>
      <c r="G13" s="190"/>
    </row>
    <row r="14" spans="1:8" s="96" customFormat="1" ht="30" customHeight="1" thickBot="1" x14ac:dyDescent="0.3">
      <c r="A14" s="323" t="s">
        <v>190</v>
      </c>
      <c r="B14" s="191">
        <f>SUM(B9:B12)</f>
        <v>782667131.32148921</v>
      </c>
      <c r="C14" s="191">
        <f>SUM(C9:C12)</f>
        <v>3346323507.4600005</v>
      </c>
      <c r="D14" s="191">
        <f>B14+C14</f>
        <v>4128990638.7814898</v>
      </c>
      <c r="E14" s="191">
        <f>SUM(E9:E12)</f>
        <v>2542826802.1500001</v>
      </c>
      <c r="F14" s="191">
        <f>SUM(F9:F12)</f>
        <v>2472706686.1100001</v>
      </c>
      <c r="G14" s="192">
        <f>D14-E14</f>
        <v>1586163836.6314898</v>
      </c>
      <c r="H14" s="224" t="str">
        <f>IF((B14-'ETCA-II-04'!B80)&gt;0.9,"ERROR!!!!! EL MONTO NO COINCIDE CON LO REPORTADO EN EL FORMATO ETCA-II-04 EN EL TOTAL APROBADO ANUAL DEL ANALÍTICO DE EGRESOS","")</f>
        <v/>
      </c>
    </row>
    <row r="15" spans="1:8" s="96" customFormat="1" ht="30" customHeight="1" x14ac:dyDescent="0.25">
      <c r="A15" s="210"/>
      <c r="B15" s="211"/>
      <c r="C15" s="211"/>
      <c r="D15" s="211"/>
      <c r="E15" s="211"/>
      <c r="F15" s="211"/>
      <c r="G15" s="211"/>
      <c r="H15" s="224" t="str">
        <f>IF((C14-'ETCA-II-04'!C80)&gt;0.9,"ERROR!!!!! EL MONTO NO COINCIDE CON LO REPORTADO EN EL FORMATO ETCA-II-04 EN EL TOTAL AMPLIACIONES/REDUCCIONES ANUAL DEL ANALÍTICO DE EGRESOS","")</f>
        <v/>
      </c>
    </row>
    <row r="16" spans="1:8" s="96" customFormat="1" ht="30" customHeight="1" x14ac:dyDescent="0.25">
      <c r="A16" s="210"/>
      <c r="B16" s="211"/>
      <c r="C16" s="211"/>
      <c r="D16" s="211"/>
      <c r="E16" s="211"/>
      <c r="F16" s="211"/>
      <c r="G16" s="211"/>
      <c r="H16" s="224" t="str">
        <f>IF((D14-'ETCA-II-04'!D80)&gt;0.9,"ERROR!!!!! EL MONTO NO COINCIDE CON LO REPORTADO EN EL FORMATO ETCA-II-04 EN EL TOTAL MODIFICADO ANUAL DEL ANALÍTICO DE EGRESOS","")</f>
        <v/>
      </c>
    </row>
    <row r="17" spans="1:8" s="96" customFormat="1" ht="18" customHeight="1" x14ac:dyDescent="0.25">
      <c r="A17" s="210"/>
      <c r="B17" s="211"/>
      <c r="C17" s="211"/>
      <c r="D17" s="211"/>
      <c r="E17" s="211"/>
      <c r="F17" s="211"/>
      <c r="G17" s="211"/>
      <c r="H17" s="224" t="str">
        <f>IF((E14-'ETCA-II-04'!E80)&gt;0.9,"ERROR!!!!! EL MONTO NO COINCIDE CON LO REPORTADO EN EL FORMATO ETCA-II-04 EN EL TOTAL DEVENGADO ANUAL DEL ANALÍTICO DE EGRESOS","")</f>
        <v/>
      </c>
    </row>
    <row r="18" spans="1:8" s="96" customFormat="1" ht="18" customHeight="1" x14ac:dyDescent="0.25">
      <c r="A18" s="210"/>
      <c r="B18" s="211"/>
      <c r="C18" s="211"/>
      <c r="D18" s="211"/>
      <c r="E18" s="211"/>
      <c r="F18" s="211"/>
      <c r="G18" s="211"/>
      <c r="H18" s="224" t="str">
        <f>IF((F14-'ETCA-II-04'!F80)&gt;0.9,"ERROR!!!!! EL MONTO NO COINCIDE CON LO REPORTADO EN EL FORMATO ETCA-II-04 EN EL TOTAL PAGADO ANUAL DEL ANALÍTICO DE EGRESOS","")</f>
        <v/>
      </c>
    </row>
    <row r="19" spans="1:8" x14ac:dyDescent="0.25">
      <c r="H19" s="224" t="str">
        <f>IF((G14-'ETCA-II-04'!G80)&gt;0.9,"ERROR!!!!! EL MONTO NO COINCIDE CON LO REPORTADO EN EL FORMATO ETCA-II-04 EN EL TOTAL SUBEJERCICIO ANUAL DEL ANALÍTICO DE EGRESOS","")</f>
        <v/>
      </c>
    </row>
    <row r="20" spans="1:8" x14ac:dyDescent="0.25">
      <c r="H20" s="224" t="str">
        <f>IF((B20-'ETCA-II-04'!B86)&gt;0.9,"ERROR!!!!! EL MONTO NO COINCIDE CON LO REPORTADO EN EL FORMATO ETCA-II-04 EN EL TOTAL APROBADO ANUAL DEL ANALÍTICO DE EGRESOS","")</f>
        <v/>
      </c>
    </row>
    <row r="21" spans="1:8" x14ac:dyDescent="0.25">
      <c r="H21" s="224" t="str">
        <f>IF(G14&lt;&gt;'ETCA-II-04'!G80,"ERROR!!!!! EL MONTO NO COINCIDE CON LO REPORTADO EN EL FORMATO ETCA-II-04 EN EL TOTAL SUBEJERCICIO PRESENTADO EN EL ANALÍTICO DE EGRESOS","")</f>
        <v/>
      </c>
    </row>
  </sheetData>
  <sheetProtection formatColumns="0" formatRows="0" insertHyperlinks="0"/>
  <mergeCells count="6">
    <mergeCell ref="A6:A7"/>
    <mergeCell ref="A4:G4"/>
    <mergeCell ref="A1:G1"/>
    <mergeCell ref="A2:G2"/>
    <mergeCell ref="A3:G3"/>
    <mergeCell ref="A5:E5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ETCA-II-01</vt:lpstr>
      <vt:lpstr>ETCA-II-02</vt:lpstr>
      <vt:lpstr>ETCA-II-03</vt:lpstr>
      <vt:lpstr>ETCA-II-04</vt:lpstr>
      <vt:lpstr>ETCA-II-05</vt:lpstr>
      <vt:lpstr>ETCA-II-06</vt:lpstr>
      <vt:lpstr>ETCA-II-07</vt:lpstr>
      <vt:lpstr>ETCA-II-08</vt:lpstr>
      <vt:lpstr>ETCA-II-09</vt:lpstr>
      <vt:lpstr>ETCA-II-10</vt:lpstr>
      <vt:lpstr>ETCA-II-11</vt:lpstr>
      <vt:lpstr>ETCA-II-12</vt:lpstr>
      <vt:lpstr>ETCA-II-13</vt:lpstr>
      <vt:lpstr>ETCA-II-14</vt:lpstr>
      <vt:lpstr>ETCA-II-15</vt:lpstr>
      <vt:lpstr>ETCA-II-16</vt:lpstr>
      <vt:lpstr>ETCA-II-17</vt:lpstr>
      <vt:lpstr>'ETCA-II-01'!Área_de_impresión</vt:lpstr>
      <vt:lpstr>'ETCA-II-02'!Área_de_impresión</vt:lpstr>
      <vt:lpstr>'ETCA-II-03'!Área_de_impresión</vt:lpstr>
      <vt:lpstr>'ETCA-II-05'!Área_de_impresión</vt:lpstr>
      <vt:lpstr>'ETCA-II-06'!Área_de_impresión</vt:lpstr>
      <vt:lpstr>'ETCA-II-07'!Área_de_impresión</vt:lpstr>
      <vt:lpstr>'ETCA-II-08'!Área_de_impresión</vt:lpstr>
      <vt:lpstr>'ETCA-II-09'!Área_de_impresión</vt:lpstr>
      <vt:lpstr>'ETCA-II-10'!Área_de_impresión</vt:lpstr>
      <vt:lpstr>'ETCA-II-11'!Área_de_impresión</vt:lpstr>
      <vt:lpstr>'ETCA-II-12'!Área_de_impresión</vt:lpstr>
      <vt:lpstr>'ETCA-II-13'!Área_de_impresión</vt:lpstr>
      <vt:lpstr>'ETCA-II-14'!Área_de_impresión</vt:lpstr>
      <vt:lpstr>'ETCA-II-15'!Área_de_impresión</vt:lpstr>
      <vt:lpstr>'ETCA-II-16'!Área_de_impresión</vt:lpstr>
      <vt:lpstr>'ETCA-II-17'!Área_de_impresión</vt:lpstr>
      <vt:lpstr>'ETCA-II-01'!Títulos_a_imprimir</vt:lpstr>
      <vt:lpstr>'ETCA-II-02'!Títulos_a_imprimir</vt:lpstr>
      <vt:lpstr>'ETCA-II-04'!Títulos_a_imprimir</vt:lpstr>
      <vt:lpstr>'ETCA-II-05'!Títulos_a_imprimir</vt:lpstr>
      <vt:lpstr>'ETCA-II-12'!Títulos_a_imprimir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</dc:creator>
  <cp:lastModifiedBy>Francisco Javier Hernández Díaz</cp:lastModifiedBy>
  <cp:revision/>
  <cp:lastPrinted>2023-10-16T16:07:24Z</cp:lastPrinted>
  <dcterms:created xsi:type="dcterms:W3CDTF">2014-03-28T01:13:38Z</dcterms:created>
  <dcterms:modified xsi:type="dcterms:W3CDTF">2024-01-31T20:09:27Z</dcterms:modified>
</cp:coreProperties>
</file>